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ondealban/Dropbox/NUS/Projects/Myanmar/Analyses/LUCC/Image Statistics/tanintharyi/accuracy assessment/2018.01.24/"/>
    </mc:Choice>
  </mc:AlternateContent>
  <bookViews>
    <workbookView xWindow="0" yWindow="460" windowWidth="28820" windowHeight="17460" firstSheet="7" activeTab="15" xr2:uid="{00000000-000D-0000-FFFF-FFFF00000000}"/>
  </bookViews>
  <sheets>
    <sheet name="Sampling" sheetId="2" r:id="rId1"/>
    <sheet name="Error Matrix" sheetId="6" r:id="rId2"/>
    <sheet name="OA" sheetId="9" r:id="rId3"/>
    <sheet name="UA PA" sheetId="8" r:id="rId4"/>
    <sheet name="F-score" sheetId="12" r:id="rId5"/>
    <sheet name="Variable Importance" sheetId="24" r:id="rId6"/>
    <sheet name="AA L+J SetA 1995" sheetId="7" r:id="rId7"/>
    <sheet name="AA L+P SetA 2015" sheetId="10" r:id="rId8"/>
    <sheet name="AA L+P SetB 2015" sheetId="11" r:id="rId9"/>
    <sheet name="AA L SetA 1995" sheetId="15" r:id="rId10"/>
    <sheet name="AA L SetA 2015" sheetId="16" r:id="rId11"/>
    <sheet name="AA L SetB 2015" sheetId="17" r:id="rId12"/>
    <sheet name="AA J SetA 1995" sheetId="18" r:id="rId13"/>
    <sheet name="AA P SetA 2015" sheetId="19" r:id="rId14"/>
    <sheet name="AA P SetB 2015" sheetId="20" r:id="rId15"/>
    <sheet name="Change Analysis" sheetId="13" r:id="rId16"/>
    <sheet name="Card 1982 Example" sheetId="23" r:id="rId17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" i="7" l="1"/>
  <c r="C22" i="2"/>
  <c r="D22" i="2"/>
  <c r="E22" i="2"/>
  <c r="F22" i="2"/>
  <c r="G22" i="2"/>
  <c r="H22" i="2"/>
  <c r="I22" i="2"/>
  <c r="J22" i="2"/>
  <c r="B22" i="2"/>
  <c r="L14" i="20"/>
  <c r="L13" i="20"/>
  <c r="L15" i="11"/>
  <c r="L14" i="11"/>
  <c r="L13" i="11"/>
  <c r="L7" i="11"/>
  <c r="L8" i="11"/>
  <c r="L9" i="11"/>
  <c r="L10" i="11"/>
  <c r="L11" i="11"/>
  <c r="L12" i="11"/>
  <c r="L16" i="11"/>
  <c r="M7" i="11"/>
  <c r="B20" i="11"/>
  <c r="M8" i="11"/>
  <c r="C21" i="11"/>
  <c r="M9" i="11"/>
  <c r="D22" i="11"/>
  <c r="M10" i="11"/>
  <c r="E23" i="11"/>
  <c r="M11" i="11"/>
  <c r="F24" i="11"/>
  <c r="M12" i="11"/>
  <c r="G25" i="11"/>
  <c r="M13" i="11"/>
  <c r="H26" i="11"/>
  <c r="M14" i="11"/>
  <c r="I27" i="11"/>
  <c r="M15" i="11"/>
  <c r="J28" i="11"/>
  <c r="M42" i="11"/>
  <c r="D21" i="9"/>
  <c r="L7" i="10"/>
  <c r="L8" i="10"/>
  <c r="L9" i="10"/>
  <c r="L10" i="10"/>
  <c r="L11" i="10"/>
  <c r="L12" i="10"/>
  <c r="L13" i="10"/>
  <c r="L14" i="10"/>
  <c r="L15" i="10"/>
  <c r="L16" i="10"/>
  <c r="M7" i="10"/>
  <c r="B20" i="10"/>
  <c r="M8" i="10"/>
  <c r="C21" i="10"/>
  <c r="M9" i="10"/>
  <c r="D22" i="10"/>
  <c r="M10" i="10"/>
  <c r="E23" i="10"/>
  <c r="M11" i="10"/>
  <c r="F24" i="10"/>
  <c r="M12" i="10"/>
  <c r="G25" i="10"/>
  <c r="M13" i="10"/>
  <c r="H26" i="10"/>
  <c r="M14" i="10"/>
  <c r="I27" i="10"/>
  <c r="M15" i="10"/>
  <c r="J28" i="10"/>
  <c r="M42" i="10"/>
  <c r="C21" i="9"/>
  <c r="L7" i="7"/>
  <c r="L8" i="7"/>
  <c r="L9" i="7"/>
  <c r="L10" i="7"/>
  <c r="L11" i="7"/>
  <c r="L12" i="7"/>
  <c r="L13" i="7"/>
  <c r="L14" i="7"/>
  <c r="L15" i="7"/>
  <c r="L16" i="7"/>
  <c r="M7" i="7"/>
  <c r="B20" i="7"/>
  <c r="M8" i="7"/>
  <c r="C21" i="7"/>
  <c r="M9" i="7"/>
  <c r="D22" i="7"/>
  <c r="M10" i="7"/>
  <c r="E23" i="7"/>
  <c r="M11" i="7"/>
  <c r="F24" i="7"/>
  <c r="M12" i="7"/>
  <c r="G25" i="7"/>
  <c r="M13" i="7"/>
  <c r="H26" i="7"/>
  <c r="M14" i="7"/>
  <c r="I27" i="7"/>
  <c r="M15" i="7"/>
  <c r="J28" i="7"/>
  <c r="M42" i="7"/>
  <c r="B21" i="9"/>
  <c r="L7" i="20"/>
  <c r="L8" i="20"/>
  <c r="L9" i="20"/>
  <c r="L10" i="20"/>
  <c r="L11" i="20"/>
  <c r="L12" i="20"/>
  <c r="L15" i="20"/>
  <c r="L16" i="20"/>
  <c r="M7" i="20"/>
  <c r="B20" i="20"/>
  <c r="M8" i="20"/>
  <c r="C21" i="20"/>
  <c r="M9" i="20"/>
  <c r="D22" i="20"/>
  <c r="M10" i="20"/>
  <c r="E23" i="20"/>
  <c r="M11" i="20"/>
  <c r="F24" i="20"/>
  <c r="M12" i="20"/>
  <c r="G25" i="20"/>
  <c r="M13" i="20"/>
  <c r="H26" i="20"/>
  <c r="M14" i="20"/>
  <c r="I27" i="20"/>
  <c r="M15" i="20"/>
  <c r="J28" i="20"/>
  <c r="M42" i="20"/>
  <c r="D20" i="9"/>
  <c r="L7" i="19"/>
  <c r="L8" i="19"/>
  <c r="L9" i="19"/>
  <c r="L10" i="19"/>
  <c r="L11" i="19"/>
  <c r="L12" i="19"/>
  <c r="L13" i="19"/>
  <c r="L14" i="19"/>
  <c r="L15" i="19"/>
  <c r="L16" i="19"/>
  <c r="M7" i="19"/>
  <c r="B20" i="19"/>
  <c r="M8" i="19"/>
  <c r="C21" i="19"/>
  <c r="M9" i="19"/>
  <c r="D22" i="19"/>
  <c r="M10" i="19"/>
  <c r="E23" i="19"/>
  <c r="M11" i="19"/>
  <c r="F24" i="19"/>
  <c r="M12" i="19"/>
  <c r="G25" i="19"/>
  <c r="M13" i="19"/>
  <c r="H26" i="19"/>
  <c r="M14" i="19"/>
  <c r="I27" i="19"/>
  <c r="M15" i="19"/>
  <c r="J28" i="19"/>
  <c r="M42" i="19"/>
  <c r="C20" i="9"/>
  <c r="L7" i="18"/>
  <c r="L8" i="18"/>
  <c r="L9" i="18"/>
  <c r="L10" i="18"/>
  <c r="L11" i="18"/>
  <c r="L12" i="18"/>
  <c r="L13" i="18"/>
  <c r="L14" i="18"/>
  <c r="L15" i="18"/>
  <c r="L16" i="18"/>
  <c r="M7" i="18"/>
  <c r="B20" i="18"/>
  <c r="M8" i="18"/>
  <c r="C21" i="18"/>
  <c r="M9" i="18"/>
  <c r="D22" i="18"/>
  <c r="M10" i="18"/>
  <c r="E23" i="18"/>
  <c r="M11" i="18"/>
  <c r="F24" i="18"/>
  <c r="M12" i="18"/>
  <c r="G25" i="18"/>
  <c r="M13" i="18"/>
  <c r="H26" i="18"/>
  <c r="M14" i="18"/>
  <c r="I27" i="18"/>
  <c r="M15" i="18"/>
  <c r="J28" i="18"/>
  <c r="M42" i="18"/>
  <c r="B20" i="9"/>
  <c r="L7" i="17"/>
  <c r="L8" i="17"/>
  <c r="L9" i="17"/>
  <c r="L10" i="17"/>
  <c r="L11" i="17"/>
  <c r="L12" i="17"/>
  <c r="L13" i="17"/>
  <c r="L14" i="17"/>
  <c r="L15" i="17"/>
  <c r="L16" i="17"/>
  <c r="M7" i="17"/>
  <c r="B20" i="17"/>
  <c r="M8" i="17"/>
  <c r="C21" i="17"/>
  <c r="M9" i="17"/>
  <c r="D22" i="17"/>
  <c r="M10" i="17"/>
  <c r="E23" i="17"/>
  <c r="M11" i="17"/>
  <c r="F24" i="17"/>
  <c r="M12" i="17"/>
  <c r="G25" i="17"/>
  <c r="M13" i="17"/>
  <c r="H26" i="17"/>
  <c r="M14" i="17"/>
  <c r="I27" i="17"/>
  <c r="M15" i="17"/>
  <c r="J28" i="17"/>
  <c r="M42" i="17"/>
  <c r="D19" i="9"/>
  <c r="L7" i="16"/>
  <c r="L8" i="16"/>
  <c r="L9" i="16"/>
  <c r="L10" i="16"/>
  <c r="L11" i="16"/>
  <c r="L12" i="16"/>
  <c r="L13" i="16"/>
  <c r="L14" i="16"/>
  <c r="L15" i="16"/>
  <c r="L16" i="16"/>
  <c r="M7" i="16"/>
  <c r="B20" i="16"/>
  <c r="M8" i="16"/>
  <c r="C21" i="16"/>
  <c r="M9" i="16"/>
  <c r="D22" i="16"/>
  <c r="M10" i="16"/>
  <c r="E23" i="16"/>
  <c r="M11" i="16"/>
  <c r="F24" i="16"/>
  <c r="M12" i="16"/>
  <c r="G25" i="16"/>
  <c r="M13" i="16"/>
  <c r="H26" i="16"/>
  <c r="M14" i="16"/>
  <c r="I27" i="16"/>
  <c r="M15" i="16"/>
  <c r="J28" i="16"/>
  <c r="M42" i="16"/>
  <c r="C19" i="9"/>
  <c r="L7" i="15"/>
  <c r="L8" i="15"/>
  <c r="L9" i="15"/>
  <c r="L10" i="15"/>
  <c r="L11" i="15"/>
  <c r="L12" i="15"/>
  <c r="L13" i="15"/>
  <c r="L14" i="15"/>
  <c r="L15" i="15"/>
  <c r="L16" i="15"/>
  <c r="M7" i="15"/>
  <c r="B20" i="15"/>
  <c r="M8" i="15"/>
  <c r="C21" i="15"/>
  <c r="M9" i="15"/>
  <c r="D22" i="15"/>
  <c r="M10" i="15"/>
  <c r="E23" i="15"/>
  <c r="M11" i="15"/>
  <c r="F24" i="15"/>
  <c r="M12" i="15"/>
  <c r="G25" i="15"/>
  <c r="M13" i="15"/>
  <c r="H26" i="15"/>
  <c r="M14" i="15"/>
  <c r="I27" i="15"/>
  <c r="M15" i="15"/>
  <c r="J28" i="15"/>
  <c r="M42" i="15"/>
  <c r="B19" i="9"/>
  <c r="L29" i="20"/>
  <c r="L20" i="20"/>
  <c r="M20" i="20"/>
  <c r="L21" i="20"/>
  <c r="M21" i="20"/>
  <c r="L22" i="20"/>
  <c r="M22" i="20"/>
  <c r="L23" i="20"/>
  <c r="M23" i="20"/>
  <c r="L24" i="20"/>
  <c r="M24" i="20"/>
  <c r="L25" i="20"/>
  <c r="M25" i="20"/>
  <c r="L26" i="20"/>
  <c r="M26" i="20"/>
  <c r="L27" i="20"/>
  <c r="M27" i="20"/>
  <c r="L28" i="20"/>
  <c r="M28" i="20"/>
  <c r="R16" i="20"/>
  <c r="P33" i="20"/>
  <c r="R33" i="20"/>
  <c r="Q33" i="20"/>
  <c r="Q15" i="20"/>
  <c r="S29" i="20"/>
  <c r="B28" i="20"/>
  <c r="C28" i="20"/>
  <c r="D28" i="20"/>
  <c r="E28" i="20"/>
  <c r="F28" i="20"/>
  <c r="G28" i="20"/>
  <c r="H28" i="20"/>
  <c r="I28" i="20"/>
  <c r="K28" i="20"/>
  <c r="L41" i="20"/>
  <c r="U29" i="20"/>
  <c r="T29" i="20"/>
  <c r="J20" i="20"/>
  <c r="J21" i="20"/>
  <c r="J22" i="20"/>
  <c r="J23" i="20"/>
  <c r="J24" i="20"/>
  <c r="J25" i="20"/>
  <c r="J26" i="20"/>
  <c r="J27" i="20"/>
  <c r="J29" i="20"/>
  <c r="P15" i="20"/>
  <c r="P29" i="20"/>
  <c r="K41" i="20"/>
  <c r="R29" i="20"/>
  <c r="Q29" i="20"/>
  <c r="Q14" i="20"/>
  <c r="S28" i="20"/>
  <c r="B27" i="20"/>
  <c r="C27" i="20"/>
  <c r="D27" i="20"/>
  <c r="E27" i="20"/>
  <c r="F27" i="20"/>
  <c r="G27" i="20"/>
  <c r="H27" i="20"/>
  <c r="K27" i="20"/>
  <c r="L40" i="20"/>
  <c r="U28" i="20"/>
  <c r="T28" i="20"/>
  <c r="I20" i="20"/>
  <c r="I21" i="20"/>
  <c r="I22" i="20"/>
  <c r="I23" i="20"/>
  <c r="I24" i="20"/>
  <c r="I25" i="20"/>
  <c r="I26" i="20"/>
  <c r="I29" i="20"/>
  <c r="P14" i="20"/>
  <c r="P28" i="20"/>
  <c r="K40" i="20"/>
  <c r="R28" i="20"/>
  <c r="Q28" i="20"/>
  <c r="Q13" i="20"/>
  <c r="S27" i="20"/>
  <c r="B26" i="20"/>
  <c r="C26" i="20"/>
  <c r="D26" i="20"/>
  <c r="E26" i="20"/>
  <c r="F26" i="20"/>
  <c r="G26" i="20"/>
  <c r="K26" i="20"/>
  <c r="L39" i="20"/>
  <c r="U27" i="20"/>
  <c r="T27" i="20"/>
  <c r="H20" i="20"/>
  <c r="H21" i="20"/>
  <c r="H22" i="20"/>
  <c r="H23" i="20"/>
  <c r="H24" i="20"/>
  <c r="H25" i="20"/>
  <c r="H29" i="20"/>
  <c r="P13" i="20"/>
  <c r="P27" i="20"/>
  <c r="K39" i="20"/>
  <c r="R27" i="20"/>
  <c r="Q27" i="20"/>
  <c r="Q12" i="20"/>
  <c r="S26" i="20"/>
  <c r="B25" i="20"/>
  <c r="C25" i="20"/>
  <c r="D25" i="20"/>
  <c r="E25" i="20"/>
  <c r="F25" i="20"/>
  <c r="K25" i="20"/>
  <c r="L38" i="20"/>
  <c r="U26" i="20"/>
  <c r="T26" i="20"/>
  <c r="G20" i="20"/>
  <c r="G21" i="20"/>
  <c r="G22" i="20"/>
  <c r="G23" i="20"/>
  <c r="G24" i="20"/>
  <c r="G29" i="20"/>
  <c r="P12" i="20"/>
  <c r="P26" i="20"/>
  <c r="K38" i="20"/>
  <c r="R26" i="20"/>
  <c r="Q26" i="20"/>
  <c r="Q11" i="20"/>
  <c r="S25" i="20"/>
  <c r="B24" i="20"/>
  <c r="C24" i="20"/>
  <c r="D24" i="20"/>
  <c r="E24" i="20"/>
  <c r="K24" i="20"/>
  <c r="L37" i="20"/>
  <c r="U25" i="20"/>
  <c r="T25" i="20"/>
  <c r="F20" i="20"/>
  <c r="F21" i="20"/>
  <c r="F22" i="20"/>
  <c r="F23" i="20"/>
  <c r="F29" i="20"/>
  <c r="P11" i="20"/>
  <c r="P25" i="20"/>
  <c r="K37" i="20"/>
  <c r="R25" i="20"/>
  <c r="Q25" i="20"/>
  <c r="Q10" i="20"/>
  <c r="S24" i="20"/>
  <c r="B23" i="20"/>
  <c r="C23" i="20"/>
  <c r="D23" i="20"/>
  <c r="K23" i="20"/>
  <c r="L36" i="20"/>
  <c r="U24" i="20"/>
  <c r="T24" i="20"/>
  <c r="E20" i="20"/>
  <c r="E21" i="20"/>
  <c r="E22" i="20"/>
  <c r="E29" i="20"/>
  <c r="P10" i="20"/>
  <c r="P24" i="20"/>
  <c r="K36" i="20"/>
  <c r="R24" i="20"/>
  <c r="Q24" i="20"/>
  <c r="Q9" i="20"/>
  <c r="S23" i="20"/>
  <c r="B22" i="20"/>
  <c r="C22" i="20"/>
  <c r="K22" i="20"/>
  <c r="L35" i="20"/>
  <c r="U23" i="20"/>
  <c r="T23" i="20"/>
  <c r="D20" i="20"/>
  <c r="D21" i="20"/>
  <c r="D29" i="20"/>
  <c r="P9" i="20"/>
  <c r="P23" i="20"/>
  <c r="K35" i="20"/>
  <c r="R23" i="20"/>
  <c r="Q23" i="20"/>
  <c r="Q8" i="20"/>
  <c r="S22" i="20"/>
  <c r="B21" i="20"/>
  <c r="K21" i="20"/>
  <c r="L34" i="20"/>
  <c r="U22" i="20"/>
  <c r="T22" i="20"/>
  <c r="C20" i="20"/>
  <c r="C29" i="20"/>
  <c r="P8" i="20"/>
  <c r="P22" i="20"/>
  <c r="K34" i="20"/>
  <c r="R22" i="20"/>
  <c r="Q22" i="20"/>
  <c r="Q7" i="20"/>
  <c r="S21" i="20"/>
  <c r="K20" i="20"/>
  <c r="L33" i="20"/>
  <c r="U21" i="20"/>
  <c r="T21" i="20"/>
  <c r="B29" i="20"/>
  <c r="P7" i="20"/>
  <c r="P21" i="20"/>
  <c r="K33" i="20"/>
  <c r="R21" i="20"/>
  <c r="Q21" i="20"/>
  <c r="L20" i="19"/>
  <c r="L29" i="19"/>
  <c r="M20" i="19"/>
  <c r="L21" i="19"/>
  <c r="M21" i="19"/>
  <c r="L22" i="19"/>
  <c r="M22" i="19"/>
  <c r="L23" i="19"/>
  <c r="M23" i="19"/>
  <c r="L24" i="19"/>
  <c r="M24" i="19"/>
  <c r="L25" i="19"/>
  <c r="M25" i="19"/>
  <c r="L26" i="19"/>
  <c r="M26" i="19"/>
  <c r="L27" i="19"/>
  <c r="M27" i="19"/>
  <c r="L28" i="19"/>
  <c r="M28" i="19"/>
  <c r="R16" i="19"/>
  <c r="P33" i="19"/>
  <c r="R33" i="19"/>
  <c r="Q33" i="19"/>
  <c r="Q15" i="19"/>
  <c r="S29" i="19"/>
  <c r="B28" i="19"/>
  <c r="C28" i="19"/>
  <c r="D28" i="19"/>
  <c r="E28" i="19"/>
  <c r="F28" i="19"/>
  <c r="G28" i="19"/>
  <c r="H28" i="19"/>
  <c r="I28" i="19"/>
  <c r="K28" i="19"/>
  <c r="L41" i="19"/>
  <c r="U29" i="19"/>
  <c r="T29" i="19"/>
  <c r="J20" i="19"/>
  <c r="J21" i="19"/>
  <c r="J22" i="19"/>
  <c r="J23" i="19"/>
  <c r="J24" i="19"/>
  <c r="J25" i="19"/>
  <c r="J26" i="19"/>
  <c r="J27" i="19"/>
  <c r="J29" i="19"/>
  <c r="P15" i="19"/>
  <c r="P29" i="19"/>
  <c r="K41" i="19"/>
  <c r="R29" i="19"/>
  <c r="Q29" i="19"/>
  <c r="Q14" i="19"/>
  <c r="S28" i="19"/>
  <c r="B27" i="19"/>
  <c r="C27" i="19"/>
  <c r="D27" i="19"/>
  <c r="E27" i="19"/>
  <c r="F27" i="19"/>
  <c r="G27" i="19"/>
  <c r="H27" i="19"/>
  <c r="K27" i="19"/>
  <c r="L40" i="19"/>
  <c r="U28" i="19"/>
  <c r="T28" i="19"/>
  <c r="I20" i="19"/>
  <c r="I21" i="19"/>
  <c r="I22" i="19"/>
  <c r="I23" i="19"/>
  <c r="I24" i="19"/>
  <c r="I25" i="19"/>
  <c r="I26" i="19"/>
  <c r="I29" i="19"/>
  <c r="P14" i="19"/>
  <c r="P28" i="19"/>
  <c r="K40" i="19"/>
  <c r="R28" i="19"/>
  <c r="Q28" i="19"/>
  <c r="Q13" i="19"/>
  <c r="S27" i="19"/>
  <c r="B26" i="19"/>
  <c r="C26" i="19"/>
  <c r="D26" i="19"/>
  <c r="E26" i="19"/>
  <c r="F26" i="19"/>
  <c r="G26" i="19"/>
  <c r="K26" i="19"/>
  <c r="L39" i="19"/>
  <c r="U27" i="19"/>
  <c r="T27" i="19"/>
  <c r="H20" i="19"/>
  <c r="H21" i="19"/>
  <c r="H22" i="19"/>
  <c r="H23" i="19"/>
  <c r="H24" i="19"/>
  <c r="H25" i="19"/>
  <c r="H29" i="19"/>
  <c r="P13" i="19"/>
  <c r="P27" i="19"/>
  <c r="K39" i="19"/>
  <c r="R27" i="19"/>
  <c r="Q27" i="19"/>
  <c r="Q12" i="19"/>
  <c r="S26" i="19"/>
  <c r="B25" i="19"/>
  <c r="C25" i="19"/>
  <c r="D25" i="19"/>
  <c r="E25" i="19"/>
  <c r="F25" i="19"/>
  <c r="K25" i="19"/>
  <c r="L38" i="19"/>
  <c r="U26" i="19"/>
  <c r="T26" i="19"/>
  <c r="G20" i="19"/>
  <c r="G21" i="19"/>
  <c r="G22" i="19"/>
  <c r="G23" i="19"/>
  <c r="G24" i="19"/>
  <c r="G29" i="19"/>
  <c r="P12" i="19"/>
  <c r="P26" i="19"/>
  <c r="K38" i="19"/>
  <c r="R26" i="19"/>
  <c r="Q26" i="19"/>
  <c r="Q11" i="19"/>
  <c r="S25" i="19"/>
  <c r="B24" i="19"/>
  <c r="C24" i="19"/>
  <c r="D24" i="19"/>
  <c r="E24" i="19"/>
  <c r="K24" i="19"/>
  <c r="L37" i="19"/>
  <c r="U25" i="19"/>
  <c r="T25" i="19"/>
  <c r="F20" i="19"/>
  <c r="F21" i="19"/>
  <c r="F22" i="19"/>
  <c r="F23" i="19"/>
  <c r="F29" i="19"/>
  <c r="P11" i="19"/>
  <c r="P25" i="19"/>
  <c r="K37" i="19"/>
  <c r="R25" i="19"/>
  <c r="Q25" i="19"/>
  <c r="Q10" i="19"/>
  <c r="S24" i="19"/>
  <c r="B23" i="19"/>
  <c r="C23" i="19"/>
  <c r="D23" i="19"/>
  <c r="K23" i="19"/>
  <c r="L36" i="19"/>
  <c r="U24" i="19"/>
  <c r="T24" i="19"/>
  <c r="E20" i="19"/>
  <c r="E21" i="19"/>
  <c r="E22" i="19"/>
  <c r="E29" i="19"/>
  <c r="P10" i="19"/>
  <c r="P24" i="19"/>
  <c r="K36" i="19"/>
  <c r="R24" i="19"/>
  <c r="Q24" i="19"/>
  <c r="Q9" i="19"/>
  <c r="S23" i="19"/>
  <c r="B22" i="19"/>
  <c r="C22" i="19"/>
  <c r="K22" i="19"/>
  <c r="L35" i="19"/>
  <c r="U23" i="19"/>
  <c r="T23" i="19"/>
  <c r="D20" i="19"/>
  <c r="D21" i="19"/>
  <c r="D29" i="19"/>
  <c r="P9" i="19"/>
  <c r="P23" i="19"/>
  <c r="K35" i="19"/>
  <c r="R23" i="19"/>
  <c r="Q23" i="19"/>
  <c r="Q8" i="19"/>
  <c r="S22" i="19"/>
  <c r="B21" i="19"/>
  <c r="K21" i="19"/>
  <c r="L34" i="19"/>
  <c r="U22" i="19"/>
  <c r="T22" i="19"/>
  <c r="C20" i="19"/>
  <c r="C29" i="19"/>
  <c r="P8" i="19"/>
  <c r="P22" i="19"/>
  <c r="K34" i="19"/>
  <c r="R22" i="19"/>
  <c r="Q22" i="19"/>
  <c r="Q7" i="19"/>
  <c r="S21" i="19"/>
  <c r="K20" i="19"/>
  <c r="L33" i="19"/>
  <c r="U21" i="19"/>
  <c r="T21" i="19"/>
  <c r="B29" i="19"/>
  <c r="P7" i="19"/>
  <c r="P21" i="19"/>
  <c r="K33" i="19"/>
  <c r="R21" i="19"/>
  <c r="Q21" i="19"/>
  <c r="L20" i="18"/>
  <c r="L29" i="18"/>
  <c r="M20" i="18"/>
  <c r="L21" i="18"/>
  <c r="M21" i="18"/>
  <c r="L22" i="18"/>
  <c r="M22" i="18"/>
  <c r="L23" i="18"/>
  <c r="M23" i="18"/>
  <c r="L24" i="18"/>
  <c r="M24" i="18"/>
  <c r="L25" i="18"/>
  <c r="M25" i="18"/>
  <c r="L26" i="18"/>
  <c r="M26" i="18"/>
  <c r="L27" i="18"/>
  <c r="M27" i="18"/>
  <c r="L28" i="18"/>
  <c r="M28" i="18"/>
  <c r="R16" i="18"/>
  <c r="P33" i="18"/>
  <c r="R33" i="18"/>
  <c r="Q33" i="18"/>
  <c r="Q15" i="18"/>
  <c r="S29" i="18"/>
  <c r="B28" i="18"/>
  <c r="C28" i="18"/>
  <c r="D28" i="18"/>
  <c r="E28" i="18"/>
  <c r="F28" i="18"/>
  <c r="G28" i="18"/>
  <c r="H28" i="18"/>
  <c r="I28" i="18"/>
  <c r="K28" i="18"/>
  <c r="L41" i="18"/>
  <c r="U29" i="18"/>
  <c r="T29" i="18"/>
  <c r="J20" i="18"/>
  <c r="J21" i="18"/>
  <c r="J22" i="18"/>
  <c r="J23" i="18"/>
  <c r="J24" i="18"/>
  <c r="J25" i="18"/>
  <c r="J26" i="18"/>
  <c r="J27" i="18"/>
  <c r="J29" i="18"/>
  <c r="P15" i="18"/>
  <c r="P29" i="18"/>
  <c r="K41" i="18"/>
  <c r="R29" i="18"/>
  <c r="Q29" i="18"/>
  <c r="Q14" i="18"/>
  <c r="S28" i="18"/>
  <c r="B27" i="18"/>
  <c r="C27" i="18"/>
  <c r="D27" i="18"/>
  <c r="E27" i="18"/>
  <c r="F27" i="18"/>
  <c r="G27" i="18"/>
  <c r="H27" i="18"/>
  <c r="K27" i="18"/>
  <c r="L40" i="18"/>
  <c r="U28" i="18"/>
  <c r="T28" i="18"/>
  <c r="I20" i="18"/>
  <c r="I21" i="18"/>
  <c r="I22" i="18"/>
  <c r="I23" i="18"/>
  <c r="I24" i="18"/>
  <c r="I25" i="18"/>
  <c r="I26" i="18"/>
  <c r="I29" i="18"/>
  <c r="P14" i="18"/>
  <c r="P28" i="18"/>
  <c r="K40" i="18"/>
  <c r="R28" i="18"/>
  <c r="Q28" i="18"/>
  <c r="Q13" i="18"/>
  <c r="S27" i="18"/>
  <c r="B26" i="18"/>
  <c r="C26" i="18"/>
  <c r="D26" i="18"/>
  <c r="E26" i="18"/>
  <c r="F26" i="18"/>
  <c r="G26" i="18"/>
  <c r="K26" i="18"/>
  <c r="L39" i="18"/>
  <c r="U27" i="18"/>
  <c r="T27" i="18"/>
  <c r="H20" i="18"/>
  <c r="H21" i="18"/>
  <c r="H22" i="18"/>
  <c r="H23" i="18"/>
  <c r="H24" i="18"/>
  <c r="H25" i="18"/>
  <c r="H29" i="18"/>
  <c r="P13" i="18"/>
  <c r="P27" i="18"/>
  <c r="K39" i="18"/>
  <c r="R27" i="18"/>
  <c r="Q27" i="18"/>
  <c r="Q12" i="18"/>
  <c r="S26" i="18"/>
  <c r="B25" i="18"/>
  <c r="C25" i="18"/>
  <c r="D25" i="18"/>
  <c r="E25" i="18"/>
  <c r="F25" i="18"/>
  <c r="K25" i="18"/>
  <c r="L38" i="18"/>
  <c r="U26" i="18"/>
  <c r="T26" i="18"/>
  <c r="G20" i="18"/>
  <c r="G21" i="18"/>
  <c r="G22" i="18"/>
  <c r="G23" i="18"/>
  <c r="G24" i="18"/>
  <c r="G29" i="18"/>
  <c r="P12" i="18"/>
  <c r="P26" i="18"/>
  <c r="K38" i="18"/>
  <c r="R26" i="18"/>
  <c r="Q26" i="18"/>
  <c r="Q11" i="18"/>
  <c r="S25" i="18"/>
  <c r="B24" i="18"/>
  <c r="C24" i="18"/>
  <c r="D24" i="18"/>
  <c r="E24" i="18"/>
  <c r="K24" i="18"/>
  <c r="L37" i="18"/>
  <c r="U25" i="18"/>
  <c r="T25" i="18"/>
  <c r="F20" i="18"/>
  <c r="F21" i="18"/>
  <c r="F22" i="18"/>
  <c r="F23" i="18"/>
  <c r="F29" i="18"/>
  <c r="P11" i="18"/>
  <c r="P25" i="18"/>
  <c r="K37" i="18"/>
  <c r="R25" i="18"/>
  <c r="Q25" i="18"/>
  <c r="Q10" i="18"/>
  <c r="S24" i="18"/>
  <c r="B23" i="18"/>
  <c r="C23" i="18"/>
  <c r="D23" i="18"/>
  <c r="K23" i="18"/>
  <c r="L36" i="18"/>
  <c r="U24" i="18"/>
  <c r="T24" i="18"/>
  <c r="E20" i="18"/>
  <c r="E21" i="18"/>
  <c r="E22" i="18"/>
  <c r="E29" i="18"/>
  <c r="P10" i="18"/>
  <c r="P24" i="18"/>
  <c r="K36" i="18"/>
  <c r="R24" i="18"/>
  <c r="Q24" i="18"/>
  <c r="Q9" i="18"/>
  <c r="S23" i="18"/>
  <c r="B22" i="18"/>
  <c r="C22" i="18"/>
  <c r="K22" i="18"/>
  <c r="L35" i="18"/>
  <c r="U23" i="18"/>
  <c r="T23" i="18"/>
  <c r="D20" i="18"/>
  <c r="D21" i="18"/>
  <c r="D29" i="18"/>
  <c r="P9" i="18"/>
  <c r="P23" i="18"/>
  <c r="K35" i="18"/>
  <c r="R23" i="18"/>
  <c r="Q23" i="18"/>
  <c r="Q8" i="18"/>
  <c r="S22" i="18"/>
  <c r="B21" i="18"/>
  <c r="K21" i="18"/>
  <c r="L34" i="18"/>
  <c r="U22" i="18"/>
  <c r="T22" i="18"/>
  <c r="C20" i="18"/>
  <c r="C29" i="18"/>
  <c r="P8" i="18"/>
  <c r="P22" i="18"/>
  <c r="K34" i="18"/>
  <c r="R22" i="18"/>
  <c r="Q22" i="18"/>
  <c r="Q7" i="18"/>
  <c r="S21" i="18"/>
  <c r="K20" i="18"/>
  <c r="L33" i="18"/>
  <c r="U21" i="18"/>
  <c r="T21" i="18"/>
  <c r="B29" i="18"/>
  <c r="P7" i="18"/>
  <c r="P21" i="18"/>
  <c r="K33" i="18"/>
  <c r="R21" i="18"/>
  <c r="Q21" i="18"/>
  <c r="L20" i="17"/>
  <c r="L29" i="17"/>
  <c r="M20" i="17"/>
  <c r="L21" i="17"/>
  <c r="M21" i="17"/>
  <c r="L22" i="17"/>
  <c r="M22" i="17"/>
  <c r="L23" i="17"/>
  <c r="M23" i="17"/>
  <c r="L24" i="17"/>
  <c r="M24" i="17"/>
  <c r="L25" i="17"/>
  <c r="M25" i="17"/>
  <c r="L26" i="17"/>
  <c r="M26" i="17"/>
  <c r="L27" i="17"/>
  <c r="M27" i="17"/>
  <c r="L28" i="17"/>
  <c r="M28" i="17"/>
  <c r="R16" i="17"/>
  <c r="P33" i="17"/>
  <c r="R33" i="17"/>
  <c r="Q33" i="17"/>
  <c r="Q15" i="17"/>
  <c r="S29" i="17"/>
  <c r="B28" i="17"/>
  <c r="C28" i="17"/>
  <c r="D28" i="17"/>
  <c r="E28" i="17"/>
  <c r="F28" i="17"/>
  <c r="G28" i="17"/>
  <c r="H28" i="17"/>
  <c r="I28" i="17"/>
  <c r="K28" i="17"/>
  <c r="L41" i="17"/>
  <c r="U29" i="17"/>
  <c r="T29" i="17"/>
  <c r="J20" i="17"/>
  <c r="J21" i="17"/>
  <c r="J22" i="17"/>
  <c r="J23" i="17"/>
  <c r="J24" i="17"/>
  <c r="J25" i="17"/>
  <c r="J26" i="17"/>
  <c r="J27" i="17"/>
  <c r="J29" i="17"/>
  <c r="P15" i="17"/>
  <c r="P29" i="17"/>
  <c r="K41" i="17"/>
  <c r="R29" i="17"/>
  <c r="Q29" i="17"/>
  <c r="Q14" i="17"/>
  <c r="S28" i="17"/>
  <c r="B27" i="17"/>
  <c r="C27" i="17"/>
  <c r="D27" i="17"/>
  <c r="E27" i="17"/>
  <c r="F27" i="17"/>
  <c r="G27" i="17"/>
  <c r="H27" i="17"/>
  <c r="K27" i="17"/>
  <c r="L40" i="17"/>
  <c r="U28" i="17"/>
  <c r="T28" i="17"/>
  <c r="I20" i="17"/>
  <c r="I21" i="17"/>
  <c r="I22" i="17"/>
  <c r="I23" i="17"/>
  <c r="I24" i="17"/>
  <c r="I25" i="17"/>
  <c r="I26" i="17"/>
  <c r="I29" i="17"/>
  <c r="P14" i="17"/>
  <c r="P28" i="17"/>
  <c r="K40" i="17"/>
  <c r="R28" i="17"/>
  <c r="Q28" i="17"/>
  <c r="Q13" i="17"/>
  <c r="S27" i="17"/>
  <c r="B26" i="17"/>
  <c r="C26" i="17"/>
  <c r="D26" i="17"/>
  <c r="E26" i="17"/>
  <c r="F26" i="17"/>
  <c r="G26" i="17"/>
  <c r="K26" i="17"/>
  <c r="L39" i="17"/>
  <c r="U27" i="17"/>
  <c r="T27" i="17"/>
  <c r="H20" i="17"/>
  <c r="H21" i="17"/>
  <c r="H22" i="17"/>
  <c r="H23" i="17"/>
  <c r="H24" i="17"/>
  <c r="H25" i="17"/>
  <c r="H29" i="17"/>
  <c r="P13" i="17"/>
  <c r="P27" i="17"/>
  <c r="K39" i="17"/>
  <c r="R27" i="17"/>
  <c r="Q27" i="17"/>
  <c r="Q12" i="17"/>
  <c r="S26" i="17"/>
  <c r="B25" i="17"/>
  <c r="C25" i="17"/>
  <c r="D25" i="17"/>
  <c r="E25" i="17"/>
  <c r="F25" i="17"/>
  <c r="K25" i="17"/>
  <c r="L38" i="17"/>
  <c r="U26" i="17"/>
  <c r="T26" i="17"/>
  <c r="G20" i="17"/>
  <c r="G21" i="17"/>
  <c r="G22" i="17"/>
  <c r="G23" i="17"/>
  <c r="G24" i="17"/>
  <c r="G29" i="17"/>
  <c r="P12" i="17"/>
  <c r="P26" i="17"/>
  <c r="K38" i="17"/>
  <c r="R26" i="17"/>
  <c r="Q26" i="17"/>
  <c r="Q11" i="17"/>
  <c r="S25" i="17"/>
  <c r="B24" i="17"/>
  <c r="C24" i="17"/>
  <c r="D24" i="17"/>
  <c r="E24" i="17"/>
  <c r="K24" i="17"/>
  <c r="L37" i="17"/>
  <c r="U25" i="17"/>
  <c r="T25" i="17"/>
  <c r="F20" i="17"/>
  <c r="F21" i="17"/>
  <c r="F22" i="17"/>
  <c r="F23" i="17"/>
  <c r="F29" i="17"/>
  <c r="P11" i="17"/>
  <c r="P25" i="17"/>
  <c r="K37" i="17"/>
  <c r="R25" i="17"/>
  <c r="Q25" i="17"/>
  <c r="Q10" i="17"/>
  <c r="S24" i="17"/>
  <c r="B23" i="17"/>
  <c r="C23" i="17"/>
  <c r="D23" i="17"/>
  <c r="K23" i="17"/>
  <c r="L36" i="17"/>
  <c r="U24" i="17"/>
  <c r="T24" i="17"/>
  <c r="E20" i="17"/>
  <c r="E21" i="17"/>
  <c r="E22" i="17"/>
  <c r="E29" i="17"/>
  <c r="P10" i="17"/>
  <c r="P24" i="17"/>
  <c r="K36" i="17"/>
  <c r="R24" i="17"/>
  <c r="Q24" i="17"/>
  <c r="Q9" i="17"/>
  <c r="S23" i="17"/>
  <c r="B22" i="17"/>
  <c r="C22" i="17"/>
  <c r="K22" i="17"/>
  <c r="L35" i="17"/>
  <c r="U23" i="17"/>
  <c r="T23" i="17"/>
  <c r="D20" i="17"/>
  <c r="D21" i="17"/>
  <c r="D29" i="17"/>
  <c r="P9" i="17"/>
  <c r="P23" i="17"/>
  <c r="K35" i="17"/>
  <c r="R23" i="17"/>
  <c r="Q23" i="17"/>
  <c r="Q8" i="17"/>
  <c r="S22" i="17"/>
  <c r="B21" i="17"/>
  <c r="K21" i="17"/>
  <c r="L34" i="17"/>
  <c r="U22" i="17"/>
  <c r="T22" i="17"/>
  <c r="C20" i="17"/>
  <c r="C29" i="17"/>
  <c r="P8" i="17"/>
  <c r="P22" i="17"/>
  <c r="K34" i="17"/>
  <c r="R22" i="17"/>
  <c r="Q22" i="17"/>
  <c r="Q7" i="17"/>
  <c r="S21" i="17"/>
  <c r="K20" i="17"/>
  <c r="L33" i="17"/>
  <c r="U21" i="17"/>
  <c r="T21" i="17"/>
  <c r="B29" i="17"/>
  <c r="P7" i="17"/>
  <c r="P21" i="17"/>
  <c r="K33" i="17"/>
  <c r="R21" i="17"/>
  <c r="Q21" i="17"/>
  <c r="L20" i="16"/>
  <c r="L29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R16" i="16"/>
  <c r="P33" i="16"/>
  <c r="R33" i="16"/>
  <c r="Q33" i="16"/>
  <c r="Q15" i="16"/>
  <c r="S29" i="16"/>
  <c r="B28" i="16"/>
  <c r="C28" i="16"/>
  <c r="D28" i="16"/>
  <c r="E28" i="16"/>
  <c r="F28" i="16"/>
  <c r="G28" i="16"/>
  <c r="H28" i="16"/>
  <c r="I28" i="16"/>
  <c r="K28" i="16"/>
  <c r="L41" i="16"/>
  <c r="U29" i="16"/>
  <c r="T29" i="16"/>
  <c r="J20" i="16"/>
  <c r="J21" i="16"/>
  <c r="J22" i="16"/>
  <c r="J23" i="16"/>
  <c r="J24" i="16"/>
  <c r="J25" i="16"/>
  <c r="J26" i="16"/>
  <c r="J27" i="16"/>
  <c r="J29" i="16"/>
  <c r="P15" i="16"/>
  <c r="P29" i="16"/>
  <c r="K41" i="16"/>
  <c r="R29" i="16"/>
  <c r="Q29" i="16"/>
  <c r="Q14" i="16"/>
  <c r="S28" i="16"/>
  <c r="B27" i="16"/>
  <c r="C27" i="16"/>
  <c r="D27" i="16"/>
  <c r="E27" i="16"/>
  <c r="F27" i="16"/>
  <c r="G27" i="16"/>
  <c r="H27" i="16"/>
  <c r="K27" i="16"/>
  <c r="L40" i="16"/>
  <c r="U28" i="16"/>
  <c r="T28" i="16"/>
  <c r="I20" i="16"/>
  <c r="I21" i="16"/>
  <c r="I22" i="16"/>
  <c r="I23" i="16"/>
  <c r="I24" i="16"/>
  <c r="I25" i="16"/>
  <c r="I26" i="16"/>
  <c r="I29" i="16"/>
  <c r="P14" i="16"/>
  <c r="P28" i="16"/>
  <c r="K40" i="16"/>
  <c r="R28" i="16"/>
  <c r="Q28" i="16"/>
  <c r="Q13" i="16"/>
  <c r="S27" i="16"/>
  <c r="B26" i="16"/>
  <c r="C26" i="16"/>
  <c r="D26" i="16"/>
  <c r="E26" i="16"/>
  <c r="F26" i="16"/>
  <c r="G26" i="16"/>
  <c r="K26" i="16"/>
  <c r="L39" i="16"/>
  <c r="U27" i="16"/>
  <c r="T27" i="16"/>
  <c r="H20" i="16"/>
  <c r="H21" i="16"/>
  <c r="H22" i="16"/>
  <c r="H23" i="16"/>
  <c r="H24" i="16"/>
  <c r="H25" i="16"/>
  <c r="H29" i="16"/>
  <c r="P13" i="16"/>
  <c r="P27" i="16"/>
  <c r="K39" i="16"/>
  <c r="R27" i="16"/>
  <c r="Q27" i="16"/>
  <c r="Q12" i="16"/>
  <c r="S26" i="16"/>
  <c r="B25" i="16"/>
  <c r="C25" i="16"/>
  <c r="D25" i="16"/>
  <c r="E25" i="16"/>
  <c r="F25" i="16"/>
  <c r="K25" i="16"/>
  <c r="L38" i="16"/>
  <c r="U26" i="16"/>
  <c r="T26" i="16"/>
  <c r="G20" i="16"/>
  <c r="G21" i="16"/>
  <c r="G22" i="16"/>
  <c r="G23" i="16"/>
  <c r="G24" i="16"/>
  <c r="G29" i="16"/>
  <c r="P12" i="16"/>
  <c r="P26" i="16"/>
  <c r="K38" i="16"/>
  <c r="R26" i="16"/>
  <c r="Q26" i="16"/>
  <c r="Q11" i="16"/>
  <c r="S25" i="16"/>
  <c r="B24" i="16"/>
  <c r="C24" i="16"/>
  <c r="D24" i="16"/>
  <c r="E24" i="16"/>
  <c r="K24" i="16"/>
  <c r="L37" i="16"/>
  <c r="U25" i="16"/>
  <c r="T25" i="16"/>
  <c r="F20" i="16"/>
  <c r="F21" i="16"/>
  <c r="F22" i="16"/>
  <c r="F23" i="16"/>
  <c r="F29" i="16"/>
  <c r="P11" i="16"/>
  <c r="P25" i="16"/>
  <c r="K37" i="16"/>
  <c r="R25" i="16"/>
  <c r="Q25" i="16"/>
  <c r="Q10" i="16"/>
  <c r="S24" i="16"/>
  <c r="B23" i="16"/>
  <c r="C23" i="16"/>
  <c r="D23" i="16"/>
  <c r="K23" i="16"/>
  <c r="L36" i="16"/>
  <c r="U24" i="16"/>
  <c r="T24" i="16"/>
  <c r="E20" i="16"/>
  <c r="E21" i="16"/>
  <c r="E22" i="16"/>
  <c r="E29" i="16"/>
  <c r="P10" i="16"/>
  <c r="P24" i="16"/>
  <c r="K36" i="16"/>
  <c r="R24" i="16"/>
  <c r="Q24" i="16"/>
  <c r="Q9" i="16"/>
  <c r="S23" i="16"/>
  <c r="B22" i="16"/>
  <c r="C22" i="16"/>
  <c r="K22" i="16"/>
  <c r="L35" i="16"/>
  <c r="U23" i="16"/>
  <c r="T23" i="16"/>
  <c r="D20" i="16"/>
  <c r="D21" i="16"/>
  <c r="D29" i="16"/>
  <c r="P9" i="16"/>
  <c r="P23" i="16"/>
  <c r="K35" i="16"/>
  <c r="R23" i="16"/>
  <c r="Q23" i="16"/>
  <c r="Q8" i="16"/>
  <c r="S22" i="16"/>
  <c r="B21" i="16"/>
  <c r="K21" i="16"/>
  <c r="L34" i="16"/>
  <c r="U22" i="16"/>
  <c r="T22" i="16"/>
  <c r="C20" i="16"/>
  <c r="C29" i="16"/>
  <c r="P8" i="16"/>
  <c r="P22" i="16"/>
  <c r="K34" i="16"/>
  <c r="R22" i="16"/>
  <c r="Q22" i="16"/>
  <c r="Q7" i="16"/>
  <c r="S21" i="16"/>
  <c r="K20" i="16"/>
  <c r="L33" i="16"/>
  <c r="U21" i="16"/>
  <c r="T21" i="16"/>
  <c r="B29" i="16"/>
  <c r="P7" i="16"/>
  <c r="P21" i="16"/>
  <c r="K33" i="16"/>
  <c r="R21" i="16"/>
  <c r="Q21" i="16"/>
  <c r="L20" i="15"/>
  <c r="L29" i="15"/>
  <c r="M20" i="15"/>
  <c r="L21" i="15"/>
  <c r="M21" i="15"/>
  <c r="L22" i="15"/>
  <c r="M22" i="15"/>
  <c r="L23" i="15"/>
  <c r="M23" i="15"/>
  <c r="L24" i="15"/>
  <c r="M24" i="15"/>
  <c r="L25" i="15"/>
  <c r="M25" i="15"/>
  <c r="L26" i="15"/>
  <c r="M26" i="15"/>
  <c r="L27" i="15"/>
  <c r="M27" i="15"/>
  <c r="L28" i="15"/>
  <c r="M28" i="15"/>
  <c r="R16" i="15"/>
  <c r="P33" i="15"/>
  <c r="R33" i="15"/>
  <c r="Q33" i="15"/>
  <c r="Q15" i="15"/>
  <c r="S29" i="15"/>
  <c r="B28" i="15"/>
  <c r="C28" i="15"/>
  <c r="D28" i="15"/>
  <c r="E28" i="15"/>
  <c r="F28" i="15"/>
  <c r="G28" i="15"/>
  <c r="H28" i="15"/>
  <c r="I28" i="15"/>
  <c r="K28" i="15"/>
  <c r="L41" i="15"/>
  <c r="U29" i="15"/>
  <c r="T29" i="15"/>
  <c r="J20" i="15"/>
  <c r="J21" i="15"/>
  <c r="J22" i="15"/>
  <c r="J23" i="15"/>
  <c r="J24" i="15"/>
  <c r="J25" i="15"/>
  <c r="J26" i="15"/>
  <c r="J27" i="15"/>
  <c r="J29" i="15"/>
  <c r="P15" i="15"/>
  <c r="P29" i="15"/>
  <c r="K41" i="15"/>
  <c r="R29" i="15"/>
  <c r="Q29" i="15"/>
  <c r="Q14" i="15"/>
  <c r="S28" i="15"/>
  <c r="B27" i="15"/>
  <c r="C27" i="15"/>
  <c r="D27" i="15"/>
  <c r="E27" i="15"/>
  <c r="F27" i="15"/>
  <c r="G27" i="15"/>
  <c r="H27" i="15"/>
  <c r="K27" i="15"/>
  <c r="L40" i="15"/>
  <c r="U28" i="15"/>
  <c r="T28" i="15"/>
  <c r="I20" i="15"/>
  <c r="I21" i="15"/>
  <c r="I22" i="15"/>
  <c r="I23" i="15"/>
  <c r="I24" i="15"/>
  <c r="I25" i="15"/>
  <c r="I26" i="15"/>
  <c r="I29" i="15"/>
  <c r="P14" i="15"/>
  <c r="P28" i="15"/>
  <c r="K40" i="15"/>
  <c r="R28" i="15"/>
  <c r="Q28" i="15"/>
  <c r="Q13" i="15"/>
  <c r="S27" i="15"/>
  <c r="B26" i="15"/>
  <c r="C26" i="15"/>
  <c r="D26" i="15"/>
  <c r="E26" i="15"/>
  <c r="F26" i="15"/>
  <c r="G26" i="15"/>
  <c r="K26" i="15"/>
  <c r="L39" i="15"/>
  <c r="U27" i="15"/>
  <c r="T27" i="15"/>
  <c r="H20" i="15"/>
  <c r="H21" i="15"/>
  <c r="H22" i="15"/>
  <c r="H23" i="15"/>
  <c r="H24" i="15"/>
  <c r="H25" i="15"/>
  <c r="H29" i="15"/>
  <c r="P13" i="15"/>
  <c r="P27" i="15"/>
  <c r="K39" i="15"/>
  <c r="R27" i="15"/>
  <c r="Q27" i="15"/>
  <c r="Q12" i="15"/>
  <c r="S26" i="15"/>
  <c r="B25" i="15"/>
  <c r="C25" i="15"/>
  <c r="D25" i="15"/>
  <c r="E25" i="15"/>
  <c r="F25" i="15"/>
  <c r="K25" i="15"/>
  <c r="L38" i="15"/>
  <c r="U26" i="15"/>
  <c r="T26" i="15"/>
  <c r="G20" i="15"/>
  <c r="G21" i="15"/>
  <c r="G22" i="15"/>
  <c r="G23" i="15"/>
  <c r="G24" i="15"/>
  <c r="G29" i="15"/>
  <c r="P12" i="15"/>
  <c r="P26" i="15"/>
  <c r="K38" i="15"/>
  <c r="R26" i="15"/>
  <c r="Q26" i="15"/>
  <c r="Q11" i="15"/>
  <c r="S25" i="15"/>
  <c r="B24" i="15"/>
  <c r="C24" i="15"/>
  <c r="D24" i="15"/>
  <c r="E24" i="15"/>
  <c r="K24" i="15"/>
  <c r="L37" i="15"/>
  <c r="U25" i="15"/>
  <c r="T25" i="15"/>
  <c r="F20" i="15"/>
  <c r="F21" i="15"/>
  <c r="F22" i="15"/>
  <c r="F23" i="15"/>
  <c r="F29" i="15"/>
  <c r="P11" i="15"/>
  <c r="P25" i="15"/>
  <c r="K37" i="15"/>
  <c r="R25" i="15"/>
  <c r="Q25" i="15"/>
  <c r="Q10" i="15"/>
  <c r="S24" i="15"/>
  <c r="B23" i="15"/>
  <c r="C23" i="15"/>
  <c r="D23" i="15"/>
  <c r="K23" i="15"/>
  <c r="L36" i="15"/>
  <c r="U24" i="15"/>
  <c r="T24" i="15"/>
  <c r="E20" i="15"/>
  <c r="E21" i="15"/>
  <c r="E22" i="15"/>
  <c r="E29" i="15"/>
  <c r="P10" i="15"/>
  <c r="P24" i="15"/>
  <c r="K36" i="15"/>
  <c r="R24" i="15"/>
  <c r="Q24" i="15"/>
  <c r="Q9" i="15"/>
  <c r="S23" i="15"/>
  <c r="B22" i="15"/>
  <c r="C22" i="15"/>
  <c r="K22" i="15"/>
  <c r="L35" i="15"/>
  <c r="U23" i="15"/>
  <c r="T23" i="15"/>
  <c r="D20" i="15"/>
  <c r="D21" i="15"/>
  <c r="D29" i="15"/>
  <c r="P9" i="15"/>
  <c r="P23" i="15"/>
  <c r="K35" i="15"/>
  <c r="R23" i="15"/>
  <c r="Q23" i="15"/>
  <c r="Q8" i="15"/>
  <c r="S22" i="15"/>
  <c r="B21" i="15"/>
  <c r="K21" i="15"/>
  <c r="L34" i="15"/>
  <c r="U22" i="15"/>
  <c r="T22" i="15"/>
  <c r="C20" i="15"/>
  <c r="C29" i="15"/>
  <c r="P8" i="15"/>
  <c r="P22" i="15"/>
  <c r="K34" i="15"/>
  <c r="R22" i="15"/>
  <c r="Q22" i="15"/>
  <c r="Q7" i="15"/>
  <c r="S21" i="15"/>
  <c r="K20" i="15"/>
  <c r="L33" i="15"/>
  <c r="U21" i="15"/>
  <c r="T21" i="15"/>
  <c r="B29" i="15"/>
  <c r="P7" i="15"/>
  <c r="P21" i="15"/>
  <c r="K33" i="15"/>
  <c r="R21" i="15"/>
  <c r="Q21" i="15"/>
  <c r="L29" i="11"/>
  <c r="L20" i="11"/>
  <c r="M20" i="11"/>
  <c r="L21" i="11"/>
  <c r="M21" i="11"/>
  <c r="L22" i="11"/>
  <c r="M22" i="11"/>
  <c r="L23" i="11"/>
  <c r="M23" i="11"/>
  <c r="L24" i="11"/>
  <c r="M24" i="11"/>
  <c r="L25" i="11"/>
  <c r="M25" i="11"/>
  <c r="L26" i="11"/>
  <c r="M26" i="11"/>
  <c r="L27" i="11"/>
  <c r="M27" i="11"/>
  <c r="L28" i="11"/>
  <c r="M28" i="11"/>
  <c r="R16" i="11"/>
  <c r="P33" i="11"/>
  <c r="R33" i="11"/>
  <c r="Q33" i="11"/>
  <c r="Q15" i="11"/>
  <c r="S29" i="11"/>
  <c r="B28" i="11"/>
  <c r="C28" i="11"/>
  <c r="D28" i="11"/>
  <c r="E28" i="11"/>
  <c r="F28" i="11"/>
  <c r="G28" i="11"/>
  <c r="H28" i="11"/>
  <c r="I28" i="11"/>
  <c r="K28" i="11"/>
  <c r="L41" i="11"/>
  <c r="U29" i="11"/>
  <c r="T29" i="11"/>
  <c r="J20" i="11"/>
  <c r="J21" i="11"/>
  <c r="J22" i="11"/>
  <c r="J23" i="11"/>
  <c r="J24" i="11"/>
  <c r="J25" i="11"/>
  <c r="J26" i="11"/>
  <c r="J27" i="11"/>
  <c r="J29" i="11"/>
  <c r="P15" i="11"/>
  <c r="P29" i="11"/>
  <c r="K41" i="11"/>
  <c r="R29" i="11"/>
  <c r="Q29" i="11"/>
  <c r="Q14" i="11"/>
  <c r="S28" i="11"/>
  <c r="B27" i="11"/>
  <c r="C27" i="11"/>
  <c r="D27" i="11"/>
  <c r="E27" i="11"/>
  <c r="F27" i="11"/>
  <c r="G27" i="11"/>
  <c r="H27" i="11"/>
  <c r="K27" i="11"/>
  <c r="L40" i="11"/>
  <c r="U28" i="11"/>
  <c r="T28" i="11"/>
  <c r="I20" i="11"/>
  <c r="I21" i="11"/>
  <c r="I22" i="11"/>
  <c r="I23" i="11"/>
  <c r="I24" i="11"/>
  <c r="I25" i="11"/>
  <c r="I26" i="11"/>
  <c r="I29" i="11"/>
  <c r="P14" i="11"/>
  <c r="P28" i="11"/>
  <c r="K40" i="11"/>
  <c r="R28" i="11"/>
  <c r="Q28" i="11"/>
  <c r="Q13" i="11"/>
  <c r="S27" i="11"/>
  <c r="B26" i="11"/>
  <c r="C26" i="11"/>
  <c r="D26" i="11"/>
  <c r="E26" i="11"/>
  <c r="F26" i="11"/>
  <c r="G26" i="11"/>
  <c r="K26" i="11"/>
  <c r="L39" i="11"/>
  <c r="U27" i="11"/>
  <c r="T27" i="11"/>
  <c r="H20" i="11"/>
  <c r="H21" i="11"/>
  <c r="H22" i="11"/>
  <c r="H23" i="11"/>
  <c r="H24" i="11"/>
  <c r="H25" i="11"/>
  <c r="H29" i="11"/>
  <c r="P13" i="11"/>
  <c r="P27" i="11"/>
  <c r="K39" i="11"/>
  <c r="R27" i="11"/>
  <c r="Q27" i="11"/>
  <c r="Q12" i="11"/>
  <c r="S26" i="11"/>
  <c r="B25" i="11"/>
  <c r="C25" i="11"/>
  <c r="D25" i="11"/>
  <c r="E25" i="11"/>
  <c r="F25" i="11"/>
  <c r="K25" i="11"/>
  <c r="L38" i="11"/>
  <c r="U26" i="11"/>
  <c r="T26" i="11"/>
  <c r="G20" i="11"/>
  <c r="G21" i="11"/>
  <c r="G22" i="11"/>
  <c r="G23" i="11"/>
  <c r="G24" i="11"/>
  <c r="G29" i="11"/>
  <c r="P12" i="11"/>
  <c r="P26" i="11"/>
  <c r="K38" i="11"/>
  <c r="R26" i="11"/>
  <c r="Q26" i="11"/>
  <c r="Q11" i="11"/>
  <c r="S25" i="11"/>
  <c r="B24" i="11"/>
  <c r="C24" i="11"/>
  <c r="D24" i="11"/>
  <c r="E24" i="11"/>
  <c r="K24" i="11"/>
  <c r="L37" i="11"/>
  <c r="U25" i="11"/>
  <c r="T25" i="11"/>
  <c r="F20" i="11"/>
  <c r="F21" i="11"/>
  <c r="F22" i="11"/>
  <c r="F23" i="11"/>
  <c r="F29" i="11"/>
  <c r="P11" i="11"/>
  <c r="P25" i="11"/>
  <c r="K37" i="11"/>
  <c r="R25" i="11"/>
  <c r="Q25" i="11"/>
  <c r="Q10" i="11"/>
  <c r="S24" i="11"/>
  <c r="B23" i="11"/>
  <c r="C23" i="11"/>
  <c r="D23" i="11"/>
  <c r="K23" i="11"/>
  <c r="L36" i="11"/>
  <c r="U24" i="11"/>
  <c r="T24" i="11"/>
  <c r="E20" i="11"/>
  <c r="E21" i="11"/>
  <c r="E22" i="11"/>
  <c r="E29" i="11"/>
  <c r="P10" i="11"/>
  <c r="P24" i="11"/>
  <c r="K36" i="11"/>
  <c r="R24" i="11"/>
  <c r="Q24" i="11"/>
  <c r="Q9" i="11"/>
  <c r="S23" i="11"/>
  <c r="B22" i="11"/>
  <c r="C22" i="11"/>
  <c r="K22" i="11"/>
  <c r="L35" i="11"/>
  <c r="U23" i="11"/>
  <c r="T23" i="11"/>
  <c r="D20" i="11"/>
  <c r="D21" i="11"/>
  <c r="D29" i="11"/>
  <c r="P9" i="11"/>
  <c r="P23" i="11"/>
  <c r="K35" i="11"/>
  <c r="R23" i="11"/>
  <c r="Q23" i="11"/>
  <c r="Q8" i="11"/>
  <c r="S22" i="11"/>
  <c r="B21" i="11"/>
  <c r="K21" i="11"/>
  <c r="L34" i="11"/>
  <c r="U22" i="11"/>
  <c r="T22" i="11"/>
  <c r="C20" i="11"/>
  <c r="C29" i="11"/>
  <c r="P8" i="11"/>
  <c r="P22" i="11"/>
  <c r="K34" i="11"/>
  <c r="R22" i="11"/>
  <c r="Q22" i="11"/>
  <c r="Q7" i="11"/>
  <c r="S21" i="11"/>
  <c r="K20" i="11"/>
  <c r="L33" i="11"/>
  <c r="U21" i="11"/>
  <c r="T21" i="11"/>
  <c r="B29" i="11"/>
  <c r="P7" i="11"/>
  <c r="P21" i="11"/>
  <c r="K33" i="11"/>
  <c r="R21" i="11"/>
  <c r="Q21" i="11"/>
  <c r="L20" i="10"/>
  <c r="L29" i="10"/>
  <c r="M20" i="10"/>
  <c r="L21" i="10"/>
  <c r="M21" i="10"/>
  <c r="L22" i="10"/>
  <c r="M22" i="10"/>
  <c r="L23" i="10"/>
  <c r="M23" i="10"/>
  <c r="L24" i="10"/>
  <c r="M24" i="10"/>
  <c r="L25" i="10"/>
  <c r="M25" i="10"/>
  <c r="L26" i="10"/>
  <c r="M26" i="10"/>
  <c r="L27" i="10"/>
  <c r="M27" i="10"/>
  <c r="L28" i="10"/>
  <c r="M28" i="10"/>
  <c r="R16" i="10"/>
  <c r="P33" i="10"/>
  <c r="R33" i="10"/>
  <c r="Q33" i="10"/>
  <c r="Q15" i="10"/>
  <c r="S29" i="10"/>
  <c r="B28" i="10"/>
  <c r="C28" i="10"/>
  <c r="D28" i="10"/>
  <c r="E28" i="10"/>
  <c r="F28" i="10"/>
  <c r="G28" i="10"/>
  <c r="H28" i="10"/>
  <c r="I28" i="10"/>
  <c r="K28" i="10"/>
  <c r="L41" i="10"/>
  <c r="U29" i="10"/>
  <c r="T29" i="10"/>
  <c r="J20" i="10"/>
  <c r="J21" i="10"/>
  <c r="J22" i="10"/>
  <c r="J23" i="10"/>
  <c r="J24" i="10"/>
  <c r="J25" i="10"/>
  <c r="J26" i="10"/>
  <c r="J27" i="10"/>
  <c r="J29" i="10"/>
  <c r="P15" i="10"/>
  <c r="P29" i="10"/>
  <c r="K41" i="10"/>
  <c r="R29" i="10"/>
  <c r="Q29" i="10"/>
  <c r="Q14" i="10"/>
  <c r="S28" i="10"/>
  <c r="B27" i="10"/>
  <c r="C27" i="10"/>
  <c r="D27" i="10"/>
  <c r="E27" i="10"/>
  <c r="F27" i="10"/>
  <c r="G27" i="10"/>
  <c r="H27" i="10"/>
  <c r="K27" i="10"/>
  <c r="L40" i="10"/>
  <c r="U28" i="10"/>
  <c r="T28" i="10"/>
  <c r="I20" i="10"/>
  <c r="I21" i="10"/>
  <c r="I22" i="10"/>
  <c r="I23" i="10"/>
  <c r="I24" i="10"/>
  <c r="I25" i="10"/>
  <c r="I26" i="10"/>
  <c r="I29" i="10"/>
  <c r="P14" i="10"/>
  <c r="P28" i="10"/>
  <c r="K40" i="10"/>
  <c r="R28" i="10"/>
  <c r="Q28" i="10"/>
  <c r="Q13" i="10"/>
  <c r="S27" i="10"/>
  <c r="B26" i="10"/>
  <c r="C26" i="10"/>
  <c r="D26" i="10"/>
  <c r="E26" i="10"/>
  <c r="F26" i="10"/>
  <c r="G26" i="10"/>
  <c r="K26" i="10"/>
  <c r="L39" i="10"/>
  <c r="U27" i="10"/>
  <c r="T27" i="10"/>
  <c r="H20" i="10"/>
  <c r="H21" i="10"/>
  <c r="H22" i="10"/>
  <c r="H23" i="10"/>
  <c r="H24" i="10"/>
  <c r="H25" i="10"/>
  <c r="H29" i="10"/>
  <c r="P13" i="10"/>
  <c r="P27" i="10"/>
  <c r="K39" i="10"/>
  <c r="R27" i="10"/>
  <c r="Q27" i="10"/>
  <c r="Q12" i="10"/>
  <c r="S26" i="10"/>
  <c r="B25" i="10"/>
  <c r="C25" i="10"/>
  <c r="D25" i="10"/>
  <c r="E25" i="10"/>
  <c r="F25" i="10"/>
  <c r="K25" i="10"/>
  <c r="L38" i="10"/>
  <c r="U26" i="10"/>
  <c r="T26" i="10"/>
  <c r="G20" i="10"/>
  <c r="G21" i="10"/>
  <c r="G22" i="10"/>
  <c r="G23" i="10"/>
  <c r="G24" i="10"/>
  <c r="G29" i="10"/>
  <c r="P12" i="10"/>
  <c r="P26" i="10"/>
  <c r="K38" i="10"/>
  <c r="R26" i="10"/>
  <c r="Q26" i="10"/>
  <c r="Q11" i="10"/>
  <c r="S25" i="10"/>
  <c r="B24" i="10"/>
  <c r="C24" i="10"/>
  <c r="D24" i="10"/>
  <c r="E24" i="10"/>
  <c r="K24" i="10"/>
  <c r="L37" i="10"/>
  <c r="U25" i="10"/>
  <c r="T25" i="10"/>
  <c r="F20" i="10"/>
  <c r="F21" i="10"/>
  <c r="F22" i="10"/>
  <c r="F23" i="10"/>
  <c r="F29" i="10"/>
  <c r="P11" i="10"/>
  <c r="P25" i="10"/>
  <c r="K37" i="10"/>
  <c r="R25" i="10"/>
  <c r="Q25" i="10"/>
  <c r="Q10" i="10"/>
  <c r="S24" i="10"/>
  <c r="B23" i="10"/>
  <c r="C23" i="10"/>
  <c r="D23" i="10"/>
  <c r="K23" i="10"/>
  <c r="L36" i="10"/>
  <c r="U24" i="10"/>
  <c r="T24" i="10"/>
  <c r="E20" i="10"/>
  <c r="E21" i="10"/>
  <c r="E22" i="10"/>
  <c r="E29" i="10"/>
  <c r="P10" i="10"/>
  <c r="P24" i="10"/>
  <c r="K36" i="10"/>
  <c r="R24" i="10"/>
  <c r="Q24" i="10"/>
  <c r="Q9" i="10"/>
  <c r="S23" i="10"/>
  <c r="B22" i="10"/>
  <c r="C22" i="10"/>
  <c r="K22" i="10"/>
  <c r="L35" i="10"/>
  <c r="U23" i="10"/>
  <c r="T23" i="10"/>
  <c r="D20" i="10"/>
  <c r="D21" i="10"/>
  <c r="D29" i="10"/>
  <c r="P9" i="10"/>
  <c r="P23" i="10"/>
  <c r="K35" i="10"/>
  <c r="R23" i="10"/>
  <c r="Q23" i="10"/>
  <c r="Q8" i="10"/>
  <c r="S22" i="10"/>
  <c r="B21" i="10"/>
  <c r="K21" i="10"/>
  <c r="L34" i="10"/>
  <c r="U22" i="10"/>
  <c r="T22" i="10"/>
  <c r="C20" i="10"/>
  <c r="C29" i="10"/>
  <c r="P8" i="10"/>
  <c r="P22" i="10"/>
  <c r="K34" i="10"/>
  <c r="R22" i="10"/>
  <c r="Q22" i="10"/>
  <c r="Q7" i="10"/>
  <c r="S21" i="10"/>
  <c r="K20" i="10"/>
  <c r="L33" i="10"/>
  <c r="U21" i="10"/>
  <c r="T21" i="10"/>
  <c r="B29" i="10"/>
  <c r="P7" i="10"/>
  <c r="P21" i="10"/>
  <c r="K33" i="10"/>
  <c r="R21" i="10"/>
  <c r="Q21" i="10"/>
  <c r="J20" i="7"/>
  <c r="J21" i="7"/>
  <c r="J22" i="7"/>
  <c r="J23" i="7"/>
  <c r="J24" i="7"/>
  <c r="J25" i="7"/>
  <c r="J26" i="7"/>
  <c r="J27" i="7"/>
  <c r="J29" i="7"/>
  <c r="L20" i="7"/>
  <c r="L29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P15" i="7"/>
  <c r="I20" i="7"/>
  <c r="I21" i="7"/>
  <c r="I22" i="7"/>
  <c r="I23" i="7"/>
  <c r="I24" i="7"/>
  <c r="I25" i="7"/>
  <c r="I26" i="7"/>
  <c r="I28" i="7"/>
  <c r="I29" i="7"/>
  <c r="P14" i="7"/>
  <c r="H20" i="7"/>
  <c r="H21" i="7"/>
  <c r="H22" i="7"/>
  <c r="H23" i="7"/>
  <c r="H24" i="7"/>
  <c r="H25" i="7"/>
  <c r="H27" i="7"/>
  <c r="H28" i="7"/>
  <c r="H29" i="7"/>
  <c r="P13" i="7"/>
  <c r="G20" i="7"/>
  <c r="G21" i="7"/>
  <c r="G22" i="7"/>
  <c r="G23" i="7"/>
  <c r="G24" i="7"/>
  <c r="G26" i="7"/>
  <c r="G27" i="7"/>
  <c r="G28" i="7"/>
  <c r="G29" i="7"/>
  <c r="P12" i="7"/>
  <c r="F20" i="7"/>
  <c r="F21" i="7"/>
  <c r="F22" i="7"/>
  <c r="F23" i="7"/>
  <c r="F25" i="7"/>
  <c r="F26" i="7"/>
  <c r="F27" i="7"/>
  <c r="F28" i="7"/>
  <c r="F29" i="7"/>
  <c r="P11" i="7"/>
  <c r="D20" i="7"/>
  <c r="D21" i="7"/>
  <c r="D23" i="7"/>
  <c r="D24" i="7"/>
  <c r="D25" i="7"/>
  <c r="D26" i="7"/>
  <c r="D27" i="7"/>
  <c r="D28" i="7"/>
  <c r="D29" i="7"/>
  <c r="P9" i="7"/>
  <c r="C20" i="7"/>
  <c r="C22" i="7"/>
  <c r="C23" i="7"/>
  <c r="C24" i="7"/>
  <c r="C25" i="7"/>
  <c r="C26" i="7"/>
  <c r="C27" i="7"/>
  <c r="C28" i="7"/>
  <c r="C29" i="7"/>
  <c r="P8" i="7"/>
  <c r="B21" i="7"/>
  <c r="B22" i="7"/>
  <c r="B23" i="7"/>
  <c r="B24" i="7"/>
  <c r="B25" i="7"/>
  <c r="B26" i="7"/>
  <c r="B27" i="7"/>
  <c r="B28" i="7"/>
  <c r="B29" i="7"/>
  <c r="E20" i="7"/>
  <c r="E21" i="7"/>
  <c r="E22" i="7"/>
  <c r="E24" i="7"/>
  <c r="E25" i="7"/>
  <c r="E26" i="7"/>
  <c r="E27" i="7"/>
  <c r="E28" i="7"/>
  <c r="E29" i="7"/>
  <c r="P10" i="7"/>
  <c r="P22" i="7"/>
  <c r="K34" i="7"/>
  <c r="Q22" i="7"/>
  <c r="R22" i="7"/>
  <c r="P23" i="7"/>
  <c r="K35" i="7"/>
  <c r="Q23" i="7"/>
  <c r="R23" i="7"/>
  <c r="P24" i="7"/>
  <c r="K36" i="7"/>
  <c r="Q24" i="7"/>
  <c r="R24" i="7"/>
  <c r="P25" i="7"/>
  <c r="K37" i="7"/>
  <c r="Q25" i="7"/>
  <c r="R25" i="7"/>
  <c r="P26" i="7"/>
  <c r="K38" i="7"/>
  <c r="Q26" i="7"/>
  <c r="R26" i="7"/>
  <c r="P27" i="7"/>
  <c r="K39" i="7"/>
  <c r="Q27" i="7"/>
  <c r="R27" i="7"/>
  <c r="P28" i="7"/>
  <c r="K40" i="7"/>
  <c r="Q28" i="7"/>
  <c r="R28" i="7"/>
  <c r="P29" i="7"/>
  <c r="K41" i="7"/>
  <c r="Q29" i="7"/>
  <c r="R29" i="7"/>
  <c r="P21" i="7"/>
  <c r="K33" i="7"/>
  <c r="R21" i="7"/>
  <c r="Q21" i="7"/>
  <c r="X7" i="7"/>
  <c r="X8" i="7"/>
  <c r="K21" i="7"/>
  <c r="L34" i="7"/>
  <c r="Q8" i="7"/>
  <c r="S22" i="7"/>
  <c r="T22" i="7"/>
  <c r="U22" i="7"/>
  <c r="K22" i="7"/>
  <c r="L35" i="7"/>
  <c r="Q9" i="7"/>
  <c r="S23" i="7"/>
  <c r="T23" i="7"/>
  <c r="U23" i="7"/>
  <c r="K23" i="7"/>
  <c r="L36" i="7"/>
  <c r="Q10" i="7"/>
  <c r="S24" i="7"/>
  <c r="T24" i="7"/>
  <c r="U24" i="7"/>
  <c r="K24" i="7"/>
  <c r="L37" i="7"/>
  <c r="Q11" i="7"/>
  <c r="S25" i="7"/>
  <c r="T25" i="7"/>
  <c r="U25" i="7"/>
  <c r="K25" i="7"/>
  <c r="L38" i="7"/>
  <c r="Q12" i="7"/>
  <c r="S26" i="7"/>
  <c r="T26" i="7"/>
  <c r="U26" i="7"/>
  <c r="K26" i="7"/>
  <c r="L39" i="7"/>
  <c r="Q13" i="7"/>
  <c r="S27" i="7"/>
  <c r="T27" i="7"/>
  <c r="U27" i="7"/>
  <c r="K27" i="7"/>
  <c r="L40" i="7"/>
  <c r="Q14" i="7"/>
  <c r="S28" i="7"/>
  <c r="T28" i="7"/>
  <c r="U28" i="7"/>
  <c r="K28" i="7"/>
  <c r="L41" i="7"/>
  <c r="Q15" i="7"/>
  <c r="S29" i="7"/>
  <c r="T29" i="7"/>
  <c r="U29" i="7"/>
  <c r="K20" i="7"/>
  <c r="L33" i="7"/>
  <c r="Q7" i="7"/>
  <c r="S21" i="7"/>
  <c r="U21" i="7"/>
  <c r="T21" i="7"/>
  <c r="B7" i="7" a="1"/>
  <c r="C8" i="7"/>
  <c r="B8" i="7"/>
  <c r="D8" i="7"/>
  <c r="E8" i="7"/>
  <c r="F8" i="7"/>
  <c r="G8" i="7"/>
  <c r="H8" i="7"/>
  <c r="I8" i="7"/>
  <c r="J8" i="7"/>
  <c r="K8" i="7"/>
  <c r="D9" i="7"/>
  <c r="B9" i="7"/>
  <c r="C9" i="7"/>
  <c r="E9" i="7"/>
  <c r="F9" i="7"/>
  <c r="G9" i="7"/>
  <c r="H9" i="7"/>
  <c r="I9" i="7"/>
  <c r="J9" i="7"/>
  <c r="K9" i="7"/>
  <c r="E10" i="7"/>
  <c r="B10" i="7"/>
  <c r="C10" i="7"/>
  <c r="D10" i="7"/>
  <c r="F10" i="7"/>
  <c r="G10" i="7"/>
  <c r="H10" i="7"/>
  <c r="I10" i="7"/>
  <c r="J10" i="7"/>
  <c r="K10" i="7"/>
  <c r="F11" i="7"/>
  <c r="B11" i="7"/>
  <c r="C11" i="7"/>
  <c r="D11" i="7"/>
  <c r="E11" i="7"/>
  <c r="G11" i="7"/>
  <c r="H11" i="7"/>
  <c r="I11" i="7"/>
  <c r="J11" i="7"/>
  <c r="K11" i="7"/>
  <c r="G12" i="7"/>
  <c r="B12" i="7"/>
  <c r="C12" i="7"/>
  <c r="D12" i="7"/>
  <c r="E12" i="7"/>
  <c r="F12" i="7"/>
  <c r="H12" i="7"/>
  <c r="I12" i="7"/>
  <c r="J12" i="7"/>
  <c r="K12" i="7"/>
  <c r="H13" i="7"/>
  <c r="B13" i="7"/>
  <c r="C13" i="7"/>
  <c r="D13" i="7"/>
  <c r="E13" i="7"/>
  <c r="F13" i="7"/>
  <c r="G13" i="7"/>
  <c r="I13" i="7"/>
  <c r="J13" i="7"/>
  <c r="K13" i="7"/>
  <c r="I14" i="7"/>
  <c r="B14" i="7"/>
  <c r="C14" i="7"/>
  <c r="D14" i="7"/>
  <c r="E14" i="7"/>
  <c r="F14" i="7"/>
  <c r="G14" i="7"/>
  <c r="H14" i="7"/>
  <c r="J14" i="7"/>
  <c r="K14" i="7"/>
  <c r="J15" i="7"/>
  <c r="B15" i="7"/>
  <c r="C15" i="7"/>
  <c r="D15" i="7"/>
  <c r="E15" i="7"/>
  <c r="F15" i="7"/>
  <c r="G15" i="7"/>
  <c r="H15" i="7"/>
  <c r="I15" i="7"/>
  <c r="K15" i="7"/>
  <c r="B7" i="7"/>
  <c r="C7" i="7"/>
  <c r="D7" i="7"/>
  <c r="E7" i="7"/>
  <c r="F7" i="7"/>
  <c r="G7" i="7"/>
  <c r="H7" i="7"/>
  <c r="I7" i="7"/>
  <c r="J7" i="7"/>
  <c r="K7" i="7"/>
  <c r="X6" i="7"/>
  <c r="C38" i="23"/>
  <c r="C37" i="23"/>
  <c r="B34" i="23"/>
  <c r="B33" i="23"/>
  <c r="B32" i="23"/>
  <c r="B31" i="23"/>
  <c r="B30" i="23"/>
  <c r="F34" i="23"/>
  <c r="F33" i="23"/>
  <c r="F32" i="23"/>
  <c r="F31" i="23"/>
  <c r="F30" i="23"/>
  <c r="G25" i="23"/>
  <c r="B25" i="23"/>
  <c r="C25" i="23"/>
  <c r="D25" i="23"/>
  <c r="E25" i="23"/>
  <c r="F25" i="23"/>
  <c r="C20" i="23"/>
  <c r="D20" i="23"/>
  <c r="E20" i="23"/>
  <c r="F20" i="23"/>
  <c r="C21" i="23"/>
  <c r="D21" i="23"/>
  <c r="E21" i="23"/>
  <c r="F21" i="23"/>
  <c r="C22" i="23"/>
  <c r="D22" i="23"/>
  <c r="E22" i="23"/>
  <c r="F22" i="23"/>
  <c r="C23" i="23"/>
  <c r="D23" i="23"/>
  <c r="E23" i="23"/>
  <c r="F23" i="23"/>
  <c r="C24" i="23"/>
  <c r="D24" i="23"/>
  <c r="E24" i="23"/>
  <c r="F24" i="23"/>
  <c r="B22" i="23"/>
  <c r="B23" i="23"/>
  <c r="B24" i="23"/>
  <c r="B21" i="23"/>
  <c r="B20" i="23"/>
  <c r="B13" i="23"/>
  <c r="G24" i="23"/>
  <c r="G23" i="23"/>
  <c r="G22" i="23"/>
  <c r="G21" i="23"/>
  <c r="G20" i="23"/>
  <c r="C13" i="23"/>
  <c r="D13" i="23"/>
  <c r="E13" i="23"/>
  <c r="F13" i="23"/>
  <c r="G13" i="23"/>
  <c r="G9" i="23"/>
  <c r="G10" i="23"/>
  <c r="G11" i="23"/>
  <c r="G12" i="23"/>
  <c r="G8" i="23"/>
  <c r="R16" i="7"/>
  <c r="P33" i="7"/>
  <c r="R33" i="7"/>
  <c r="Q33" i="7"/>
  <c r="U29" i="2"/>
  <c r="U23" i="2"/>
  <c r="U24" i="2"/>
  <c r="U25" i="2"/>
  <c r="U26" i="2"/>
  <c r="U27" i="2"/>
  <c r="U28" i="2"/>
  <c r="U22" i="2"/>
  <c r="U21" i="2"/>
  <c r="R29" i="2"/>
  <c r="R23" i="2"/>
  <c r="R24" i="2"/>
  <c r="R25" i="2"/>
  <c r="R26" i="2"/>
  <c r="R27" i="2"/>
  <c r="R28" i="2"/>
  <c r="R22" i="2"/>
  <c r="R21" i="2"/>
  <c r="T22" i="2"/>
  <c r="T23" i="2"/>
  <c r="T24" i="2"/>
  <c r="T25" i="2"/>
  <c r="T26" i="2"/>
  <c r="T27" i="2"/>
  <c r="T28" i="2"/>
  <c r="T29" i="2"/>
  <c r="T21" i="2"/>
  <c r="Q29" i="2"/>
  <c r="Q23" i="2"/>
  <c r="Q24" i="2"/>
  <c r="Q25" i="2"/>
  <c r="Q26" i="2"/>
  <c r="Q27" i="2"/>
  <c r="Q28" i="2"/>
  <c r="Q22" i="2"/>
  <c r="Q21" i="2"/>
  <c r="S23" i="2"/>
  <c r="S24" i="2"/>
  <c r="S25" i="2"/>
  <c r="S26" i="2"/>
  <c r="S27" i="2"/>
  <c r="S28" i="2"/>
  <c r="S22" i="2"/>
  <c r="S29" i="2"/>
  <c r="S21" i="2"/>
  <c r="V29" i="2"/>
  <c r="V28" i="2"/>
  <c r="V22" i="2"/>
  <c r="V23" i="2"/>
  <c r="V24" i="2"/>
  <c r="V25" i="2"/>
  <c r="V26" i="2"/>
  <c r="V27" i="2"/>
  <c r="V21" i="2"/>
  <c r="P22" i="2"/>
  <c r="P23" i="2"/>
  <c r="P24" i="2"/>
  <c r="P25" i="2"/>
  <c r="P26" i="2"/>
  <c r="P27" i="2"/>
  <c r="P28" i="2"/>
  <c r="P29" i="2"/>
  <c r="P21" i="2"/>
  <c r="O23" i="2"/>
  <c r="O24" i="2"/>
  <c r="O25" i="2"/>
  <c r="O26" i="2"/>
  <c r="O27" i="2"/>
  <c r="O22" i="2"/>
  <c r="O29" i="2"/>
  <c r="O28" i="2"/>
  <c r="O21" i="2"/>
  <c r="N22" i="2"/>
  <c r="N23" i="2"/>
  <c r="N24" i="2"/>
  <c r="N25" i="2"/>
  <c r="N26" i="2"/>
  <c r="N27" i="2"/>
  <c r="N28" i="2"/>
  <c r="N29" i="2"/>
  <c r="N21" i="2"/>
  <c r="C29" i="13"/>
  <c r="D29" i="13"/>
  <c r="E29" i="13"/>
  <c r="F29" i="13"/>
  <c r="G29" i="13"/>
  <c r="H29" i="13"/>
  <c r="I29" i="13"/>
  <c r="J29" i="13"/>
  <c r="K21" i="13"/>
  <c r="K22" i="13"/>
  <c r="K23" i="13"/>
  <c r="K24" i="13"/>
  <c r="K25" i="13"/>
  <c r="K26" i="13"/>
  <c r="K27" i="13"/>
  <c r="K28" i="13"/>
  <c r="J20" i="13"/>
  <c r="K20" i="13"/>
  <c r="C20" i="13"/>
  <c r="D20" i="13"/>
  <c r="E20" i="13"/>
  <c r="F20" i="13"/>
  <c r="G20" i="13"/>
  <c r="H20" i="13"/>
  <c r="I20" i="13"/>
  <c r="C21" i="13"/>
  <c r="D21" i="13"/>
  <c r="E21" i="13"/>
  <c r="F21" i="13"/>
  <c r="G21" i="13"/>
  <c r="H21" i="13"/>
  <c r="I21" i="13"/>
  <c r="J21" i="13"/>
  <c r="C22" i="13"/>
  <c r="D22" i="13"/>
  <c r="E22" i="13"/>
  <c r="F22" i="13"/>
  <c r="G22" i="13"/>
  <c r="H22" i="13"/>
  <c r="I22" i="13"/>
  <c r="J22" i="13"/>
  <c r="C23" i="13"/>
  <c r="D23" i="13"/>
  <c r="E23" i="13"/>
  <c r="F23" i="13"/>
  <c r="G23" i="13"/>
  <c r="H23" i="13"/>
  <c r="I23" i="13"/>
  <c r="J23" i="13"/>
  <c r="C24" i="13"/>
  <c r="D24" i="13"/>
  <c r="E24" i="13"/>
  <c r="F24" i="13"/>
  <c r="G24" i="13"/>
  <c r="H24" i="13"/>
  <c r="I24" i="13"/>
  <c r="J24" i="13"/>
  <c r="C25" i="13"/>
  <c r="D25" i="13"/>
  <c r="E25" i="13"/>
  <c r="F25" i="13"/>
  <c r="G25" i="13"/>
  <c r="H25" i="13"/>
  <c r="I25" i="13"/>
  <c r="J25" i="13"/>
  <c r="C26" i="13"/>
  <c r="D26" i="13"/>
  <c r="E26" i="13"/>
  <c r="F26" i="13"/>
  <c r="G26" i="13"/>
  <c r="H26" i="13"/>
  <c r="I26" i="13"/>
  <c r="J26" i="13"/>
  <c r="C27" i="13"/>
  <c r="D27" i="13"/>
  <c r="E27" i="13"/>
  <c r="F27" i="13"/>
  <c r="G27" i="13"/>
  <c r="H27" i="13"/>
  <c r="I27" i="13"/>
  <c r="J27" i="13"/>
  <c r="C28" i="13"/>
  <c r="D28" i="13"/>
  <c r="E28" i="13"/>
  <c r="F28" i="13"/>
  <c r="G28" i="13"/>
  <c r="H28" i="13"/>
  <c r="I28" i="13"/>
  <c r="J28" i="13"/>
  <c r="B29" i="13"/>
  <c r="B21" i="13"/>
  <c r="B22" i="13"/>
  <c r="B23" i="13"/>
  <c r="B24" i="13"/>
  <c r="B25" i="13"/>
  <c r="B26" i="13"/>
  <c r="B27" i="13"/>
  <c r="B28" i="13"/>
  <c r="B20" i="13"/>
  <c r="C17" i="13"/>
  <c r="D17" i="13"/>
  <c r="E17" i="13"/>
  <c r="F17" i="13"/>
  <c r="G17" i="13"/>
  <c r="H17" i="13"/>
  <c r="I17" i="13"/>
  <c r="J17" i="13"/>
  <c r="B17" i="13"/>
  <c r="K9" i="13"/>
  <c r="K10" i="13"/>
  <c r="K11" i="13"/>
  <c r="K12" i="13"/>
  <c r="K13" i="13"/>
  <c r="K14" i="13"/>
  <c r="K15" i="13"/>
  <c r="K16" i="13"/>
  <c r="K8" i="13"/>
  <c r="C8" i="13"/>
  <c r="D8" i="13"/>
  <c r="E8" i="13"/>
  <c r="F8" i="13"/>
  <c r="G8" i="13"/>
  <c r="H8" i="13"/>
  <c r="I8" i="13"/>
  <c r="J8" i="13"/>
  <c r="C9" i="13"/>
  <c r="D9" i="13"/>
  <c r="E9" i="13"/>
  <c r="F9" i="13"/>
  <c r="G9" i="13"/>
  <c r="H9" i="13"/>
  <c r="I9" i="13"/>
  <c r="J9" i="13"/>
  <c r="C10" i="13"/>
  <c r="D10" i="13"/>
  <c r="E10" i="13"/>
  <c r="F10" i="13"/>
  <c r="G10" i="13"/>
  <c r="H10" i="13"/>
  <c r="I10" i="13"/>
  <c r="J10" i="13"/>
  <c r="C11" i="13"/>
  <c r="D11" i="13"/>
  <c r="E11" i="13"/>
  <c r="F11" i="13"/>
  <c r="G11" i="13"/>
  <c r="H11" i="13"/>
  <c r="I11" i="13"/>
  <c r="J11" i="13"/>
  <c r="C12" i="13"/>
  <c r="D12" i="13"/>
  <c r="E12" i="13"/>
  <c r="F12" i="13"/>
  <c r="G12" i="13"/>
  <c r="H12" i="13"/>
  <c r="I12" i="13"/>
  <c r="J12" i="13"/>
  <c r="C13" i="13"/>
  <c r="D13" i="13"/>
  <c r="E13" i="13"/>
  <c r="F13" i="13"/>
  <c r="G13" i="13"/>
  <c r="H13" i="13"/>
  <c r="I13" i="13"/>
  <c r="J13" i="13"/>
  <c r="C14" i="13"/>
  <c r="D14" i="13"/>
  <c r="E14" i="13"/>
  <c r="F14" i="13"/>
  <c r="G14" i="13"/>
  <c r="H14" i="13"/>
  <c r="I14" i="13"/>
  <c r="J14" i="13"/>
  <c r="C15" i="13"/>
  <c r="D15" i="13"/>
  <c r="E15" i="13"/>
  <c r="F15" i="13"/>
  <c r="G15" i="13"/>
  <c r="H15" i="13"/>
  <c r="I15" i="13"/>
  <c r="J15" i="13"/>
  <c r="C16" i="13"/>
  <c r="D16" i="13"/>
  <c r="E16" i="13"/>
  <c r="F16" i="13"/>
  <c r="G16" i="13"/>
  <c r="H16" i="13"/>
  <c r="I16" i="13"/>
  <c r="J16" i="13"/>
  <c r="B9" i="13"/>
  <c r="B10" i="13"/>
  <c r="B11" i="13"/>
  <c r="B12" i="13"/>
  <c r="B13" i="13"/>
  <c r="B14" i="13"/>
  <c r="B15" i="13"/>
  <c r="B16" i="13"/>
  <c r="B8" i="13"/>
  <c r="Y47" i="13"/>
  <c r="X48" i="13"/>
  <c r="P48" i="13"/>
  <c r="Q48" i="13"/>
  <c r="R48" i="13"/>
  <c r="S48" i="13"/>
  <c r="T48" i="13"/>
  <c r="U48" i="13"/>
  <c r="V48" i="13"/>
  <c r="W48" i="13"/>
  <c r="O48" i="13"/>
  <c r="X40" i="13"/>
  <c r="X41" i="13"/>
  <c r="X42" i="13"/>
  <c r="X43" i="13"/>
  <c r="X44" i="13"/>
  <c r="X45" i="13"/>
  <c r="X46" i="13"/>
  <c r="X47" i="13"/>
  <c r="X39" i="13"/>
  <c r="O47" i="13" a="1"/>
  <c r="O47" i="13"/>
  <c r="P47" i="13"/>
  <c r="Q47" i="13"/>
  <c r="R47" i="13"/>
  <c r="S47" i="13"/>
  <c r="T47" i="13"/>
  <c r="U47" i="13"/>
  <c r="V47" i="13"/>
  <c r="W47" i="13"/>
  <c r="O46" i="13" a="1"/>
  <c r="O46" i="13"/>
  <c r="P46" i="13"/>
  <c r="Q46" i="13"/>
  <c r="R46" i="13"/>
  <c r="S46" i="13"/>
  <c r="T46" i="13"/>
  <c r="U46" i="13"/>
  <c r="V46" i="13"/>
  <c r="W46" i="13"/>
  <c r="O45" i="13" a="1"/>
  <c r="O45" i="13"/>
  <c r="P45" i="13"/>
  <c r="Q45" i="13"/>
  <c r="R45" i="13"/>
  <c r="S45" i="13"/>
  <c r="T45" i="13"/>
  <c r="U45" i="13"/>
  <c r="V45" i="13"/>
  <c r="W45" i="13"/>
  <c r="O44" i="13" a="1"/>
  <c r="O44" i="13"/>
  <c r="P44" i="13"/>
  <c r="Q44" i="13"/>
  <c r="R44" i="13"/>
  <c r="S44" i="13"/>
  <c r="T44" i="13"/>
  <c r="U44" i="13"/>
  <c r="V44" i="13"/>
  <c r="W44" i="13"/>
  <c r="O43" i="13" a="1"/>
  <c r="O43" i="13"/>
  <c r="P43" i="13"/>
  <c r="Q43" i="13"/>
  <c r="R43" i="13"/>
  <c r="S43" i="13"/>
  <c r="T43" i="13"/>
  <c r="U43" i="13"/>
  <c r="V43" i="13"/>
  <c r="W43" i="13"/>
  <c r="O42" i="13" a="1"/>
  <c r="O42" i="13"/>
  <c r="P42" i="13"/>
  <c r="Q42" i="13"/>
  <c r="R42" i="13"/>
  <c r="S42" i="13"/>
  <c r="T42" i="13"/>
  <c r="U42" i="13"/>
  <c r="V42" i="13"/>
  <c r="W42" i="13"/>
  <c r="O41" i="13" a="1"/>
  <c r="O41" i="13"/>
  <c r="P41" i="13"/>
  <c r="Q41" i="13"/>
  <c r="R41" i="13"/>
  <c r="S41" i="13"/>
  <c r="T41" i="13"/>
  <c r="U41" i="13"/>
  <c r="V41" i="13"/>
  <c r="W41" i="13"/>
  <c r="O40" i="13" a="1"/>
  <c r="O40" i="13"/>
  <c r="P40" i="13"/>
  <c r="Q40" i="13"/>
  <c r="R40" i="13"/>
  <c r="S40" i="13"/>
  <c r="T40" i="13"/>
  <c r="U40" i="13"/>
  <c r="V40" i="13"/>
  <c r="W40" i="13"/>
  <c r="O39" i="13" a="1"/>
  <c r="O39" i="13"/>
  <c r="P39" i="13"/>
  <c r="Q39" i="13"/>
  <c r="R39" i="13"/>
  <c r="S39" i="13"/>
  <c r="T39" i="13"/>
  <c r="U39" i="13"/>
  <c r="V39" i="13"/>
  <c r="W39" i="13"/>
  <c r="G38" i="13"/>
  <c r="G39" i="13"/>
  <c r="G40" i="13"/>
  <c r="G41" i="13"/>
  <c r="G42" i="13"/>
  <c r="G43" i="13"/>
  <c r="G44" i="13"/>
  <c r="G45" i="13"/>
  <c r="G37" i="13"/>
  <c r="E46" i="13"/>
  <c r="F37" i="13"/>
  <c r="F38" i="13"/>
  <c r="F39" i="13"/>
  <c r="F40" i="13"/>
  <c r="F41" i="13"/>
  <c r="F42" i="13"/>
  <c r="F43" i="13"/>
  <c r="F44" i="13"/>
  <c r="F45" i="13"/>
  <c r="F46" i="13"/>
  <c r="G46" i="13"/>
  <c r="B46" i="13"/>
  <c r="C37" i="13"/>
  <c r="C38" i="13"/>
  <c r="C39" i="13"/>
  <c r="C40" i="13"/>
  <c r="C41" i="13"/>
  <c r="C42" i="13"/>
  <c r="C43" i="13"/>
  <c r="C44" i="13"/>
  <c r="C45" i="13"/>
  <c r="C46" i="13"/>
  <c r="D37" i="13"/>
  <c r="D38" i="13"/>
  <c r="D39" i="13"/>
  <c r="D40" i="13"/>
  <c r="D41" i="13"/>
  <c r="D42" i="13"/>
  <c r="D43" i="13"/>
  <c r="D44" i="13"/>
  <c r="D45" i="13"/>
  <c r="D46" i="13"/>
  <c r="G36" i="8"/>
  <c r="G35" i="8"/>
  <c r="G34" i="8"/>
  <c r="G33" i="8"/>
  <c r="G32" i="8"/>
  <c r="G31" i="8"/>
  <c r="G30" i="8"/>
  <c r="G29" i="8"/>
  <c r="G28" i="8"/>
  <c r="F36" i="8"/>
  <c r="F35" i="8"/>
  <c r="F34" i="8"/>
  <c r="F33" i="8"/>
  <c r="F32" i="8"/>
  <c r="F31" i="8"/>
  <c r="F30" i="8"/>
  <c r="F29" i="8"/>
  <c r="F28" i="8"/>
  <c r="E36" i="8"/>
  <c r="E35" i="8"/>
  <c r="E34" i="8"/>
  <c r="E33" i="8"/>
  <c r="E32" i="8"/>
  <c r="E31" i="8"/>
  <c r="E30" i="8"/>
  <c r="E29" i="8"/>
  <c r="E28" i="8"/>
  <c r="D36" i="8"/>
  <c r="D35" i="8"/>
  <c r="D34" i="8"/>
  <c r="D33" i="8"/>
  <c r="D32" i="8"/>
  <c r="D31" i="8"/>
  <c r="D30" i="8"/>
  <c r="D29" i="8"/>
  <c r="D28" i="8"/>
  <c r="C36" i="8"/>
  <c r="C35" i="8"/>
  <c r="C34" i="8"/>
  <c r="C33" i="8"/>
  <c r="C32" i="8"/>
  <c r="C31" i="8"/>
  <c r="C30" i="8"/>
  <c r="C29" i="8"/>
  <c r="C28" i="8"/>
  <c r="B36" i="8"/>
  <c r="B35" i="8"/>
  <c r="B34" i="8"/>
  <c r="B33" i="8"/>
  <c r="B32" i="8"/>
  <c r="B31" i="8"/>
  <c r="B30" i="8"/>
  <c r="B29" i="8"/>
  <c r="B28" i="8"/>
  <c r="K72" i="6"/>
  <c r="K73" i="6"/>
  <c r="K74" i="6"/>
  <c r="K75" i="6"/>
  <c r="K76" i="6"/>
  <c r="K77" i="6"/>
  <c r="K78" i="6"/>
  <c r="K79" i="6"/>
  <c r="K71" i="6"/>
  <c r="K60" i="6"/>
  <c r="K61" i="6"/>
  <c r="K62" i="6"/>
  <c r="K63" i="6"/>
  <c r="K64" i="6"/>
  <c r="K65" i="6"/>
  <c r="K66" i="6"/>
  <c r="K67" i="6"/>
  <c r="K59" i="6"/>
  <c r="K48" i="6"/>
  <c r="K49" i="6"/>
  <c r="K50" i="6"/>
  <c r="K51" i="6"/>
  <c r="K52" i="6"/>
  <c r="K53" i="6"/>
  <c r="K54" i="6"/>
  <c r="K55" i="6"/>
  <c r="K47" i="6"/>
  <c r="G26" i="8"/>
  <c r="G25" i="8"/>
  <c r="G24" i="8"/>
  <c r="G23" i="8"/>
  <c r="G22" i="8"/>
  <c r="G21" i="8"/>
  <c r="G20" i="8"/>
  <c r="G19" i="8"/>
  <c r="G18" i="8"/>
  <c r="F26" i="8"/>
  <c r="F25" i="8"/>
  <c r="F24" i="8"/>
  <c r="F23" i="8"/>
  <c r="F22" i="8"/>
  <c r="F21" i="8"/>
  <c r="F20" i="8"/>
  <c r="F19" i="8"/>
  <c r="F18" i="8"/>
  <c r="E26" i="8"/>
  <c r="E25" i="8"/>
  <c r="E24" i="8"/>
  <c r="E23" i="8"/>
  <c r="E22" i="8"/>
  <c r="E21" i="8"/>
  <c r="E20" i="8"/>
  <c r="E19" i="8"/>
  <c r="E18" i="8"/>
  <c r="D26" i="8"/>
  <c r="D25" i="8"/>
  <c r="D24" i="8"/>
  <c r="D23" i="8"/>
  <c r="D22" i="8"/>
  <c r="D21" i="8"/>
  <c r="D20" i="8"/>
  <c r="D19" i="8"/>
  <c r="D18" i="8"/>
  <c r="C26" i="8"/>
  <c r="C25" i="8"/>
  <c r="C24" i="8"/>
  <c r="C23" i="8"/>
  <c r="C22" i="8"/>
  <c r="C21" i="8"/>
  <c r="C20" i="8"/>
  <c r="C19" i="8"/>
  <c r="C18" i="8"/>
  <c r="K32" i="6"/>
  <c r="K33" i="6"/>
  <c r="K34" i="6"/>
  <c r="K35" i="6"/>
  <c r="K36" i="6"/>
  <c r="K37" i="6"/>
  <c r="K38" i="6"/>
  <c r="K39" i="6"/>
  <c r="K31" i="6"/>
  <c r="K20" i="6"/>
  <c r="K21" i="6"/>
  <c r="K22" i="6"/>
  <c r="K23" i="6"/>
  <c r="K24" i="6"/>
  <c r="K25" i="6"/>
  <c r="K26" i="6"/>
  <c r="K27" i="6"/>
  <c r="K19" i="6"/>
  <c r="K8" i="6"/>
  <c r="K9" i="6"/>
  <c r="K10" i="6"/>
  <c r="K11" i="6"/>
  <c r="K12" i="6"/>
  <c r="K13" i="6"/>
  <c r="K14" i="6"/>
  <c r="K15" i="6"/>
  <c r="K7" i="6"/>
  <c r="B26" i="8"/>
  <c r="B25" i="8"/>
  <c r="B24" i="8"/>
  <c r="B23" i="8"/>
  <c r="B22" i="8"/>
  <c r="B21" i="8"/>
  <c r="B20" i="8"/>
  <c r="B19" i="8"/>
  <c r="B18" i="8"/>
  <c r="G16" i="8"/>
  <c r="G15" i="8"/>
  <c r="G14" i="8"/>
  <c r="G13" i="8"/>
  <c r="G12" i="8"/>
  <c r="G11" i="8"/>
  <c r="G10" i="8"/>
  <c r="G9" i="8"/>
  <c r="G8" i="8"/>
  <c r="F16" i="8"/>
  <c r="F15" i="8"/>
  <c r="F14" i="8"/>
  <c r="F13" i="8"/>
  <c r="F12" i="8"/>
  <c r="F11" i="8"/>
  <c r="F10" i="8"/>
  <c r="F9" i="8"/>
  <c r="F8" i="8"/>
  <c r="E16" i="8"/>
  <c r="E15" i="8"/>
  <c r="E14" i="8"/>
  <c r="E13" i="8"/>
  <c r="E12" i="8"/>
  <c r="E11" i="8"/>
  <c r="E10" i="8"/>
  <c r="E9" i="8"/>
  <c r="E8" i="8"/>
  <c r="D16" i="8"/>
  <c r="D15" i="8"/>
  <c r="D14" i="8"/>
  <c r="D13" i="8"/>
  <c r="D12" i="8"/>
  <c r="D11" i="8"/>
  <c r="D10" i="8"/>
  <c r="D9" i="8"/>
  <c r="K112" i="6"/>
  <c r="K113" i="6"/>
  <c r="K114" i="6"/>
  <c r="K115" i="6"/>
  <c r="K116" i="6"/>
  <c r="K117" i="6"/>
  <c r="K118" i="6"/>
  <c r="K119" i="6"/>
  <c r="K111" i="6"/>
  <c r="K100" i="6"/>
  <c r="K101" i="6"/>
  <c r="K102" i="6"/>
  <c r="K103" i="6"/>
  <c r="K104" i="6"/>
  <c r="K105" i="6"/>
  <c r="K106" i="6"/>
  <c r="K107" i="6"/>
  <c r="K99" i="6"/>
  <c r="D8" i="8"/>
  <c r="C16" i="8"/>
  <c r="C15" i="8"/>
  <c r="C14" i="8"/>
  <c r="C13" i="8"/>
  <c r="C12" i="8"/>
  <c r="C11" i="8"/>
  <c r="C10" i="8"/>
  <c r="C9" i="8"/>
  <c r="C8" i="8"/>
  <c r="B16" i="8"/>
  <c r="B15" i="8"/>
  <c r="B14" i="8"/>
  <c r="B13" i="8"/>
  <c r="B12" i="8"/>
  <c r="B11" i="8"/>
  <c r="B10" i="8"/>
  <c r="B9" i="8"/>
  <c r="B8" i="8"/>
  <c r="K88" i="6"/>
  <c r="K89" i="6"/>
  <c r="K90" i="6"/>
  <c r="K91" i="6"/>
  <c r="K92" i="6"/>
  <c r="K93" i="6"/>
  <c r="K94" i="6"/>
  <c r="K95" i="6"/>
  <c r="K87" i="6"/>
  <c r="C96" i="6"/>
  <c r="D96" i="6"/>
  <c r="E96" i="6"/>
  <c r="F96" i="6"/>
  <c r="G96" i="6"/>
  <c r="H96" i="6"/>
  <c r="I96" i="6"/>
  <c r="J96" i="6"/>
  <c r="B96" i="6"/>
  <c r="C108" i="6"/>
  <c r="D108" i="6"/>
  <c r="E108" i="6"/>
  <c r="F108" i="6"/>
  <c r="G108" i="6"/>
  <c r="H108" i="6"/>
  <c r="I108" i="6"/>
  <c r="J108" i="6"/>
  <c r="B108" i="6"/>
  <c r="C120" i="6"/>
  <c r="D120" i="6"/>
  <c r="E120" i="6"/>
  <c r="F120" i="6"/>
  <c r="G120" i="6"/>
  <c r="H120" i="6"/>
  <c r="I120" i="6"/>
  <c r="J120" i="6"/>
  <c r="B120" i="6"/>
  <c r="C80" i="6"/>
  <c r="D80" i="6"/>
  <c r="E80" i="6"/>
  <c r="F80" i="6"/>
  <c r="G80" i="6"/>
  <c r="H80" i="6"/>
  <c r="I80" i="6"/>
  <c r="J80" i="6"/>
  <c r="B80" i="6"/>
  <c r="C68" i="6"/>
  <c r="D68" i="6"/>
  <c r="E68" i="6"/>
  <c r="F68" i="6"/>
  <c r="G68" i="6"/>
  <c r="H68" i="6"/>
  <c r="I68" i="6"/>
  <c r="J68" i="6"/>
  <c r="B68" i="6"/>
  <c r="C56" i="6"/>
  <c r="D56" i="6"/>
  <c r="E56" i="6"/>
  <c r="F56" i="6"/>
  <c r="G56" i="6"/>
  <c r="H56" i="6"/>
  <c r="I56" i="6"/>
  <c r="J56" i="6"/>
  <c r="B56" i="6"/>
  <c r="C40" i="6"/>
  <c r="D40" i="6"/>
  <c r="E40" i="6"/>
  <c r="F40" i="6"/>
  <c r="G40" i="6"/>
  <c r="H40" i="6"/>
  <c r="I40" i="6"/>
  <c r="J40" i="6"/>
  <c r="B40" i="6"/>
  <c r="C28" i="6"/>
  <c r="D28" i="6"/>
  <c r="E28" i="6"/>
  <c r="F28" i="6"/>
  <c r="G28" i="6"/>
  <c r="H28" i="6"/>
  <c r="I28" i="6"/>
  <c r="J28" i="6"/>
  <c r="B28" i="6"/>
  <c r="C16" i="6"/>
  <c r="D16" i="6"/>
  <c r="E16" i="6"/>
  <c r="F16" i="6"/>
  <c r="G16" i="6"/>
  <c r="H16" i="6"/>
  <c r="I16" i="6"/>
  <c r="J16" i="6"/>
  <c r="B16" i="6"/>
  <c r="K16" i="6"/>
  <c r="B7" i="9"/>
  <c r="K28" i="6"/>
  <c r="C7" i="9"/>
  <c r="K40" i="6"/>
  <c r="D7" i="9"/>
  <c r="K56" i="6"/>
  <c r="B8" i="9"/>
  <c r="K68" i="6"/>
  <c r="C8" i="9"/>
  <c r="K80" i="6"/>
  <c r="D8" i="9"/>
  <c r="K96" i="6"/>
  <c r="B9" i="9"/>
  <c r="K108" i="6"/>
  <c r="C9" i="9"/>
  <c r="K120" i="6"/>
  <c r="D9" i="9"/>
  <c r="C52" i="2"/>
  <c r="C58" i="2"/>
  <c r="D52" i="2"/>
  <c r="D58" i="2"/>
  <c r="E52" i="2"/>
  <c r="E58" i="2"/>
  <c r="F52" i="2"/>
  <c r="F58" i="2"/>
  <c r="G52" i="2"/>
  <c r="G58" i="2"/>
  <c r="C59" i="2"/>
  <c r="D59" i="2"/>
  <c r="E59" i="2"/>
  <c r="F59" i="2"/>
  <c r="G59" i="2"/>
  <c r="C60" i="2"/>
  <c r="D60" i="2"/>
  <c r="E60" i="2"/>
  <c r="F60" i="2"/>
  <c r="G60" i="2"/>
  <c r="C61" i="2"/>
  <c r="D61" i="2"/>
  <c r="E61" i="2"/>
  <c r="F61" i="2"/>
  <c r="G61" i="2"/>
  <c r="C62" i="2"/>
  <c r="D62" i="2"/>
  <c r="E62" i="2"/>
  <c r="F62" i="2"/>
  <c r="G62" i="2"/>
  <c r="C63" i="2"/>
  <c r="D63" i="2"/>
  <c r="E63" i="2"/>
  <c r="F63" i="2"/>
  <c r="G63" i="2"/>
  <c r="C64" i="2"/>
  <c r="D64" i="2"/>
  <c r="E64" i="2"/>
  <c r="F64" i="2"/>
  <c r="G64" i="2"/>
  <c r="C65" i="2"/>
  <c r="D65" i="2"/>
  <c r="E65" i="2"/>
  <c r="F65" i="2"/>
  <c r="G65" i="2"/>
  <c r="C66" i="2"/>
  <c r="D66" i="2"/>
  <c r="E66" i="2"/>
  <c r="F66" i="2"/>
  <c r="G66" i="2"/>
  <c r="B52" i="2"/>
  <c r="B66" i="2"/>
  <c r="B65" i="2"/>
  <c r="B64" i="2"/>
  <c r="B63" i="2"/>
  <c r="B62" i="2"/>
  <c r="B61" i="2"/>
  <c r="B60" i="2"/>
  <c r="B59" i="2"/>
  <c r="B58" i="2"/>
  <c r="G67" i="2"/>
  <c r="F67" i="2"/>
  <c r="E67" i="2"/>
  <c r="D67" i="2"/>
  <c r="C67" i="2"/>
  <c r="B67" i="2"/>
  <c r="G37" i="2"/>
  <c r="F37" i="2"/>
  <c r="E37" i="2"/>
  <c r="D37" i="2"/>
  <c r="C37" i="2"/>
  <c r="B37" i="2"/>
  <c r="J9" i="2"/>
  <c r="K9" i="2"/>
  <c r="I9" i="2"/>
  <c r="H9" i="2"/>
  <c r="B7" i="20" a="1"/>
  <c r="B7" i="20"/>
  <c r="C7" i="20"/>
  <c r="D7" i="20"/>
  <c r="E7" i="20"/>
  <c r="F7" i="20"/>
  <c r="G7" i="20"/>
  <c r="H7" i="20"/>
  <c r="I7" i="20"/>
  <c r="J7" i="20"/>
  <c r="B8" i="20"/>
  <c r="C8" i="20"/>
  <c r="D8" i="20"/>
  <c r="E8" i="20"/>
  <c r="F8" i="20"/>
  <c r="G8" i="20"/>
  <c r="H8" i="20"/>
  <c r="I8" i="20"/>
  <c r="J8" i="20"/>
  <c r="B9" i="20"/>
  <c r="C9" i="20"/>
  <c r="D9" i="20"/>
  <c r="E9" i="20"/>
  <c r="F9" i="20"/>
  <c r="G9" i="20"/>
  <c r="H9" i="20"/>
  <c r="I9" i="20"/>
  <c r="J9" i="20"/>
  <c r="B10" i="20"/>
  <c r="C10" i="20"/>
  <c r="D10" i="20"/>
  <c r="E10" i="20"/>
  <c r="F10" i="20"/>
  <c r="G10" i="20"/>
  <c r="H10" i="20"/>
  <c r="I10" i="20"/>
  <c r="J10" i="20"/>
  <c r="B11" i="20"/>
  <c r="C11" i="20"/>
  <c r="D11" i="20"/>
  <c r="E11" i="20"/>
  <c r="F11" i="20"/>
  <c r="G11" i="20"/>
  <c r="H11" i="20"/>
  <c r="I11" i="20"/>
  <c r="J11" i="20"/>
  <c r="B12" i="20"/>
  <c r="C12" i="20"/>
  <c r="D12" i="20"/>
  <c r="E12" i="20"/>
  <c r="F12" i="20"/>
  <c r="G12" i="20"/>
  <c r="H12" i="20"/>
  <c r="I12" i="20"/>
  <c r="J12" i="20"/>
  <c r="B13" i="20"/>
  <c r="C13" i="20"/>
  <c r="D13" i="20"/>
  <c r="E13" i="20"/>
  <c r="F13" i="20"/>
  <c r="G13" i="20"/>
  <c r="H13" i="20"/>
  <c r="I13" i="20"/>
  <c r="J13" i="20"/>
  <c r="B14" i="20"/>
  <c r="C14" i="20"/>
  <c r="D14" i="20"/>
  <c r="E14" i="20"/>
  <c r="F14" i="20"/>
  <c r="G14" i="20"/>
  <c r="H14" i="20"/>
  <c r="I14" i="20"/>
  <c r="J14" i="20"/>
  <c r="B15" i="20"/>
  <c r="C15" i="20"/>
  <c r="D15" i="20"/>
  <c r="E15" i="20"/>
  <c r="F15" i="20"/>
  <c r="G15" i="20"/>
  <c r="H15" i="20"/>
  <c r="I15" i="20"/>
  <c r="J15" i="20"/>
  <c r="B7" i="19" a="1"/>
  <c r="B7" i="19"/>
  <c r="C7" i="19"/>
  <c r="D7" i="19"/>
  <c r="E7" i="19"/>
  <c r="F7" i="19"/>
  <c r="G7" i="19"/>
  <c r="H7" i="19"/>
  <c r="I7" i="19"/>
  <c r="J7" i="19"/>
  <c r="B8" i="19"/>
  <c r="C8" i="19"/>
  <c r="D8" i="19"/>
  <c r="E8" i="19"/>
  <c r="F8" i="19"/>
  <c r="G8" i="19"/>
  <c r="H8" i="19"/>
  <c r="I8" i="19"/>
  <c r="J8" i="19"/>
  <c r="B9" i="19"/>
  <c r="C9" i="19"/>
  <c r="D9" i="19"/>
  <c r="E9" i="19"/>
  <c r="F9" i="19"/>
  <c r="G9" i="19"/>
  <c r="H9" i="19"/>
  <c r="I9" i="19"/>
  <c r="J9" i="19"/>
  <c r="B10" i="19"/>
  <c r="C10" i="19"/>
  <c r="D10" i="19"/>
  <c r="E10" i="19"/>
  <c r="F10" i="19"/>
  <c r="G10" i="19"/>
  <c r="H10" i="19"/>
  <c r="I10" i="19"/>
  <c r="J10" i="19"/>
  <c r="B11" i="19"/>
  <c r="C11" i="19"/>
  <c r="D11" i="19"/>
  <c r="E11" i="19"/>
  <c r="F11" i="19"/>
  <c r="G11" i="19"/>
  <c r="H11" i="19"/>
  <c r="I11" i="19"/>
  <c r="J11" i="19"/>
  <c r="B12" i="19"/>
  <c r="C12" i="19"/>
  <c r="D12" i="19"/>
  <c r="E12" i="19"/>
  <c r="F12" i="19"/>
  <c r="G12" i="19"/>
  <c r="H12" i="19"/>
  <c r="I12" i="19"/>
  <c r="J12" i="19"/>
  <c r="B13" i="19"/>
  <c r="C13" i="19"/>
  <c r="D13" i="19"/>
  <c r="E13" i="19"/>
  <c r="F13" i="19"/>
  <c r="G13" i="19"/>
  <c r="H13" i="19"/>
  <c r="I13" i="19"/>
  <c r="J13" i="19"/>
  <c r="B14" i="19"/>
  <c r="C14" i="19"/>
  <c r="D14" i="19"/>
  <c r="E14" i="19"/>
  <c r="F14" i="19"/>
  <c r="G14" i="19"/>
  <c r="H14" i="19"/>
  <c r="I14" i="19"/>
  <c r="J14" i="19"/>
  <c r="B15" i="19"/>
  <c r="C15" i="19"/>
  <c r="D15" i="19"/>
  <c r="E15" i="19"/>
  <c r="F15" i="19"/>
  <c r="G15" i="19"/>
  <c r="H15" i="19"/>
  <c r="I15" i="19"/>
  <c r="J15" i="19"/>
  <c r="B7" i="18" a="1"/>
  <c r="B7" i="18"/>
  <c r="C7" i="18"/>
  <c r="D7" i="18"/>
  <c r="E7" i="18"/>
  <c r="F7" i="18"/>
  <c r="G7" i="18"/>
  <c r="H7" i="18"/>
  <c r="I7" i="18"/>
  <c r="J7" i="18"/>
  <c r="B8" i="18"/>
  <c r="C8" i="18"/>
  <c r="D8" i="18"/>
  <c r="E8" i="18"/>
  <c r="F8" i="18"/>
  <c r="G8" i="18"/>
  <c r="H8" i="18"/>
  <c r="I8" i="18"/>
  <c r="J8" i="18"/>
  <c r="B9" i="18"/>
  <c r="C9" i="18"/>
  <c r="D9" i="18"/>
  <c r="E9" i="18"/>
  <c r="F9" i="18"/>
  <c r="G9" i="18"/>
  <c r="H9" i="18"/>
  <c r="I9" i="18"/>
  <c r="J9" i="18"/>
  <c r="B10" i="18"/>
  <c r="C10" i="18"/>
  <c r="D10" i="18"/>
  <c r="E10" i="18"/>
  <c r="F10" i="18"/>
  <c r="G10" i="18"/>
  <c r="H10" i="18"/>
  <c r="I10" i="18"/>
  <c r="J10" i="18"/>
  <c r="B11" i="18"/>
  <c r="C11" i="18"/>
  <c r="D11" i="18"/>
  <c r="E11" i="18"/>
  <c r="F11" i="18"/>
  <c r="G11" i="18"/>
  <c r="H11" i="18"/>
  <c r="I11" i="18"/>
  <c r="J11" i="18"/>
  <c r="B12" i="18"/>
  <c r="C12" i="18"/>
  <c r="D12" i="18"/>
  <c r="E12" i="18"/>
  <c r="F12" i="18"/>
  <c r="G12" i="18"/>
  <c r="H12" i="18"/>
  <c r="I12" i="18"/>
  <c r="J12" i="18"/>
  <c r="B13" i="18"/>
  <c r="C13" i="18"/>
  <c r="D13" i="18"/>
  <c r="E13" i="18"/>
  <c r="F13" i="18"/>
  <c r="G13" i="18"/>
  <c r="H13" i="18"/>
  <c r="I13" i="18"/>
  <c r="J13" i="18"/>
  <c r="B14" i="18"/>
  <c r="C14" i="18"/>
  <c r="D14" i="18"/>
  <c r="E14" i="18"/>
  <c r="F14" i="18"/>
  <c r="G14" i="18"/>
  <c r="H14" i="18"/>
  <c r="I14" i="18"/>
  <c r="J14" i="18"/>
  <c r="B15" i="18"/>
  <c r="C15" i="18"/>
  <c r="D15" i="18"/>
  <c r="E15" i="18"/>
  <c r="F15" i="18"/>
  <c r="G15" i="18"/>
  <c r="H15" i="18"/>
  <c r="I15" i="18"/>
  <c r="J15" i="18"/>
  <c r="B7" i="17" a="1"/>
  <c r="B7" i="17"/>
  <c r="C7" i="17"/>
  <c r="D7" i="17"/>
  <c r="E7" i="17"/>
  <c r="F7" i="17"/>
  <c r="G7" i="17"/>
  <c r="H7" i="17"/>
  <c r="I7" i="17"/>
  <c r="J7" i="17"/>
  <c r="B8" i="17"/>
  <c r="C8" i="17"/>
  <c r="D8" i="17"/>
  <c r="E8" i="17"/>
  <c r="F8" i="17"/>
  <c r="G8" i="17"/>
  <c r="H8" i="17"/>
  <c r="I8" i="17"/>
  <c r="J8" i="17"/>
  <c r="B9" i="17"/>
  <c r="C9" i="17"/>
  <c r="D9" i="17"/>
  <c r="E9" i="17"/>
  <c r="F9" i="17"/>
  <c r="G9" i="17"/>
  <c r="H9" i="17"/>
  <c r="I9" i="17"/>
  <c r="J9" i="17"/>
  <c r="B10" i="17"/>
  <c r="C10" i="17"/>
  <c r="D10" i="17"/>
  <c r="E10" i="17"/>
  <c r="F10" i="17"/>
  <c r="G10" i="17"/>
  <c r="H10" i="17"/>
  <c r="I10" i="17"/>
  <c r="J10" i="17"/>
  <c r="B11" i="17"/>
  <c r="C11" i="17"/>
  <c r="D11" i="17"/>
  <c r="E11" i="17"/>
  <c r="F11" i="17"/>
  <c r="G11" i="17"/>
  <c r="H11" i="17"/>
  <c r="I11" i="17"/>
  <c r="J11" i="17"/>
  <c r="B12" i="17"/>
  <c r="C12" i="17"/>
  <c r="D12" i="17"/>
  <c r="E12" i="17"/>
  <c r="F12" i="17"/>
  <c r="G12" i="17"/>
  <c r="H12" i="17"/>
  <c r="I12" i="17"/>
  <c r="J12" i="17"/>
  <c r="B13" i="17"/>
  <c r="C13" i="17"/>
  <c r="D13" i="17"/>
  <c r="E13" i="17"/>
  <c r="F13" i="17"/>
  <c r="G13" i="17"/>
  <c r="H13" i="17"/>
  <c r="I13" i="17"/>
  <c r="J13" i="17"/>
  <c r="B14" i="17"/>
  <c r="C14" i="17"/>
  <c r="D14" i="17"/>
  <c r="E14" i="17"/>
  <c r="F14" i="17"/>
  <c r="G14" i="17"/>
  <c r="H14" i="17"/>
  <c r="I14" i="17"/>
  <c r="J14" i="17"/>
  <c r="B15" i="17"/>
  <c r="C15" i="17"/>
  <c r="D15" i="17"/>
  <c r="E15" i="17"/>
  <c r="F15" i="17"/>
  <c r="G15" i="17"/>
  <c r="H15" i="17"/>
  <c r="I15" i="17"/>
  <c r="J15" i="17"/>
  <c r="B7" i="16" a="1"/>
  <c r="B7" i="16"/>
  <c r="C7" i="16"/>
  <c r="D7" i="16"/>
  <c r="E7" i="16"/>
  <c r="F7" i="16"/>
  <c r="G7" i="16"/>
  <c r="H7" i="16"/>
  <c r="I7" i="16"/>
  <c r="J7" i="16"/>
  <c r="B8" i="16"/>
  <c r="C8" i="16"/>
  <c r="D8" i="16"/>
  <c r="E8" i="16"/>
  <c r="F8" i="16"/>
  <c r="G8" i="16"/>
  <c r="H8" i="16"/>
  <c r="I8" i="16"/>
  <c r="J8" i="16"/>
  <c r="B9" i="16"/>
  <c r="C9" i="16"/>
  <c r="D9" i="16"/>
  <c r="E9" i="16"/>
  <c r="F9" i="16"/>
  <c r="G9" i="16"/>
  <c r="H9" i="16"/>
  <c r="I9" i="16"/>
  <c r="J9" i="16"/>
  <c r="B10" i="16"/>
  <c r="C10" i="16"/>
  <c r="D10" i="16"/>
  <c r="E10" i="16"/>
  <c r="F10" i="16"/>
  <c r="G10" i="16"/>
  <c r="H10" i="16"/>
  <c r="I10" i="16"/>
  <c r="J10" i="16"/>
  <c r="B11" i="16"/>
  <c r="C11" i="16"/>
  <c r="D11" i="16"/>
  <c r="E11" i="16"/>
  <c r="F11" i="16"/>
  <c r="G11" i="16"/>
  <c r="H11" i="16"/>
  <c r="I11" i="16"/>
  <c r="J11" i="16"/>
  <c r="B12" i="16"/>
  <c r="C12" i="16"/>
  <c r="D12" i="16"/>
  <c r="E12" i="16"/>
  <c r="F12" i="16"/>
  <c r="G12" i="16"/>
  <c r="H12" i="16"/>
  <c r="I12" i="16"/>
  <c r="J12" i="16"/>
  <c r="B13" i="16"/>
  <c r="C13" i="16"/>
  <c r="D13" i="16"/>
  <c r="E13" i="16"/>
  <c r="F13" i="16"/>
  <c r="G13" i="16"/>
  <c r="H13" i="16"/>
  <c r="I13" i="16"/>
  <c r="J13" i="16"/>
  <c r="B14" i="16"/>
  <c r="C14" i="16"/>
  <c r="D14" i="16"/>
  <c r="E14" i="16"/>
  <c r="F14" i="16"/>
  <c r="G14" i="16"/>
  <c r="H14" i="16"/>
  <c r="I14" i="16"/>
  <c r="J14" i="16"/>
  <c r="B15" i="16"/>
  <c r="C15" i="16"/>
  <c r="D15" i="16"/>
  <c r="E15" i="16"/>
  <c r="F15" i="16"/>
  <c r="G15" i="16"/>
  <c r="H15" i="16"/>
  <c r="I15" i="16"/>
  <c r="J15" i="16"/>
  <c r="B7" i="15" a="1"/>
  <c r="C7" i="15"/>
  <c r="D7" i="15"/>
  <c r="E7" i="15"/>
  <c r="F7" i="15"/>
  <c r="G7" i="15"/>
  <c r="H7" i="15"/>
  <c r="I7" i="15"/>
  <c r="J7" i="15"/>
  <c r="B8" i="15"/>
  <c r="C8" i="15"/>
  <c r="D8" i="15"/>
  <c r="E8" i="15"/>
  <c r="F8" i="15"/>
  <c r="G8" i="15"/>
  <c r="H8" i="15"/>
  <c r="I8" i="15"/>
  <c r="J8" i="15"/>
  <c r="B9" i="15"/>
  <c r="C9" i="15"/>
  <c r="D9" i="15"/>
  <c r="E9" i="15"/>
  <c r="F9" i="15"/>
  <c r="G9" i="15"/>
  <c r="H9" i="15"/>
  <c r="I9" i="15"/>
  <c r="J9" i="15"/>
  <c r="B10" i="15"/>
  <c r="C10" i="15"/>
  <c r="D10" i="15"/>
  <c r="E10" i="15"/>
  <c r="F10" i="15"/>
  <c r="G10" i="15"/>
  <c r="H10" i="15"/>
  <c r="I10" i="15"/>
  <c r="J10" i="15"/>
  <c r="B11" i="15"/>
  <c r="C11" i="15"/>
  <c r="D11" i="15"/>
  <c r="E11" i="15"/>
  <c r="F11" i="15"/>
  <c r="G11" i="15"/>
  <c r="H11" i="15"/>
  <c r="I11" i="15"/>
  <c r="J11" i="15"/>
  <c r="B12" i="15"/>
  <c r="C12" i="15"/>
  <c r="D12" i="15"/>
  <c r="E12" i="15"/>
  <c r="F12" i="15"/>
  <c r="G12" i="15"/>
  <c r="H12" i="15"/>
  <c r="I12" i="15"/>
  <c r="J12" i="15"/>
  <c r="B13" i="15"/>
  <c r="C13" i="15"/>
  <c r="D13" i="15"/>
  <c r="E13" i="15"/>
  <c r="F13" i="15"/>
  <c r="G13" i="15"/>
  <c r="H13" i="15"/>
  <c r="I13" i="15"/>
  <c r="J13" i="15"/>
  <c r="B14" i="15"/>
  <c r="C14" i="15"/>
  <c r="D14" i="15"/>
  <c r="E14" i="15"/>
  <c r="F14" i="15"/>
  <c r="G14" i="15"/>
  <c r="H14" i="15"/>
  <c r="I14" i="15"/>
  <c r="J14" i="15"/>
  <c r="B15" i="15"/>
  <c r="C15" i="15"/>
  <c r="D15" i="15"/>
  <c r="E15" i="15"/>
  <c r="F15" i="15"/>
  <c r="G15" i="15"/>
  <c r="H15" i="15"/>
  <c r="I15" i="15"/>
  <c r="J15" i="15"/>
  <c r="B7" i="15"/>
  <c r="B7" i="11" a="1"/>
  <c r="B7" i="11"/>
  <c r="C7" i="11"/>
  <c r="D7" i="11"/>
  <c r="E7" i="11"/>
  <c r="F7" i="11"/>
  <c r="G7" i="11"/>
  <c r="H7" i="11"/>
  <c r="I7" i="11"/>
  <c r="J7" i="11"/>
  <c r="B8" i="11"/>
  <c r="C8" i="11"/>
  <c r="D8" i="11"/>
  <c r="E8" i="11"/>
  <c r="F8" i="11"/>
  <c r="G8" i="11"/>
  <c r="H8" i="11"/>
  <c r="I8" i="11"/>
  <c r="J8" i="11"/>
  <c r="B9" i="11"/>
  <c r="C9" i="11"/>
  <c r="D9" i="11"/>
  <c r="E9" i="11"/>
  <c r="F9" i="11"/>
  <c r="G9" i="11"/>
  <c r="H9" i="11"/>
  <c r="I9" i="11"/>
  <c r="J9" i="11"/>
  <c r="B10" i="11"/>
  <c r="C10" i="11"/>
  <c r="D10" i="11"/>
  <c r="E10" i="11"/>
  <c r="F10" i="11"/>
  <c r="G10" i="11"/>
  <c r="H10" i="11"/>
  <c r="I10" i="11"/>
  <c r="J10" i="11"/>
  <c r="B11" i="11"/>
  <c r="C11" i="11"/>
  <c r="D11" i="11"/>
  <c r="E11" i="11"/>
  <c r="F11" i="11"/>
  <c r="G11" i="11"/>
  <c r="H11" i="11"/>
  <c r="I11" i="11"/>
  <c r="J11" i="11"/>
  <c r="B12" i="11"/>
  <c r="C12" i="11"/>
  <c r="D12" i="11"/>
  <c r="E12" i="11"/>
  <c r="F12" i="11"/>
  <c r="G12" i="11"/>
  <c r="H12" i="11"/>
  <c r="I12" i="11"/>
  <c r="J12" i="11"/>
  <c r="B13" i="11"/>
  <c r="C13" i="11"/>
  <c r="D13" i="11"/>
  <c r="E13" i="11"/>
  <c r="F13" i="11"/>
  <c r="G13" i="11"/>
  <c r="H13" i="11"/>
  <c r="I13" i="11"/>
  <c r="J13" i="11"/>
  <c r="B14" i="11"/>
  <c r="C14" i="11"/>
  <c r="D14" i="11"/>
  <c r="E14" i="11"/>
  <c r="F14" i="11"/>
  <c r="G14" i="11"/>
  <c r="H14" i="11"/>
  <c r="I14" i="11"/>
  <c r="J14" i="11"/>
  <c r="B15" i="11"/>
  <c r="C15" i="11"/>
  <c r="D15" i="11"/>
  <c r="E15" i="11"/>
  <c r="F15" i="11"/>
  <c r="G15" i="11"/>
  <c r="H15" i="11"/>
  <c r="I15" i="11"/>
  <c r="J15" i="11"/>
  <c r="B7" i="10" a="1"/>
  <c r="B7" i="10"/>
  <c r="C7" i="10"/>
  <c r="D7" i="10"/>
  <c r="E7" i="10"/>
  <c r="F7" i="10"/>
  <c r="G7" i="10"/>
  <c r="H7" i="10"/>
  <c r="I7" i="10"/>
  <c r="J7" i="10"/>
  <c r="B8" i="10"/>
  <c r="C8" i="10"/>
  <c r="D8" i="10"/>
  <c r="E8" i="10"/>
  <c r="F8" i="10"/>
  <c r="G8" i="10"/>
  <c r="H8" i="10"/>
  <c r="I8" i="10"/>
  <c r="J8" i="10"/>
  <c r="B9" i="10"/>
  <c r="C9" i="10"/>
  <c r="D9" i="10"/>
  <c r="E9" i="10"/>
  <c r="F9" i="10"/>
  <c r="G9" i="10"/>
  <c r="H9" i="10"/>
  <c r="I9" i="10"/>
  <c r="J9" i="10"/>
  <c r="B10" i="10"/>
  <c r="C10" i="10"/>
  <c r="D10" i="10"/>
  <c r="E10" i="10"/>
  <c r="F10" i="10"/>
  <c r="G10" i="10"/>
  <c r="H10" i="10"/>
  <c r="I10" i="10"/>
  <c r="J10" i="10"/>
  <c r="B11" i="10"/>
  <c r="C11" i="10"/>
  <c r="D11" i="10"/>
  <c r="E11" i="10"/>
  <c r="F11" i="10"/>
  <c r="G11" i="10"/>
  <c r="H11" i="10"/>
  <c r="I11" i="10"/>
  <c r="J11" i="10"/>
  <c r="B12" i="10"/>
  <c r="C12" i="10"/>
  <c r="D12" i="10"/>
  <c r="E12" i="10"/>
  <c r="F12" i="10"/>
  <c r="G12" i="10"/>
  <c r="H12" i="10"/>
  <c r="I12" i="10"/>
  <c r="J12" i="10"/>
  <c r="B13" i="10"/>
  <c r="C13" i="10"/>
  <c r="D13" i="10"/>
  <c r="E13" i="10"/>
  <c r="F13" i="10"/>
  <c r="G13" i="10"/>
  <c r="H13" i="10"/>
  <c r="I13" i="10"/>
  <c r="J13" i="10"/>
  <c r="B14" i="10"/>
  <c r="C14" i="10"/>
  <c r="D14" i="10"/>
  <c r="E14" i="10"/>
  <c r="F14" i="10"/>
  <c r="G14" i="10"/>
  <c r="H14" i="10"/>
  <c r="I14" i="10"/>
  <c r="J14" i="10"/>
  <c r="B15" i="10"/>
  <c r="C15" i="10"/>
  <c r="D15" i="10"/>
  <c r="E15" i="10"/>
  <c r="F15" i="10"/>
  <c r="G15" i="10"/>
  <c r="H15" i="10"/>
  <c r="I15" i="10"/>
  <c r="J15" i="10"/>
  <c r="K16" i="7"/>
  <c r="K15" i="20"/>
  <c r="K7" i="20"/>
  <c r="K8" i="20"/>
  <c r="K9" i="20"/>
  <c r="K10" i="20"/>
  <c r="K11" i="20"/>
  <c r="K12" i="20"/>
  <c r="K13" i="20"/>
  <c r="K14" i="20"/>
  <c r="K15" i="19"/>
  <c r="U34" i="2"/>
  <c r="K7" i="19"/>
  <c r="K8" i="19"/>
  <c r="K9" i="19"/>
  <c r="K10" i="19"/>
  <c r="K11" i="19"/>
  <c r="K12" i="19"/>
  <c r="K13" i="19"/>
  <c r="K14" i="19"/>
  <c r="K15" i="18"/>
  <c r="K7" i="18"/>
  <c r="K8" i="18"/>
  <c r="K9" i="18"/>
  <c r="K10" i="18"/>
  <c r="K11" i="18"/>
  <c r="K12" i="18"/>
  <c r="K13" i="18"/>
  <c r="K14" i="18"/>
  <c r="K15" i="17"/>
  <c r="K7" i="17"/>
  <c r="K8" i="17"/>
  <c r="K9" i="17"/>
  <c r="K10" i="17"/>
  <c r="K11" i="17"/>
  <c r="K12" i="17"/>
  <c r="K13" i="17"/>
  <c r="K14" i="17"/>
  <c r="K15" i="16"/>
  <c r="K7" i="16"/>
  <c r="K8" i="16"/>
  <c r="K9" i="16"/>
  <c r="K10" i="16"/>
  <c r="K11" i="16"/>
  <c r="K12" i="16"/>
  <c r="K13" i="16"/>
  <c r="K14" i="16"/>
  <c r="K15" i="15"/>
  <c r="K7" i="15"/>
  <c r="K8" i="15"/>
  <c r="K9" i="15"/>
  <c r="K10" i="15"/>
  <c r="K11" i="15"/>
  <c r="K12" i="15"/>
  <c r="K13" i="15"/>
  <c r="K14" i="15"/>
  <c r="K15" i="11"/>
  <c r="K7" i="11"/>
  <c r="K8" i="11"/>
  <c r="K9" i="11"/>
  <c r="K10" i="11"/>
  <c r="K11" i="11"/>
  <c r="K12" i="11"/>
  <c r="K13" i="11"/>
  <c r="K14" i="11"/>
  <c r="K15" i="10"/>
  <c r="K7" i="10"/>
  <c r="K8" i="10"/>
  <c r="K9" i="10"/>
  <c r="K10" i="10"/>
  <c r="K11" i="10"/>
  <c r="K12" i="10"/>
  <c r="K13" i="10"/>
  <c r="K14" i="10"/>
  <c r="C16" i="7"/>
  <c r="B16" i="7"/>
  <c r="J19" i="8"/>
  <c r="K19" i="8"/>
  <c r="M8" i="12"/>
  <c r="J29" i="8"/>
  <c r="K29" i="8"/>
  <c r="N8" i="12"/>
  <c r="J9" i="8"/>
  <c r="K9" i="8"/>
  <c r="O8" i="12"/>
  <c r="L19" i="8"/>
  <c r="M19" i="8"/>
  <c r="P8" i="12"/>
  <c r="L29" i="8"/>
  <c r="M29" i="8"/>
  <c r="Q8" i="12"/>
  <c r="L9" i="8"/>
  <c r="M9" i="8"/>
  <c r="R8" i="12"/>
  <c r="N19" i="8"/>
  <c r="O19" i="8"/>
  <c r="S8" i="12"/>
  <c r="N29" i="8"/>
  <c r="O29" i="8"/>
  <c r="T8" i="12"/>
  <c r="N9" i="8"/>
  <c r="O9" i="8"/>
  <c r="U8" i="12"/>
  <c r="J20" i="8"/>
  <c r="K20" i="8"/>
  <c r="M9" i="12"/>
  <c r="J30" i="8"/>
  <c r="K30" i="8"/>
  <c r="N9" i="12"/>
  <c r="J10" i="8"/>
  <c r="K10" i="8"/>
  <c r="O9" i="12"/>
  <c r="L20" i="8"/>
  <c r="M20" i="8"/>
  <c r="P9" i="12"/>
  <c r="L30" i="8"/>
  <c r="M30" i="8"/>
  <c r="Q9" i="12"/>
  <c r="L10" i="8"/>
  <c r="M10" i="8"/>
  <c r="R9" i="12"/>
  <c r="N20" i="8"/>
  <c r="O20" i="8"/>
  <c r="S9" i="12"/>
  <c r="N30" i="8"/>
  <c r="O30" i="8"/>
  <c r="T9" i="12"/>
  <c r="N10" i="8"/>
  <c r="O10" i="8"/>
  <c r="U9" i="12"/>
  <c r="J21" i="8"/>
  <c r="K21" i="8"/>
  <c r="M10" i="12"/>
  <c r="J31" i="8"/>
  <c r="K31" i="8"/>
  <c r="N10" i="12"/>
  <c r="J11" i="8"/>
  <c r="K11" i="8"/>
  <c r="O10" i="12"/>
  <c r="L21" i="8"/>
  <c r="M21" i="8"/>
  <c r="P10" i="12"/>
  <c r="L31" i="8"/>
  <c r="M31" i="8"/>
  <c r="Q10" i="12"/>
  <c r="L11" i="8"/>
  <c r="M11" i="8"/>
  <c r="R10" i="12"/>
  <c r="N21" i="8"/>
  <c r="O21" i="8"/>
  <c r="S10" i="12"/>
  <c r="N31" i="8"/>
  <c r="O31" i="8"/>
  <c r="T10" i="12"/>
  <c r="N11" i="8"/>
  <c r="O11" i="8"/>
  <c r="U10" i="12"/>
  <c r="J22" i="8"/>
  <c r="K22" i="8"/>
  <c r="M11" i="12"/>
  <c r="J32" i="8"/>
  <c r="K32" i="8"/>
  <c r="N11" i="12"/>
  <c r="J12" i="8"/>
  <c r="K12" i="8"/>
  <c r="O11" i="12"/>
  <c r="L22" i="8"/>
  <c r="M22" i="8"/>
  <c r="P11" i="12"/>
  <c r="L32" i="8"/>
  <c r="M32" i="8"/>
  <c r="Q11" i="12"/>
  <c r="L12" i="8"/>
  <c r="M12" i="8"/>
  <c r="R11" i="12"/>
  <c r="N22" i="8"/>
  <c r="O22" i="8"/>
  <c r="S11" i="12"/>
  <c r="N32" i="8"/>
  <c r="O32" i="8"/>
  <c r="T11" i="12"/>
  <c r="N12" i="8"/>
  <c r="O12" i="8"/>
  <c r="U11" i="12"/>
  <c r="J23" i="8"/>
  <c r="K23" i="8"/>
  <c r="M12" i="12"/>
  <c r="J33" i="8"/>
  <c r="K33" i="8"/>
  <c r="N12" i="12"/>
  <c r="J13" i="8"/>
  <c r="K13" i="8"/>
  <c r="O12" i="12"/>
  <c r="L23" i="8"/>
  <c r="M23" i="8"/>
  <c r="P12" i="12"/>
  <c r="L33" i="8"/>
  <c r="M33" i="8"/>
  <c r="Q12" i="12"/>
  <c r="L13" i="8"/>
  <c r="M13" i="8"/>
  <c r="R12" i="12"/>
  <c r="N23" i="8"/>
  <c r="O23" i="8"/>
  <c r="S12" i="12"/>
  <c r="N33" i="8"/>
  <c r="O33" i="8"/>
  <c r="T12" i="12"/>
  <c r="N13" i="8"/>
  <c r="O13" i="8"/>
  <c r="U12" i="12"/>
  <c r="J24" i="8"/>
  <c r="K24" i="8"/>
  <c r="M13" i="12"/>
  <c r="J34" i="8"/>
  <c r="K34" i="8"/>
  <c r="N13" i="12"/>
  <c r="J14" i="8"/>
  <c r="K14" i="8"/>
  <c r="O13" i="12"/>
  <c r="L24" i="8"/>
  <c r="M24" i="8"/>
  <c r="P13" i="12"/>
  <c r="L34" i="8"/>
  <c r="M34" i="8"/>
  <c r="Q13" i="12"/>
  <c r="L14" i="8"/>
  <c r="M14" i="8"/>
  <c r="R13" i="12"/>
  <c r="N24" i="8"/>
  <c r="O24" i="8"/>
  <c r="S13" i="12"/>
  <c r="N34" i="8"/>
  <c r="O34" i="8"/>
  <c r="T13" i="12"/>
  <c r="N14" i="8"/>
  <c r="O14" i="8"/>
  <c r="U13" i="12"/>
  <c r="J25" i="8"/>
  <c r="K25" i="8"/>
  <c r="M14" i="12"/>
  <c r="J35" i="8"/>
  <c r="K35" i="8"/>
  <c r="N14" i="12"/>
  <c r="J15" i="8"/>
  <c r="K15" i="8"/>
  <c r="O14" i="12"/>
  <c r="L25" i="8"/>
  <c r="M25" i="8"/>
  <c r="P14" i="12"/>
  <c r="L35" i="8"/>
  <c r="M35" i="8"/>
  <c r="Q14" i="12"/>
  <c r="L15" i="8"/>
  <c r="M15" i="8"/>
  <c r="R14" i="12"/>
  <c r="N25" i="8"/>
  <c r="O25" i="8"/>
  <c r="S14" i="12"/>
  <c r="N35" i="8"/>
  <c r="O35" i="8"/>
  <c r="T14" i="12"/>
  <c r="N15" i="8"/>
  <c r="O15" i="8"/>
  <c r="U14" i="12"/>
  <c r="J26" i="8"/>
  <c r="K26" i="8"/>
  <c r="M15" i="12"/>
  <c r="J36" i="8"/>
  <c r="K36" i="8"/>
  <c r="N15" i="12"/>
  <c r="J16" i="8"/>
  <c r="K16" i="8"/>
  <c r="O15" i="12"/>
  <c r="L26" i="8"/>
  <c r="M26" i="8"/>
  <c r="P15" i="12"/>
  <c r="L36" i="8"/>
  <c r="M36" i="8"/>
  <c r="Q15" i="12"/>
  <c r="L16" i="8"/>
  <c r="M16" i="8"/>
  <c r="R15" i="12"/>
  <c r="N26" i="8"/>
  <c r="O26" i="8"/>
  <c r="S15" i="12"/>
  <c r="N36" i="8"/>
  <c r="O36" i="8"/>
  <c r="T15" i="12"/>
  <c r="N16" i="8"/>
  <c r="O16" i="8"/>
  <c r="U15" i="12"/>
  <c r="N28" i="8"/>
  <c r="O28" i="8"/>
  <c r="T7" i="12"/>
  <c r="L28" i="8"/>
  <c r="M28" i="8"/>
  <c r="Q7" i="12"/>
  <c r="J28" i="8"/>
  <c r="K28" i="8"/>
  <c r="N7" i="12"/>
  <c r="N18" i="8"/>
  <c r="O18" i="8"/>
  <c r="S7" i="12"/>
  <c r="L18" i="8"/>
  <c r="M18" i="8"/>
  <c r="P7" i="12"/>
  <c r="J18" i="8"/>
  <c r="K18" i="8"/>
  <c r="M7" i="12"/>
  <c r="N8" i="8"/>
  <c r="O8" i="8"/>
  <c r="U7" i="12"/>
  <c r="L8" i="8"/>
  <c r="M8" i="8"/>
  <c r="R7" i="12"/>
  <c r="J8" i="8"/>
  <c r="K8" i="8"/>
  <c r="O7" i="12"/>
  <c r="O30" i="12"/>
  <c r="N30" i="12"/>
  <c r="M30" i="12"/>
  <c r="O29" i="12"/>
  <c r="N29" i="12"/>
  <c r="M29" i="12"/>
  <c r="O28" i="12"/>
  <c r="N28" i="12"/>
  <c r="M28" i="12"/>
  <c r="O27" i="12"/>
  <c r="N27" i="12"/>
  <c r="M27" i="12"/>
  <c r="O26" i="12"/>
  <c r="N26" i="12"/>
  <c r="M26" i="12"/>
  <c r="O25" i="12"/>
  <c r="N25" i="12"/>
  <c r="M25" i="12"/>
  <c r="O24" i="12"/>
  <c r="N24" i="12"/>
  <c r="M24" i="12"/>
  <c r="O23" i="12"/>
  <c r="N23" i="12"/>
  <c r="M23" i="12"/>
  <c r="O22" i="12"/>
  <c r="N22" i="12"/>
  <c r="M22" i="12"/>
  <c r="M53" i="8"/>
  <c r="N52" i="8"/>
  <c r="N50" i="8"/>
  <c r="N51" i="8"/>
  <c r="O47" i="8"/>
  <c r="N47" i="8"/>
  <c r="M47" i="8"/>
  <c r="L47" i="8"/>
  <c r="K47" i="8"/>
  <c r="J47" i="8"/>
  <c r="O46" i="8"/>
  <c r="N46" i="8"/>
  <c r="M46" i="8"/>
  <c r="L46" i="8"/>
  <c r="K46" i="8"/>
  <c r="J46" i="8"/>
  <c r="O45" i="8"/>
  <c r="N45" i="8"/>
  <c r="M45" i="8"/>
  <c r="L45" i="8"/>
  <c r="K45" i="8"/>
  <c r="J45" i="8"/>
  <c r="O44" i="8"/>
  <c r="N44" i="8"/>
  <c r="M44" i="8"/>
  <c r="L44" i="8"/>
  <c r="K44" i="8"/>
  <c r="J44" i="8"/>
  <c r="O43" i="8"/>
  <c r="N43" i="8"/>
  <c r="M43" i="8"/>
  <c r="L43" i="8"/>
  <c r="K43" i="8"/>
  <c r="J43" i="8"/>
  <c r="O42" i="8"/>
  <c r="N42" i="8"/>
  <c r="M42" i="8"/>
  <c r="L42" i="8"/>
  <c r="K42" i="8"/>
  <c r="J42" i="8"/>
  <c r="O41" i="8"/>
  <c r="N41" i="8"/>
  <c r="M41" i="8"/>
  <c r="L41" i="8"/>
  <c r="K41" i="8"/>
  <c r="J41" i="8"/>
  <c r="O40" i="8"/>
  <c r="N40" i="8"/>
  <c r="M40" i="8"/>
  <c r="L40" i="8"/>
  <c r="K40" i="8"/>
  <c r="J40" i="8"/>
  <c r="O39" i="8"/>
  <c r="N39" i="8"/>
  <c r="M39" i="8"/>
  <c r="L39" i="8"/>
  <c r="K39" i="8"/>
  <c r="J39" i="8"/>
  <c r="V35" i="2"/>
  <c r="V30" i="2"/>
  <c r="U30" i="2"/>
  <c r="T30" i="2"/>
  <c r="S30" i="2"/>
  <c r="R30" i="2"/>
  <c r="Q30" i="2"/>
  <c r="P30" i="2"/>
  <c r="O30" i="2"/>
  <c r="N30" i="2"/>
  <c r="Q15" i="2"/>
  <c r="R15" i="2"/>
  <c r="S15" i="2"/>
  <c r="T15" i="2"/>
  <c r="U15" i="2"/>
  <c r="V15" i="2"/>
  <c r="F34" i="20"/>
  <c r="G34" i="20"/>
  <c r="F35" i="20"/>
  <c r="G35" i="20"/>
  <c r="F36" i="20"/>
  <c r="G36" i="20"/>
  <c r="F37" i="20"/>
  <c r="G37" i="20"/>
  <c r="F38" i="20"/>
  <c r="G38" i="20"/>
  <c r="F39" i="20"/>
  <c r="G39" i="20"/>
  <c r="F40" i="20"/>
  <c r="G40" i="20"/>
  <c r="F41" i="20"/>
  <c r="G41" i="20"/>
  <c r="G33" i="20"/>
  <c r="F33" i="20"/>
  <c r="H42" i="20"/>
  <c r="M29" i="20"/>
  <c r="K29" i="20"/>
  <c r="M16" i="20"/>
  <c r="K16" i="20"/>
  <c r="J16" i="20"/>
  <c r="I16" i="20"/>
  <c r="H16" i="20"/>
  <c r="G16" i="20"/>
  <c r="F16" i="20"/>
  <c r="E16" i="20"/>
  <c r="D16" i="20"/>
  <c r="C16" i="20"/>
  <c r="B16" i="20"/>
  <c r="F34" i="19"/>
  <c r="G34" i="19"/>
  <c r="F35" i="19"/>
  <c r="G35" i="19"/>
  <c r="F36" i="19"/>
  <c r="G36" i="19"/>
  <c r="F37" i="19"/>
  <c r="G37" i="19"/>
  <c r="F38" i="19"/>
  <c r="G38" i="19"/>
  <c r="F39" i="19"/>
  <c r="G39" i="19"/>
  <c r="F40" i="19"/>
  <c r="G40" i="19"/>
  <c r="F41" i="19"/>
  <c r="G41" i="19"/>
  <c r="G33" i="19"/>
  <c r="F33" i="19"/>
  <c r="H42" i="19"/>
  <c r="M29" i="19"/>
  <c r="K29" i="19"/>
  <c r="M16" i="19"/>
  <c r="K16" i="19"/>
  <c r="J16" i="19"/>
  <c r="I16" i="19"/>
  <c r="H16" i="19"/>
  <c r="G16" i="19"/>
  <c r="F16" i="19"/>
  <c r="E16" i="19"/>
  <c r="D16" i="19"/>
  <c r="C16" i="19"/>
  <c r="B16" i="19"/>
  <c r="F34" i="18"/>
  <c r="G34" i="18"/>
  <c r="F35" i="18"/>
  <c r="G35" i="18"/>
  <c r="F36" i="18"/>
  <c r="G36" i="18"/>
  <c r="F37" i="18"/>
  <c r="G37" i="18"/>
  <c r="F38" i="18"/>
  <c r="G38" i="18"/>
  <c r="F39" i="18"/>
  <c r="G39" i="18"/>
  <c r="F40" i="18"/>
  <c r="G40" i="18"/>
  <c r="F41" i="18"/>
  <c r="G41" i="18"/>
  <c r="G33" i="18"/>
  <c r="F33" i="18"/>
  <c r="H42" i="18"/>
  <c r="M29" i="18"/>
  <c r="K29" i="18"/>
  <c r="M16" i="18"/>
  <c r="K16" i="18"/>
  <c r="J16" i="18"/>
  <c r="I16" i="18"/>
  <c r="H16" i="18"/>
  <c r="G16" i="18"/>
  <c r="F16" i="18"/>
  <c r="E16" i="18"/>
  <c r="D16" i="18"/>
  <c r="C16" i="18"/>
  <c r="B16" i="18"/>
  <c r="F34" i="17"/>
  <c r="G34" i="17"/>
  <c r="F35" i="17"/>
  <c r="G35" i="17"/>
  <c r="F36" i="17"/>
  <c r="G36" i="17"/>
  <c r="F37" i="17"/>
  <c r="G37" i="17"/>
  <c r="F38" i="17"/>
  <c r="G38" i="17"/>
  <c r="F39" i="17"/>
  <c r="G39" i="17"/>
  <c r="F40" i="17"/>
  <c r="G40" i="17"/>
  <c r="F41" i="17"/>
  <c r="G41" i="17"/>
  <c r="G33" i="17"/>
  <c r="F33" i="17"/>
  <c r="H42" i="17"/>
  <c r="M29" i="17"/>
  <c r="K29" i="17"/>
  <c r="M16" i="17"/>
  <c r="K16" i="17"/>
  <c r="J16" i="17"/>
  <c r="I16" i="17"/>
  <c r="H16" i="17"/>
  <c r="G16" i="17"/>
  <c r="F16" i="17"/>
  <c r="E16" i="17"/>
  <c r="D16" i="17"/>
  <c r="C16" i="17"/>
  <c r="B16" i="17"/>
  <c r="F34" i="16"/>
  <c r="G34" i="16"/>
  <c r="F35" i="16"/>
  <c r="G35" i="16"/>
  <c r="F36" i="16"/>
  <c r="G36" i="16"/>
  <c r="F37" i="16"/>
  <c r="G37" i="16"/>
  <c r="F38" i="16"/>
  <c r="G38" i="16"/>
  <c r="F39" i="16"/>
  <c r="G39" i="16"/>
  <c r="F40" i="16"/>
  <c r="G40" i="16"/>
  <c r="F41" i="16"/>
  <c r="G41" i="16"/>
  <c r="G33" i="16"/>
  <c r="F33" i="16"/>
  <c r="H42" i="16"/>
  <c r="M29" i="16"/>
  <c r="K29" i="16"/>
  <c r="M16" i="16"/>
  <c r="K16" i="16"/>
  <c r="J16" i="16"/>
  <c r="I16" i="16"/>
  <c r="H16" i="16"/>
  <c r="G16" i="16"/>
  <c r="F16" i="16"/>
  <c r="E16" i="16"/>
  <c r="D16" i="16"/>
  <c r="C16" i="16"/>
  <c r="B16" i="16"/>
  <c r="F34" i="15"/>
  <c r="G34" i="15"/>
  <c r="F35" i="15"/>
  <c r="G35" i="15"/>
  <c r="F36" i="15"/>
  <c r="G36" i="15"/>
  <c r="F37" i="15"/>
  <c r="G37" i="15"/>
  <c r="F38" i="15"/>
  <c r="G38" i="15"/>
  <c r="F39" i="15"/>
  <c r="G39" i="15"/>
  <c r="F40" i="15"/>
  <c r="G40" i="15"/>
  <c r="F41" i="15"/>
  <c r="G41" i="15"/>
  <c r="G33" i="15"/>
  <c r="F33" i="15"/>
  <c r="H42" i="15"/>
  <c r="M29" i="15"/>
  <c r="K29" i="15"/>
  <c r="M16" i="15"/>
  <c r="K16" i="15"/>
  <c r="J16" i="15"/>
  <c r="I16" i="15"/>
  <c r="H16" i="15"/>
  <c r="G16" i="15"/>
  <c r="F16" i="15"/>
  <c r="E16" i="15"/>
  <c r="D16" i="15"/>
  <c r="C16" i="15"/>
  <c r="B16" i="15"/>
  <c r="K29" i="13"/>
  <c r="R8" i="13"/>
  <c r="O8" i="13"/>
  <c r="N8" i="13"/>
  <c r="P8" i="13"/>
  <c r="R24" i="13"/>
  <c r="P24" i="13"/>
  <c r="K17" i="13"/>
  <c r="N19" i="13"/>
  <c r="N22" i="13"/>
  <c r="M19" i="13"/>
  <c r="M22" i="13"/>
  <c r="T16" i="13"/>
  <c r="U16" i="13"/>
  <c r="R16" i="13"/>
  <c r="S16" i="13"/>
  <c r="O16" i="13"/>
  <c r="N16" i="13"/>
  <c r="P16" i="13"/>
  <c r="Q16" i="13"/>
  <c r="T15" i="13"/>
  <c r="U15" i="13"/>
  <c r="R15" i="13"/>
  <c r="S15" i="13"/>
  <c r="O15" i="13"/>
  <c r="N15" i="13"/>
  <c r="P15" i="13"/>
  <c r="Q15" i="13"/>
  <c r="T14" i="13"/>
  <c r="U14" i="13"/>
  <c r="R14" i="13"/>
  <c r="S14" i="13"/>
  <c r="O14" i="13"/>
  <c r="N14" i="13"/>
  <c r="P14" i="13"/>
  <c r="Q14" i="13"/>
  <c r="T13" i="13"/>
  <c r="U13" i="13"/>
  <c r="R13" i="13"/>
  <c r="S13" i="13"/>
  <c r="O13" i="13"/>
  <c r="N13" i="13"/>
  <c r="P13" i="13"/>
  <c r="Q13" i="13"/>
  <c r="T12" i="13"/>
  <c r="U12" i="13"/>
  <c r="R12" i="13"/>
  <c r="S12" i="13"/>
  <c r="O12" i="13"/>
  <c r="N12" i="13"/>
  <c r="P12" i="13"/>
  <c r="Q12" i="13"/>
  <c r="T11" i="13"/>
  <c r="U11" i="13"/>
  <c r="R11" i="13"/>
  <c r="S11" i="13"/>
  <c r="O11" i="13"/>
  <c r="N11" i="13"/>
  <c r="P11" i="13"/>
  <c r="Q11" i="13"/>
  <c r="T10" i="13"/>
  <c r="U10" i="13"/>
  <c r="R10" i="13"/>
  <c r="S10" i="13"/>
  <c r="O10" i="13"/>
  <c r="N10" i="13"/>
  <c r="P10" i="13"/>
  <c r="Q10" i="13"/>
  <c r="T9" i="13"/>
  <c r="U9" i="13"/>
  <c r="R9" i="13"/>
  <c r="S9" i="13"/>
  <c r="O9" i="13"/>
  <c r="N9" i="13"/>
  <c r="P9" i="13"/>
  <c r="Q9" i="13"/>
  <c r="T8" i="13"/>
  <c r="U8" i="13"/>
  <c r="S8" i="13"/>
  <c r="Q8" i="13"/>
  <c r="C8" i="12"/>
  <c r="D8" i="12"/>
  <c r="E8" i="12"/>
  <c r="F8" i="12"/>
  <c r="G8" i="12"/>
  <c r="H8" i="12"/>
  <c r="I8" i="12"/>
  <c r="J8" i="12"/>
  <c r="C9" i="12"/>
  <c r="D9" i="12"/>
  <c r="E9" i="12"/>
  <c r="F9" i="12"/>
  <c r="G9" i="12"/>
  <c r="H9" i="12"/>
  <c r="I9" i="12"/>
  <c r="J9" i="12"/>
  <c r="C10" i="12"/>
  <c r="D10" i="12"/>
  <c r="E10" i="12"/>
  <c r="F10" i="12"/>
  <c r="G10" i="12"/>
  <c r="H10" i="12"/>
  <c r="I10" i="12"/>
  <c r="J10" i="12"/>
  <c r="C11" i="12"/>
  <c r="D11" i="12"/>
  <c r="E11" i="12"/>
  <c r="F11" i="12"/>
  <c r="G11" i="12"/>
  <c r="H11" i="12"/>
  <c r="I11" i="12"/>
  <c r="J11" i="12"/>
  <c r="C12" i="12"/>
  <c r="D12" i="12"/>
  <c r="E12" i="12"/>
  <c r="F12" i="12"/>
  <c r="G12" i="12"/>
  <c r="H12" i="12"/>
  <c r="I12" i="12"/>
  <c r="J12" i="12"/>
  <c r="C13" i="12"/>
  <c r="D13" i="12"/>
  <c r="E13" i="12"/>
  <c r="F13" i="12"/>
  <c r="G13" i="12"/>
  <c r="H13" i="12"/>
  <c r="I13" i="12"/>
  <c r="J13" i="12"/>
  <c r="C14" i="12"/>
  <c r="D14" i="12"/>
  <c r="E14" i="12"/>
  <c r="F14" i="12"/>
  <c r="G14" i="12"/>
  <c r="H14" i="12"/>
  <c r="I14" i="12"/>
  <c r="J14" i="12"/>
  <c r="C15" i="12"/>
  <c r="D15" i="12"/>
  <c r="E15" i="12"/>
  <c r="F15" i="12"/>
  <c r="G15" i="12"/>
  <c r="H15" i="12"/>
  <c r="I15" i="12"/>
  <c r="J15" i="12"/>
  <c r="J7" i="12"/>
  <c r="G7" i="12"/>
  <c r="D7" i="12"/>
  <c r="I7" i="12"/>
  <c r="F7" i="12"/>
  <c r="C7" i="12"/>
  <c r="H7" i="12"/>
  <c r="E7" i="12"/>
  <c r="B9" i="12"/>
  <c r="B10" i="12"/>
  <c r="B11" i="12"/>
  <c r="B12" i="12"/>
  <c r="B13" i="12"/>
  <c r="B14" i="12"/>
  <c r="B15" i="12"/>
  <c r="B8" i="12"/>
  <c r="B7" i="12"/>
  <c r="D30" i="12"/>
  <c r="C30" i="12"/>
  <c r="B30" i="12"/>
  <c r="D29" i="12"/>
  <c r="C29" i="12"/>
  <c r="B29" i="12"/>
  <c r="D28" i="12"/>
  <c r="C28" i="12"/>
  <c r="B28" i="12"/>
  <c r="D27" i="12"/>
  <c r="C27" i="12"/>
  <c r="B27" i="12"/>
  <c r="D26" i="12"/>
  <c r="C26" i="12"/>
  <c r="B26" i="12"/>
  <c r="D25" i="12"/>
  <c r="C25" i="12"/>
  <c r="B25" i="12"/>
  <c r="D24" i="12"/>
  <c r="C24" i="12"/>
  <c r="B24" i="12"/>
  <c r="D23" i="12"/>
  <c r="C23" i="12"/>
  <c r="B23" i="12"/>
  <c r="D22" i="12"/>
  <c r="C22" i="12"/>
  <c r="B22" i="12"/>
  <c r="H42" i="10"/>
  <c r="H42" i="11"/>
  <c r="F34" i="11"/>
  <c r="G34" i="11"/>
  <c r="F35" i="11"/>
  <c r="G35" i="11"/>
  <c r="F36" i="11"/>
  <c r="G36" i="11"/>
  <c r="F37" i="11"/>
  <c r="G37" i="11"/>
  <c r="F38" i="11"/>
  <c r="G38" i="11"/>
  <c r="F39" i="11"/>
  <c r="G39" i="11"/>
  <c r="F40" i="11"/>
  <c r="G40" i="11"/>
  <c r="F41" i="11"/>
  <c r="G41" i="11"/>
  <c r="G33" i="11"/>
  <c r="F33" i="11"/>
  <c r="M29" i="11"/>
  <c r="K29" i="11"/>
  <c r="M16" i="11"/>
  <c r="K16" i="11"/>
  <c r="J16" i="11"/>
  <c r="I16" i="11"/>
  <c r="H16" i="11"/>
  <c r="G16" i="11"/>
  <c r="F16" i="11"/>
  <c r="E16" i="11"/>
  <c r="D16" i="11"/>
  <c r="C16" i="11"/>
  <c r="B16" i="11"/>
  <c r="F34" i="10"/>
  <c r="G34" i="10"/>
  <c r="F35" i="10"/>
  <c r="G35" i="10"/>
  <c r="F36" i="10"/>
  <c r="G36" i="10"/>
  <c r="F37" i="10"/>
  <c r="G37" i="10"/>
  <c r="F38" i="10"/>
  <c r="G38" i="10"/>
  <c r="F39" i="10"/>
  <c r="G39" i="10"/>
  <c r="F40" i="10"/>
  <c r="G40" i="10"/>
  <c r="F41" i="10"/>
  <c r="G41" i="10"/>
  <c r="G33" i="10"/>
  <c r="F33" i="10"/>
  <c r="M29" i="10"/>
  <c r="K29" i="10"/>
  <c r="M16" i="10"/>
  <c r="K16" i="10"/>
  <c r="J16" i="10"/>
  <c r="I16" i="10"/>
  <c r="H16" i="10"/>
  <c r="G16" i="10"/>
  <c r="F16" i="10"/>
  <c r="E16" i="10"/>
  <c r="D16" i="10"/>
  <c r="C16" i="10"/>
  <c r="B16" i="10"/>
  <c r="H42" i="7"/>
  <c r="F34" i="7"/>
  <c r="G34" i="7"/>
  <c r="F35" i="7"/>
  <c r="G35" i="7"/>
  <c r="F36" i="7"/>
  <c r="G36" i="7"/>
  <c r="F37" i="7"/>
  <c r="G37" i="7"/>
  <c r="F38" i="7"/>
  <c r="G38" i="7"/>
  <c r="F39" i="7"/>
  <c r="G39" i="7"/>
  <c r="F40" i="7"/>
  <c r="G40" i="7"/>
  <c r="F41" i="7"/>
  <c r="G41" i="7"/>
  <c r="G33" i="7"/>
  <c r="F33" i="7"/>
  <c r="E53" i="8"/>
  <c r="F51" i="8"/>
  <c r="F52" i="8"/>
  <c r="F50" i="8"/>
  <c r="C39" i="8"/>
  <c r="D39" i="8"/>
  <c r="E39" i="8"/>
  <c r="F39" i="8"/>
  <c r="G39" i="8"/>
  <c r="C40" i="8"/>
  <c r="D40" i="8"/>
  <c r="E40" i="8"/>
  <c r="F40" i="8"/>
  <c r="G40" i="8"/>
  <c r="C41" i="8"/>
  <c r="D41" i="8"/>
  <c r="E41" i="8"/>
  <c r="F41" i="8"/>
  <c r="G41" i="8"/>
  <c r="C42" i="8"/>
  <c r="D42" i="8"/>
  <c r="E42" i="8"/>
  <c r="F42" i="8"/>
  <c r="G42" i="8"/>
  <c r="C43" i="8"/>
  <c r="D43" i="8"/>
  <c r="E43" i="8"/>
  <c r="F43" i="8"/>
  <c r="G43" i="8"/>
  <c r="C44" i="8"/>
  <c r="D44" i="8"/>
  <c r="E44" i="8"/>
  <c r="F44" i="8"/>
  <c r="G44" i="8"/>
  <c r="C45" i="8"/>
  <c r="D45" i="8"/>
  <c r="E45" i="8"/>
  <c r="F45" i="8"/>
  <c r="G45" i="8"/>
  <c r="C46" i="8"/>
  <c r="D46" i="8"/>
  <c r="E46" i="8"/>
  <c r="F46" i="8"/>
  <c r="G46" i="8"/>
  <c r="C47" i="8"/>
  <c r="D47" i="8"/>
  <c r="E47" i="8"/>
  <c r="F47" i="8"/>
  <c r="G47" i="8"/>
  <c r="B47" i="8"/>
  <c r="B46" i="8"/>
  <c r="B45" i="8"/>
  <c r="B44" i="8"/>
  <c r="B43" i="8"/>
  <c r="B42" i="8"/>
  <c r="B41" i="8"/>
  <c r="B40" i="8"/>
  <c r="B39" i="8"/>
  <c r="M29" i="7"/>
  <c r="K29" i="7"/>
  <c r="M16" i="7"/>
  <c r="J16" i="7"/>
  <c r="I16" i="7"/>
  <c r="H16" i="7"/>
  <c r="G16" i="7"/>
  <c r="F16" i="7"/>
  <c r="E16" i="7"/>
  <c r="D16" i="7"/>
  <c r="O15" i="2"/>
  <c r="P15" i="2"/>
  <c r="N15" i="2"/>
</calcChain>
</file>

<file path=xl/sharedStrings.xml><?xml version="1.0" encoding="utf-8"?>
<sst xmlns="http://schemas.openxmlformats.org/spreadsheetml/2006/main" count="1814" uniqueCount="191">
  <si>
    <t>Total</t>
  </si>
  <si>
    <t>Code</t>
  </si>
  <si>
    <t>FOR</t>
  </si>
  <si>
    <t>MNG</t>
  </si>
  <si>
    <t>OPM</t>
  </si>
  <si>
    <t>RBM</t>
  </si>
  <si>
    <t>SHB</t>
  </si>
  <si>
    <t>RPD</t>
  </si>
  <si>
    <t>BUA</t>
  </si>
  <si>
    <t>BSG</t>
  </si>
  <si>
    <t>WTR</t>
  </si>
  <si>
    <t>SetA 1995</t>
  </si>
  <si>
    <t>SetA 2015</t>
  </si>
  <si>
    <t>SetB 2015</t>
  </si>
  <si>
    <t>Set A 1995</t>
  </si>
  <si>
    <t>Set A 2015</t>
  </si>
  <si>
    <t>Set B 2015</t>
  </si>
  <si>
    <t>Accuracy Assessment and Unbiased Area Estimation for Landsat+SAR Data</t>
  </si>
  <si>
    <t>Total Pixels</t>
  </si>
  <si>
    <t>Wi</t>
  </si>
  <si>
    <t>Error Matrix, Sample Counts</t>
  </si>
  <si>
    <t>Error Matrix, Estimates of Area Proportions</t>
  </si>
  <si>
    <t>Unbiased Accuracy Measures</t>
  </si>
  <si>
    <t>PA</t>
  </si>
  <si>
    <t>UA</t>
  </si>
  <si>
    <t>OA</t>
  </si>
  <si>
    <t>Samples Required per Class: Landsat+SAR</t>
  </si>
  <si>
    <t>Error Matrices from Classification Results based on Landsat-only, SAR-only, and Landsat+SAR</t>
  </si>
  <si>
    <t>User's and Producer's Accuracies from Classification Results based on Landsat-only, SAR-only, and Landsat+SAR</t>
  </si>
  <si>
    <t>Land cover type</t>
  </si>
  <si>
    <t>Set A</t>
  </si>
  <si>
    <t>Set B</t>
  </si>
  <si>
    <t>Landsat + SAR</t>
  </si>
  <si>
    <t>Forest</t>
  </si>
  <si>
    <t>Mangrove</t>
  </si>
  <si>
    <t>Oil Palm Mature</t>
  </si>
  <si>
    <t>Rubber Mature</t>
  </si>
  <si>
    <t>Shrub/Orchard</t>
  </si>
  <si>
    <t>Rice Paddy</t>
  </si>
  <si>
    <t>Built-Up Area</t>
  </si>
  <si>
    <t>Bare Soil/Ground</t>
  </si>
  <si>
    <t>Water Body</t>
  </si>
  <si>
    <t>Landsat-only</t>
  </si>
  <si>
    <t>SAR-only</t>
  </si>
  <si>
    <t>Difference (Landsat + SAR - Landsat-only)</t>
  </si>
  <si>
    <t>Landsat+SAR better than Landsat-only</t>
  </si>
  <si>
    <t>Landsat-only better than Landsat+SAR</t>
  </si>
  <si>
    <t># of cells</t>
  </si>
  <si>
    <t>%</t>
  </si>
  <si>
    <t>Original Accuracy Measures</t>
  </si>
  <si>
    <t>Original user's and producer's accuracies</t>
  </si>
  <si>
    <t>Unbiased user's and producer's accuracies</t>
  </si>
  <si>
    <t>Overall Accuracies from Classification Results based on Landsat-only, SAR-only, and Landsat+SAR</t>
  </si>
  <si>
    <t>Image group</t>
  </si>
  <si>
    <t>Overall accuracies</t>
  </si>
  <si>
    <t>McNemar's tests</t>
  </si>
  <si>
    <t>(a) Landsat-only vs Landsat + SAR within each year</t>
  </si>
  <si>
    <t>(b) Landsat + SAR, Set A vs. Set B</t>
  </si>
  <si>
    <t>Original accuracy assessments</t>
  </si>
  <si>
    <t>L</t>
  </si>
  <si>
    <t>J</t>
  </si>
  <si>
    <t>L+J</t>
  </si>
  <si>
    <t>P</t>
  </si>
  <si>
    <t>L+P</t>
  </si>
  <si>
    <t>Difference between Landsat+SAR and Landsat-only</t>
  </si>
  <si>
    <t>* negative values (in red) indicate F-score of Landsat+SAR is lower than Landsat-only</t>
  </si>
  <si>
    <t>F-scores from Classification Results based on Landsat-only, SAR-only, and Landsat+SAR</t>
  </si>
  <si>
    <t>Unbiased F-score estimates</t>
  </si>
  <si>
    <t>Original F-scores (calculated from UA PA)</t>
  </si>
  <si>
    <t>Land Cover Change Matrix</t>
  </si>
  <si>
    <t>Class</t>
  </si>
  <si>
    <t>Net Change</t>
  </si>
  <si>
    <t>Gross Change from</t>
  </si>
  <si>
    <t>Gross  Change to</t>
  </si>
  <si>
    <t>km2</t>
  </si>
  <si>
    <t>ha</t>
  </si>
  <si>
    <t>Percentage (%)</t>
  </si>
  <si>
    <t>area</t>
  </si>
  <si>
    <t>% of landscape unchanged</t>
  </si>
  <si>
    <t>% of landscape changed</t>
  </si>
  <si>
    <t>Forest: gross vs net loss:</t>
  </si>
  <si>
    <r>
      <t>Land area (km</t>
    </r>
    <r>
      <rPr>
        <i/>
        <vertAlign val="superscript"/>
        <sz val="11"/>
        <color rgb="FF000000"/>
        <rFont val="Calibri"/>
        <family val="2"/>
        <scheme val="minor"/>
      </rPr>
      <t>2</t>
    </r>
    <r>
      <rPr>
        <i/>
        <sz val="11"/>
        <color rgb="FF000000"/>
        <rFont val="Calibri"/>
        <family val="2"/>
        <scheme val="minor"/>
      </rPr>
      <t>)</t>
    </r>
  </si>
  <si>
    <t>Accuracy Assessment and Unbiased Area Estimation for Landsat Data</t>
  </si>
  <si>
    <t>Accuracy Assessment and Unbiased Area Estimation for SAR Data</t>
  </si>
  <si>
    <t>Landsat+SAR</t>
  </si>
  <si>
    <t>Total Number of Pixels (raw classification rasters WITH RELABELED CLASSES)</t>
  </si>
  <si>
    <t>* values (in red) indicate F-score lower than 85%</t>
  </si>
  <si>
    <t>* values in bold indicate highest F-score for Set A and Set B separately</t>
  </si>
  <si>
    <t>Table S2. Error matrices of the classification results based on Landsat-only data comparing the classified map (columns) to the reference data (rows).</t>
  </si>
  <si>
    <t>Table S3. Error matrices of the classification results based on SAR-only data comparing the classified map (columns) to the reference data (rows).</t>
  </si>
  <si>
    <t>Table S4. Error matrices of the classification results based on Landsat+SAR data comparing the classified map (columns) to the reference data (rows).</t>
  </si>
  <si>
    <r>
      <t xml:space="preserve">Table 8. </t>
    </r>
    <r>
      <rPr>
        <b/>
        <sz val="11"/>
        <color rgb="FF000000"/>
        <rFont val="Calibri"/>
        <family val="2"/>
        <scheme val="minor"/>
      </rPr>
      <t>Land cover change matrix from 1995 (rows) to 2015 (columns) based on Landsat + SAR data showing land area (km</t>
    </r>
    <r>
      <rPr>
        <b/>
        <vertAlign val="super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) and percentage of total area (%) of land cover classes in Tanintharyi Region, Myanmar.</t>
    </r>
  </si>
  <si>
    <t>Total Number of Random Testing Pixels Selected per Class (original manuscript)</t>
  </si>
  <si>
    <t>Set A 2015; Set B 2015</t>
  </si>
  <si>
    <t>Total Number of Pixels per Class (both Training and Testing in original manuscript)</t>
  </si>
  <si>
    <t>Percentage of Pixels per Class (both Training and Testing in original manuscript)</t>
  </si>
  <si>
    <t>z</t>
  </si>
  <si>
    <t>O</t>
  </si>
  <si>
    <t>d</t>
  </si>
  <si>
    <t>n</t>
  </si>
  <si>
    <t>Simple Random Sampling</t>
  </si>
  <si>
    <t>overall accuracy expressed as proportion</t>
  </si>
  <si>
    <t>desired half-width of the confidence interval (or margin of error)</t>
  </si>
  <si>
    <t>number of samples required</t>
  </si>
  <si>
    <t>(from Olofsson et al. 2014, Eq. 12)</t>
  </si>
  <si>
    <t>Note:</t>
  </si>
  <si>
    <t>z = 1.96 for 95% confidence interval</t>
  </si>
  <si>
    <t>z = 1.645 for 90% confidence interval</t>
  </si>
  <si>
    <t>Margin of error</t>
  </si>
  <si>
    <t>28.90 (0.00000008)</t>
  </si>
  <si>
    <t>34.78 (0.000000004)</t>
  </si>
  <si>
    <t>2.00
(0.1573)</t>
  </si>
  <si>
    <t>3.00 (0.08326)</t>
  </si>
  <si>
    <t>Land area of land cover classes calculated from QGIS (using Landsat + SAR data)</t>
  </si>
  <si>
    <t>Pixels</t>
  </si>
  <si>
    <t>Area (km2)</t>
  </si>
  <si>
    <t>Note: No data excluded from calculations in table above</t>
  </si>
  <si>
    <t>ChangeCode</t>
  </si>
  <si>
    <t>ReferenceClass</t>
  </si>
  <si>
    <t>NewClass</t>
  </si>
  <si>
    <t>PixelSum</t>
  </si>
  <si>
    <t>Land area change from 1995 to 2015 calculated from QGIS (using Landsat + SAR data)</t>
  </si>
  <si>
    <t>Number of pixels</t>
  </si>
  <si>
    <t>Total Number of Pixels (raw classification rasters calculated from QGIS)</t>
  </si>
  <si>
    <t>Total Number of Pixels of Misclassified Land Cover Classes (calculated from QGIS)</t>
  </si>
  <si>
    <t>Variances</t>
  </si>
  <si>
    <t>Confidence Intervals</t>
  </si>
  <si>
    <t>Interval</t>
  </si>
  <si>
    <t>Upper Limit</t>
  </si>
  <si>
    <t>Lower Limit</t>
  </si>
  <si>
    <t>Numerical Example</t>
  </si>
  <si>
    <t>from Card 1982. Photogramm Eng Remote Sens</t>
  </si>
  <si>
    <t>Contingency Table</t>
  </si>
  <si>
    <t>MAP</t>
  </si>
  <si>
    <t>A</t>
  </si>
  <si>
    <t>B</t>
  </si>
  <si>
    <t>D</t>
  </si>
  <si>
    <t>E</t>
  </si>
  <si>
    <t>C</t>
  </si>
  <si>
    <t>Marg. Prop.</t>
  </si>
  <si>
    <t>Cell Probabilities</t>
  </si>
  <si>
    <t>CLASS</t>
  </si>
  <si>
    <t>From Contingency</t>
  </si>
  <si>
    <t>Overall probability correct, OA</t>
  </si>
  <si>
    <t>Variance of OA</t>
  </si>
  <si>
    <t>Checks with Congalton &amp; Green 2009</t>
  </si>
  <si>
    <t>Unbiased accuracy assessments</t>
  </si>
  <si>
    <t>percentile from standard normal distribution</t>
  </si>
  <si>
    <t>Training</t>
  </si>
  <si>
    <t>Testing</t>
  </si>
  <si>
    <t>Final Sample Counts as Calculated from Google Earth Engine</t>
  </si>
  <si>
    <t>Variable Importance from Classification Results based on Landsat-only, SAR-only, and Landsat+SAR</t>
  </si>
  <si>
    <t>Based on mean decrease in accuracy</t>
  </si>
  <si>
    <t>B1</t>
  </si>
  <si>
    <t>B2</t>
  </si>
  <si>
    <t>B3</t>
  </si>
  <si>
    <t>B4</t>
  </si>
  <si>
    <t>B5</t>
  </si>
  <si>
    <t>B6</t>
  </si>
  <si>
    <t>B7</t>
  </si>
  <si>
    <t>EVI</t>
  </si>
  <si>
    <t>LSWI</t>
  </si>
  <si>
    <t>NDTI</t>
  </si>
  <si>
    <t>NDVI</t>
  </si>
  <si>
    <t>SATVI</t>
  </si>
  <si>
    <t>HH</t>
  </si>
  <si>
    <t>HH_ASM</t>
  </si>
  <si>
    <t>HH_CON</t>
  </si>
  <si>
    <t>HH_COR</t>
  </si>
  <si>
    <t>HH_DIS</t>
  </si>
  <si>
    <t>HH_ENT</t>
  </si>
  <si>
    <t>HH_IDM</t>
  </si>
  <si>
    <t>HH_SAVG</t>
  </si>
  <si>
    <t>HH_VAR</t>
  </si>
  <si>
    <t>B10</t>
  </si>
  <si>
    <t>AVE</t>
  </si>
  <si>
    <t>DIF</t>
  </si>
  <si>
    <t>HV</t>
  </si>
  <si>
    <t>HV_ASM</t>
  </si>
  <si>
    <t>HV_CON</t>
  </si>
  <si>
    <t>HV_COR</t>
  </si>
  <si>
    <t>HV_DIS</t>
  </si>
  <si>
    <t>HV_ENT</t>
  </si>
  <si>
    <t>HV_IDM</t>
  </si>
  <si>
    <t>HV_SAVG</t>
  </si>
  <si>
    <t>HV_VAR</t>
  </si>
  <si>
    <t>NDI</t>
  </si>
  <si>
    <t>NLI</t>
  </si>
  <si>
    <t>RT1</t>
  </si>
  <si>
    <t>RT2</t>
  </si>
  <si>
    <t>* values (in red) indicate F-score lower than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</si>
</sst>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%"/>
    <numFmt numFmtId="165" formatCode="0.0000000"/>
    <numFmt numFmtId="166" formatCode="0.0000"/>
    <numFmt numFmtId="167" formatCode="0.00000"/>
    <numFmt numFmtId="168" formatCode="_-* #,##0.00_-;\-* #,##0.00_-;_-* &quot;-&quot;??_-;_-@_-"/>
    <numFmt numFmtId="169" formatCode="0.0000_ ;[Red]\-0.0000\ "/>
    <numFmt numFmtId="170" formatCode="_-* #,##0_-;\-* #,##0_-;_-* &quot;-&quot;??_-;_-@_-"/>
    <numFmt numFmtId="171" formatCode="0.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i/>
      <sz val="11"/>
      <color rgb="FF00000A"/>
      <name val="Calibri"/>
      <family val="2"/>
      <scheme val="minor"/>
    </font>
    <font>
      <b/>
      <sz val="11"/>
      <color rgb="FF00000A"/>
      <name val="Calibri"/>
      <family val="2"/>
      <scheme val="minor"/>
    </font>
    <font>
      <b/>
      <i/>
      <sz val="11"/>
      <color rgb="FF00000A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81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220">
    <xf numFmtId="0" fontId="0" fillId="0" borderId="0" xfId="0"/>
    <xf numFmtId="0" fontId="0" fillId="0" borderId="0" xfId="0" applyFont="1"/>
    <xf numFmtId="0" fontId="3" fillId="0" borderId="0" xfId="0" applyFont="1"/>
    <xf numFmtId="0" fontId="6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Border="1"/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right" vertical="center" wrapText="1"/>
    </xf>
    <xf numFmtId="0" fontId="0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0" fillId="0" borderId="0" xfId="0" applyFont="1" applyBorder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vertical="center" wrapText="1"/>
    </xf>
    <xf numFmtId="165" fontId="0" fillId="0" borderId="0" xfId="0" applyNumberFormat="1" applyFont="1"/>
    <xf numFmtId="0" fontId="7" fillId="0" borderId="0" xfId="0" applyFont="1"/>
    <xf numFmtId="167" fontId="8" fillId="0" borderId="0" xfId="0" applyNumberFormat="1" applyFont="1" applyFill="1" applyBorder="1" applyAlignment="1">
      <alignment horizontal="right" vertical="center" wrapText="1"/>
    </xf>
    <xf numFmtId="167" fontId="0" fillId="0" borderId="0" xfId="0" applyNumberFormat="1" applyFont="1" applyBorder="1"/>
    <xf numFmtId="166" fontId="8" fillId="0" borderId="0" xfId="0" applyNumberFormat="1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center" wrapText="1"/>
    </xf>
    <xf numFmtId="0" fontId="0" fillId="0" borderId="2" xfId="0" applyFont="1" applyBorder="1"/>
    <xf numFmtId="0" fontId="0" fillId="0" borderId="2" xfId="0" applyFont="1" applyFill="1" applyBorder="1"/>
    <xf numFmtId="165" fontId="0" fillId="0" borderId="2" xfId="0" applyNumberFormat="1" applyFont="1" applyFill="1" applyBorder="1"/>
    <xf numFmtId="167" fontId="0" fillId="0" borderId="2" xfId="0" applyNumberFormat="1" applyFont="1" applyBorder="1"/>
    <xf numFmtId="0" fontId="0" fillId="0" borderId="1" xfId="0" applyFont="1" applyBorder="1"/>
    <xf numFmtId="0" fontId="0" fillId="0" borderId="0" xfId="0" applyFont="1" applyFill="1" applyBorder="1" applyAlignment="1">
      <alignment horizontal="right"/>
    </xf>
    <xf numFmtId="166" fontId="0" fillId="0" borderId="0" xfId="0" applyNumberFormat="1" applyFont="1"/>
    <xf numFmtId="0" fontId="0" fillId="0" borderId="0" xfId="0" applyFont="1" applyAlignment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66" fontId="0" fillId="0" borderId="1" xfId="0" applyNumberFormat="1" applyFont="1" applyBorder="1"/>
    <xf numFmtId="0" fontId="12" fillId="0" borderId="0" xfId="0" applyFont="1"/>
    <xf numFmtId="0" fontId="15" fillId="0" borderId="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66" fontId="8" fillId="0" borderId="0" xfId="0" applyNumberFormat="1" applyFont="1" applyBorder="1" applyAlignment="1">
      <alignment horizontal="right" vertical="center" wrapText="1"/>
    </xf>
    <xf numFmtId="166" fontId="15" fillId="0" borderId="0" xfId="0" applyNumberFormat="1" applyFont="1" applyBorder="1" applyAlignment="1">
      <alignment horizontal="right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166" fontId="8" fillId="0" borderId="1" xfId="0" applyNumberFormat="1" applyFont="1" applyFill="1" applyBorder="1" applyAlignment="1">
      <alignment horizontal="right" vertical="center" wrapText="1"/>
    </xf>
    <xf numFmtId="0" fontId="0" fillId="2" borderId="0" xfId="0" applyFont="1" applyFill="1"/>
    <xf numFmtId="0" fontId="0" fillId="3" borderId="0" xfId="0" applyFont="1" applyFill="1"/>
    <xf numFmtId="0" fontId="0" fillId="2" borderId="0" xfId="0" applyFill="1"/>
    <xf numFmtId="0" fontId="0" fillId="3" borderId="0" xfId="0" applyFill="1"/>
    <xf numFmtId="166" fontId="15" fillId="2" borderId="0" xfId="0" applyNumberFormat="1" applyFont="1" applyFill="1" applyBorder="1" applyAlignment="1">
      <alignment horizontal="right" vertical="center" wrapText="1"/>
    </xf>
    <xf numFmtId="166" fontId="8" fillId="2" borderId="0" xfId="0" applyNumberFormat="1" applyFont="1" applyFill="1" applyBorder="1" applyAlignment="1">
      <alignment horizontal="right" vertical="center" wrapText="1"/>
    </xf>
    <xf numFmtId="166" fontId="15" fillId="3" borderId="0" xfId="0" applyNumberFormat="1" applyFont="1" applyFill="1" applyBorder="1" applyAlignment="1">
      <alignment horizontal="right" vertical="center" wrapText="1"/>
    </xf>
    <xf numFmtId="166" fontId="8" fillId="3" borderId="0" xfId="0" applyNumberFormat="1" applyFont="1" applyFill="1" applyBorder="1" applyAlignment="1">
      <alignment horizontal="right" vertical="center" wrapText="1"/>
    </xf>
    <xf numFmtId="0" fontId="0" fillId="0" borderId="0" xfId="0" applyFill="1"/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166" fontId="15" fillId="0" borderId="0" xfId="0" applyNumberFormat="1" applyFont="1" applyFill="1" applyAlignment="1">
      <alignment horizontal="center" vertical="center" wrapText="1"/>
    </xf>
    <xf numFmtId="166" fontId="15" fillId="0" borderId="0" xfId="0" applyNumberFormat="1" applyFont="1" applyFill="1" applyBorder="1" applyAlignment="1">
      <alignment horizontal="center" vertical="center" wrapText="1"/>
    </xf>
    <xf numFmtId="0" fontId="1" fillId="0" borderId="0" xfId="32" applyFont="1"/>
    <xf numFmtId="0" fontId="6" fillId="0" borderId="0" xfId="32" applyFont="1"/>
    <xf numFmtId="0" fontId="8" fillId="0" borderId="0" xfId="32" applyFont="1"/>
    <xf numFmtId="0" fontId="2" fillId="0" borderId="0" xfId="32" applyFont="1"/>
    <xf numFmtId="0" fontId="9" fillId="0" borderId="0" xfId="32" applyFont="1"/>
    <xf numFmtId="169" fontId="2" fillId="0" borderId="0" xfId="33" applyNumberFormat="1" applyFont="1" applyFill="1"/>
    <xf numFmtId="0" fontId="17" fillId="0" borderId="0" xfId="32" applyFont="1"/>
    <xf numFmtId="0" fontId="2" fillId="0" borderId="1" xfId="32" applyFont="1" applyBorder="1"/>
    <xf numFmtId="0" fontId="10" fillId="0" borderId="3" xfId="32" applyFont="1" applyBorder="1"/>
    <xf numFmtId="0" fontId="10" fillId="0" borderId="0" xfId="32" applyFont="1" applyBorder="1"/>
    <xf numFmtId="0" fontId="3" fillId="0" borderId="1" xfId="32" applyFont="1" applyBorder="1"/>
    <xf numFmtId="0" fontId="10" fillId="0" borderId="1" xfId="32" applyFont="1" applyBorder="1" applyAlignment="1">
      <alignment horizontal="center"/>
    </xf>
    <xf numFmtId="0" fontId="8" fillId="0" borderId="1" xfId="32" applyFont="1" applyBorder="1"/>
    <xf numFmtId="0" fontId="9" fillId="0" borderId="2" xfId="32" applyFont="1" applyBorder="1"/>
    <xf numFmtId="0" fontId="3" fillId="0" borderId="2" xfId="32" applyFont="1" applyBorder="1" applyAlignment="1">
      <alignment horizontal="center"/>
    </xf>
    <xf numFmtId="169" fontId="2" fillId="0" borderId="1" xfId="33" applyNumberFormat="1" applyFont="1" applyFill="1" applyBorder="1"/>
    <xf numFmtId="0" fontId="16" fillId="0" borderId="0" xfId="32" applyFont="1"/>
    <xf numFmtId="0" fontId="15" fillId="0" borderId="0" xfId="32" applyFont="1"/>
    <xf numFmtId="0" fontId="2" fillId="0" borderId="0" xfId="32" applyFont="1" applyAlignment="1">
      <alignment horizontal="center"/>
    </xf>
    <xf numFmtId="170" fontId="15" fillId="0" borderId="0" xfId="33" applyNumberFormat="1" applyFont="1"/>
    <xf numFmtId="3" fontId="2" fillId="0" borderId="0" xfId="32" applyNumberFormat="1" applyFont="1"/>
    <xf numFmtId="170" fontId="2" fillId="0" borderId="0" xfId="32" applyNumberFormat="1" applyFont="1"/>
    <xf numFmtId="2" fontId="2" fillId="0" borderId="0" xfId="32" applyNumberFormat="1" applyFont="1"/>
    <xf numFmtId="2" fontId="15" fillId="0" borderId="0" xfId="32" applyNumberFormat="1" applyFont="1"/>
    <xf numFmtId="0" fontId="14" fillId="0" borderId="1" xfId="32" applyFont="1" applyBorder="1"/>
    <xf numFmtId="0" fontId="2" fillId="0" borderId="3" xfId="32" applyFont="1" applyBorder="1"/>
    <xf numFmtId="0" fontId="15" fillId="0" borderId="3" xfId="32" applyFont="1" applyBorder="1"/>
    <xf numFmtId="0" fontId="15" fillId="0" borderId="2" xfId="32" applyFont="1" applyBorder="1"/>
    <xf numFmtId="0" fontId="15" fillId="0" borderId="1" xfId="32" applyFont="1" applyBorder="1"/>
    <xf numFmtId="170" fontId="15" fillId="0" borderId="3" xfId="33" applyNumberFormat="1" applyFont="1" applyBorder="1"/>
    <xf numFmtId="0" fontId="14" fillId="0" borderId="2" xfId="32" applyFont="1" applyBorder="1"/>
    <xf numFmtId="0" fontId="2" fillId="0" borderId="2" xfId="32" applyFont="1" applyBorder="1"/>
    <xf numFmtId="2" fontId="15" fillId="0" borderId="2" xfId="32" applyNumberFormat="1" applyFont="1" applyBorder="1"/>
    <xf numFmtId="2" fontId="2" fillId="0" borderId="2" xfId="32" applyNumberFormat="1" applyFont="1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Font="1" applyFill="1"/>
    <xf numFmtId="0" fontId="0" fillId="5" borderId="1" xfId="0" applyFill="1" applyBorder="1" applyAlignment="1">
      <alignment horizontal="center"/>
    </xf>
    <xf numFmtId="0" fontId="0" fillId="0" borderId="2" xfId="0" applyBorder="1"/>
    <xf numFmtId="0" fontId="0" fillId="5" borderId="2" xfId="0" applyFill="1" applyBorder="1" applyAlignment="1">
      <alignment horizontal="center"/>
    </xf>
    <xf numFmtId="0" fontId="15" fillId="0" borderId="0" xfId="0" applyFont="1"/>
    <xf numFmtId="0" fontId="0" fillId="6" borderId="0" xfId="0" applyFont="1" applyFill="1" applyBorder="1"/>
    <xf numFmtId="0" fontId="0" fillId="6" borderId="1" xfId="0" applyFont="1" applyFill="1" applyBorder="1"/>
    <xf numFmtId="0" fontId="0" fillId="0" borderId="0" xfId="0" applyFont="1" applyFill="1" applyBorder="1"/>
    <xf numFmtId="166" fontId="0" fillId="0" borderId="0" xfId="0" applyNumberFormat="1"/>
    <xf numFmtId="166" fontId="0" fillId="0" borderId="1" xfId="0" applyNumberFormat="1" applyBorder="1"/>
    <xf numFmtId="166" fontId="15" fillId="0" borderId="0" xfId="0" applyNumberFormat="1" applyFont="1" applyFill="1" applyBorder="1" applyAlignment="1">
      <alignment horizontal="right" vertical="center" wrapText="1"/>
    </xf>
    <xf numFmtId="166" fontId="15" fillId="0" borderId="1" xfId="0" applyNumberFormat="1" applyFont="1" applyFill="1" applyBorder="1" applyAlignment="1">
      <alignment horizontal="right" vertical="center" wrapText="1"/>
    </xf>
    <xf numFmtId="0" fontId="8" fillId="0" borderId="0" xfId="32" applyFont="1" applyBorder="1"/>
    <xf numFmtId="166" fontId="10" fillId="0" borderId="0" xfId="32" applyNumberFormat="1" applyFont="1" applyBorder="1"/>
    <xf numFmtId="166" fontId="8" fillId="0" borderId="0" xfId="32" applyNumberFormat="1" applyFont="1" applyBorder="1"/>
    <xf numFmtId="166" fontId="17" fillId="0" borderId="0" xfId="32" applyNumberFormat="1" applyFont="1"/>
    <xf numFmtId="166" fontId="19" fillId="0" borderId="0" xfId="32" applyNumberFormat="1" applyFont="1"/>
    <xf numFmtId="0" fontId="10" fillId="0" borderId="0" xfId="0" applyFont="1"/>
    <xf numFmtId="0" fontId="17" fillId="0" borderId="0" xfId="0" applyFont="1" applyBorder="1"/>
    <xf numFmtId="0" fontId="17" fillId="0" borderId="0" xfId="0" applyFont="1" applyFill="1" applyBorder="1"/>
    <xf numFmtId="0" fontId="17" fillId="0" borderId="1" xfId="0" applyFont="1" applyBorder="1"/>
    <xf numFmtId="0" fontId="21" fillId="0" borderId="0" xfId="0" applyFont="1" applyBorder="1"/>
    <xf numFmtId="0" fontId="21" fillId="0" borderId="0" xfId="0" applyFont="1" applyFill="1" applyBorder="1"/>
    <xf numFmtId="0" fontId="21" fillId="0" borderId="1" xfId="0" applyFont="1" applyBorder="1"/>
    <xf numFmtId="0" fontId="17" fillId="0" borderId="0" xfId="0" applyFont="1"/>
    <xf numFmtId="0" fontId="21" fillId="0" borderId="0" xfId="0" applyFont="1"/>
    <xf numFmtId="2" fontId="21" fillId="0" borderId="0" xfId="0" applyNumberFormat="1" applyFont="1" applyBorder="1"/>
    <xf numFmtId="2" fontId="21" fillId="0" borderId="1" xfId="0" applyNumberFormat="1" applyFont="1" applyBorder="1"/>
    <xf numFmtId="0" fontId="15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1" applyNumberFormat="1" applyFont="1" applyFill="1" applyBorder="1"/>
    <xf numFmtId="1" fontId="0" fillId="0" borderId="0" xfId="0" applyNumberForma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9" fontId="0" fillId="0" borderId="0" xfId="0" applyNumberFormat="1" applyFill="1" applyBorder="1"/>
    <xf numFmtId="10" fontId="0" fillId="0" borderId="0" xfId="0" applyNumberFormat="1" applyFill="1" applyBorder="1"/>
    <xf numFmtId="0" fontId="0" fillId="0" borderId="0" xfId="0" applyAlignment="1">
      <alignment horizontal="center"/>
    </xf>
    <xf numFmtId="1" fontId="0" fillId="7" borderId="0" xfId="0" applyNumberFormat="1" applyFill="1"/>
    <xf numFmtId="0" fontId="0" fillId="0" borderId="3" xfId="0" applyFont="1" applyBorder="1"/>
    <xf numFmtId="166" fontId="21" fillId="0" borderId="0" xfId="32" applyNumberFormat="1" applyFont="1"/>
    <xf numFmtId="166" fontId="22" fillId="0" borderId="0" xfId="32" applyNumberFormat="1" applyFont="1"/>
    <xf numFmtId="166" fontId="22" fillId="0" borderId="1" xfId="32" applyNumberFormat="1" applyFont="1" applyBorder="1"/>
    <xf numFmtId="166" fontId="21" fillId="0" borderId="1" xfId="32" applyNumberFormat="1" applyFont="1" applyBorder="1"/>
    <xf numFmtId="166" fontId="17" fillId="0" borderId="1" xfId="32" applyNumberFormat="1" applyFont="1" applyBorder="1"/>
    <xf numFmtId="0" fontId="0" fillId="0" borderId="0" xfId="32" applyFont="1"/>
    <xf numFmtId="0" fontId="3" fillId="0" borderId="1" xfId="32" applyFont="1" applyBorder="1" applyAlignment="1">
      <alignment horizontal="center"/>
    </xf>
    <xf numFmtId="0" fontId="0" fillId="0" borderId="0" xfId="32" applyFont="1" applyAlignment="1">
      <alignment horizontal="right"/>
    </xf>
    <xf numFmtId="0" fontId="3" fillId="0" borderId="0" xfId="32" applyFont="1"/>
    <xf numFmtId="4" fontId="2" fillId="0" borderId="0" xfId="32" applyNumberFormat="1" applyFont="1"/>
    <xf numFmtId="2" fontId="2" fillId="0" borderId="1" xfId="32" applyNumberFormat="1" applyFont="1" applyBorder="1"/>
    <xf numFmtId="4" fontId="2" fillId="0" borderId="1" xfId="32" applyNumberFormat="1" applyFont="1" applyBorder="1"/>
    <xf numFmtId="0" fontId="3" fillId="0" borderId="1" xfId="0" applyFont="1" applyBorder="1"/>
    <xf numFmtId="0" fontId="3" fillId="0" borderId="2" xfId="0" applyFont="1" applyBorder="1"/>
    <xf numFmtId="0" fontId="2" fillId="4" borderId="0" xfId="32" applyFont="1" applyFill="1"/>
    <xf numFmtId="0" fontId="15" fillId="0" borderId="0" xfId="180" applyNumberFormat="1" applyFont="1"/>
    <xf numFmtId="0" fontId="15" fillId="0" borderId="0" xfId="33" applyNumberFormat="1" applyFont="1"/>
    <xf numFmtId="0" fontId="15" fillId="0" borderId="3" xfId="33" applyNumberFormat="1" applyFont="1" applyBorder="1"/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171" fontId="0" fillId="0" borderId="0" xfId="0" applyNumberFormat="1"/>
    <xf numFmtId="171" fontId="0" fillId="0" borderId="1" xfId="0" applyNumberFormat="1" applyBorder="1"/>
    <xf numFmtId="171" fontId="0" fillId="0" borderId="0" xfId="0" applyNumberFormat="1" applyFill="1" applyBorder="1"/>
    <xf numFmtId="165" fontId="0" fillId="0" borderId="0" xfId="0" applyNumberFormat="1"/>
    <xf numFmtId="0" fontId="0" fillId="0" borderId="0" xfId="0" applyFill="1" applyBorder="1" applyAlignment="1">
      <alignment horizontal="left"/>
    </xf>
    <xf numFmtId="167" fontId="0" fillId="0" borderId="0" xfId="0" applyNumberFormat="1" applyFont="1"/>
    <xf numFmtId="0" fontId="0" fillId="0" borderId="0" xfId="0" applyNumberFormat="1" applyFont="1"/>
    <xf numFmtId="0" fontId="16" fillId="6" borderId="0" xfId="0" applyFont="1" applyFill="1"/>
    <xf numFmtId="0" fontId="0" fillId="6" borderId="0" xfId="0" applyFill="1"/>
    <xf numFmtId="0" fontId="0" fillId="6" borderId="0" xfId="0" applyFont="1" applyFill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3" xfId="32" applyFont="1" applyBorder="1" applyAlignment="1">
      <alignment horizontal="center"/>
    </xf>
    <xf numFmtId="0" fontId="10" fillId="0" borderId="2" xfId="32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3" fillId="0" borderId="3" xfId="32" applyFont="1" applyBorder="1" applyAlignment="1">
      <alignment horizontal="center"/>
    </xf>
    <xf numFmtId="0" fontId="13" fillId="0" borderId="1" xfId="32" applyFont="1" applyBorder="1" applyAlignment="1">
      <alignment horizontal="center"/>
    </xf>
    <xf numFmtId="0" fontId="2" fillId="0" borderId="0" xfId="32" applyFont="1" applyAlignment="1">
      <alignment horizontal="center"/>
    </xf>
    <xf numFmtId="0" fontId="3" fillId="0" borderId="2" xfId="32" applyFont="1" applyBorder="1" applyAlignment="1">
      <alignment horizontal="center"/>
    </xf>
    <xf numFmtId="0" fontId="23" fillId="0" borderId="0" xfId="0" applyFont="1" applyBorder="1"/>
    <xf numFmtId="0" fontId="2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ont="1" applyBorder="1" applyAlignment="1"/>
    <xf numFmtId="166" fontId="13" fillId="2" borderId="0" xfId="0" applyNumberFormat="1" applyFont="1" applyFill="1" applyBorder="1" applyAlignment="1">
      <alignment horizontal="right" vertical="center" wrapText="1"/>
    </xf>
    <xf numFmtId="166" fontId="10" fillId="0" borderId="0" xfId="0" applyNumberFormat="1" applyFont="1" applyBorder="1" applyAlignment="1">
      <alignment horizontal="right" vertical="center" wrapText="1"/>
    </xf>
    <xf numFmtId="0" fontId="2" fillId="0" borderId="0" xfId="0" applyFont="1"/>
    <xf numFmtId="2" fontId="0" fillId="0" borderId="0" xfId="0" applyNumberFormat="1" applyFont="1"/>
    <xf numFmtId="2" fontId="3" fillId="0" borderId="0" xfId="0" applyNumberFormat="1" applyFont="1"/>
    <xf numFmtId="0" fontId="16" fillId="6" borderId="0" xfId="32" applyFont="1" applyFill="1"/>
    <xf numFmtId="0" fontId="1" fillId="6" borderId="0" xfId="32" applyFont="1" applyFill="1"/>
  </cellXfs>
  <cellStyles count="181">
    <cellStyle name="Comma" xfId="180" builtinId="3"/>
    <cellStyle name="Comma 2" xfId="33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Normal" xfId="0" builtinId="0"/>
    <cellStyle name="Normal 2" xfId="32" xr:uid="{00000000-0005-0000-0000-0000B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V67"/>
  <sheetViews>
    <sheetView zoomScale="90" zoomScaleNormal="90" workbookViewId="0"/>
  </sheetViews>
  <sheetFormatPr baseColWidth="10" defaultColWidth="9.1640625" defaultRowHeight="15" x14ac:dyDescent="0.2"/>
  <cols>
    <col min="14" max="22" width="9.83203125" customWidth="1"/>
  </cols>
  <sheetData>
    <row r="1" spans="1:22" ht="19" x14ac:dyDescent="0.25">
      <c r="A1" s="3" t="s">
        <v>26</v>
      </c>
    </row>
    <row r="3" spans="1:22" x14ac:dyDescent="0.2">
      <c r="A3" s="2" t="s">
        <v>100</v>
      </c>
      <c r="M3" s="2" t="s">
        <v>123</v>
      </c>
    </row>
    <row r="4" spans="1:22" x14ac:dyDescent="0.2">
      <c r="A4" t="s">
        <v>104</v>
      </c>
      <c r="H4" s="189" t="s">
        <v>108</v>
      </c>
      <c r="I4" s="189"/>
      <c r="J4" s="189"/>
      <c r="K4" s="189"/>
      <c r="M4" s="108"/>
      <c r="N4" s="188" t="s">
        <v>84</v>
      </c>
      <c r="O4" s="188"/>
      <c r="P4" s="188"/>
      <c r="Q4" s="188" t="s">
        <v>42</v>
      </c>
      <c r="R4" s="188"/>
      <c r="S4" s="188"/>
      <c r="T4" s="188" t="s">
        <v>43</v>
      </c>
      <c r="U4" s="188"/>
      <c r="V4" s="188"/>
    </row>
    <row r="5" spans="1:22" x14ac:dyDescent="0.2">
      <c r="A5" s="140"/>
      <c r="B5" s="140"/>
      <c r="C5" s="140"/>
      <c r="D5" s="140"/>
      <c r="E5" s="140"/>
      <c r="F5" s="140"/>
      <c r="G5" s="140"/>
      <c r="H5" s="147">
        <v>0.01</v>
      </c>
      <c r="I5" s="147">
        <v>0.02</v>
      </c>
      <c r="J5" s="148">
        <v>2.5000000000000001E-2</v>
      </c>
      <c r="K5" s="147">
        <v>0.03</v>
      </c>
      <c r="M5" s="28" t="s">
        <v>1</v>
      </c>
      <c r="N5" s="107" t="s">
        <v>11</v>
      </c>
      <c r="O5" s="107" t="s">
        <v>12</v>
      </c>
      <c r="P5" s="107" t="s">
        <v>13</v>
      </c>
      <c r="Q5" s="107" t="s">
        <v>11</v>
      </c>
      <c r="R5" s="107" t="s">
        <v>12</v>
      </c>
      <c r="S5" s="107" t="s">
        <v>13</v>
      </c>
      <c r="T5" s="107" t="s">
        <v>11</v>
      </c>
      <c r="U5" s="107" t="s">
        <v>12</v>
      </c>
      <c r="V5" s="107" t="s">
        <v>13</v>
      </c>
    </row>
    <row r="6" spans="1:22" x14ac:dyDescent="0.2">
      <c r="A6" s="140"/>
      <c r="B6" s="140"/>
      <c r="F6" s="145" t="s">
        <v>147</v>
      </c>
      <c r="G6" t="s">
        <v>96</v>
      </c>
      <c r="H6">
        <v>1.96</v>
      </c>
      <c r="I6">
        <v>1.96</v>
      </c>
      <c r="J6">
        <v>1.96</v>
      </c>
      <c r="K6">
        <v>1.96</v>
      </c>
      <c r="M6" s="14" t="s">
        <v>2</v>
      </c>
      <c r="N6" s="1">
        <v>38358504</v>
      </c>
      <c r="O6" s="1">
        <v>42893564</v>
      </c>
      <c r="P6" s="1">
        <v>39777108</v>
      </c>
      <c r="Q6" s="1">
        <v>56817022</v>
      </c>
      <c r="R6" s="1">
        <v>45233054</v>
      </c>
      <c r="S6" s="1">
        <v>45233054</v>
      </c>
      <c r="T6" s="1">
        <v>57893258</v>
      </c>
      <c r="U6" s="1">
        <v>56089391</v>
      </c>
      <c r="V6" s="1">
        <v>63711699</v>
      </c>
    </row>
    <row r="7" spans="1:22" x14ac:dyDescent="0.2">
      <c r="A7" s="140"/>
      <c r="B7" s="141"/>
      <c r="F7" s="146" t="s">
        <v>101</v>
      </c>
      <c r="G7" t="s">
        <v>97</v>
      </c>
      <c r="H7">
        <v>0.9</v>
      </c>
      <c r="I7">
        <v>0.9</v>
      </c>
      <c r="J7">
        <v>0.9</v>
      </c>
      <c r="K7">
        <v>0.9</v>
      </c>
      <c r="M7" s="14" t="s">
        <v>3</v>
      </c>
      <c r="N7" s="1">
        <v>6321300</v>
      </c>
      <c r="O7" s="1">
        <v>6485188</v>
      </c>
      <c r="P7" s="1">
        <v>6240241</v>
      </c>
      <c r="Q7" s="1">
        <v>6663330</v>
      </c>
      <c r="R7" s="1">
        <v>5911082</v>
      </c>
      <c r="S7" s="1">
        <v>5911082</v>
      </c>
      <c r="T7" s="1">
        <v>868014</v>
      </c>
      <c r="U7" s="1">
        <v>12335217</v>
      </c>
      <c r="V7" s="1">
        <v>11195164</v>
      </c>
    </row>
    <row r="8" spans="1:22" x14ac:dyDescent="0.2">
      <c r="A8" s="140"/>
      <c r="B8" s="141"/>
      <c r="F8" s="146" t="s">
        <v>102</v>
      </c>
      <c r="G8" t="s">
        <v>98</v>
      </c>
      <c r="H8">
        <v>0.01</v>
      </c>
      <c r="I8">
        <v>0.02</v>
      </c>
      <c r="J8">
        <v>2.5000000000000001E-2</v>
      </c>
      <c r="K8" s="140">
        <v>0.03</v>
      </c>
      <c r="M8" s="14" t="s">
        <v>4</v>
      </c>
      <c r="N8" s="1">
        <v>4424448</v>
      </c>
      <c r="O8" s="1">
        <v>17991296</v>
      </c>
      <c r="P8" s="1">
        <v>14374168</v>
      </c>
      <c r="Q8" s="1">
        <v>4424256</v>
      </c>
      <c r="R8" s="1">
        <v>16047072</v>
      </c>
      <c r="S8" s="1">
        <v>16047072</v>
      </c>
      <c r="T8" s="1">
        <v>28272057</v>
      </c>
      <c r="U8" s="1">
        <v>45973025</v>
      </c>
      <c r="V8" s="1">
        <v>39784433</v>
      </c>
    </row>
    <row r="9" spans="1:22" x14ac:dyDescent="0.2">
      <c r="A9" s="140"/>
      <c r="B9" s="141"/>
      <c r="F9" s="146" t="s">
        <v>103</v>
      </c>
      <c r="G9" t="s">
        <v>99</v>
      </c>
      <c r="H9" s="5">
        <f>(((H6^2)*H7)*(1-H7))/(H8^2)</f>
        <v>3457.4399999999987</v>
      </c>
      <c r="I9" s="5">
        <f>(((I6^2)*I7)*(1-I7))/(I8^2)</f>
        <v>864.35999999999967</v>
      </c>
      <c r="J9" s="150">
        <f t="shared" ref="J9:K9" si="0">(((J6^2)*J7)*(1-J7))/(J8^2)</f>
        <v>553.19039999999973</v>
      </c>
      <c r="K9" s="5">
        <f t="shared" si="0"/>
        <v>384.15999999999985</v>
      </c>
      <c r="M9" s="14" t="s">
        <v>5</v>
      </c>
      <c r="N9" s="1">
        <v>7531073</v>
      </c>
      <c r="O9" s="1">
        <v>13313086</v>
      </c>
      <c r="P9" s="1">
        <v>12153042</v>
      </c>
      <c r="Q9" s="1">
        <v>8073731</v>
      </c>
      <c r="R9" s="1">
        <v>15140455</v>
      </c>
      <c r="S9" s="1">
        <v>15140455</v>
      </c>
      <c r="T9" s="1">
        <v>21031053</v>
      </c>
      <c r="U9" s="1">
        <v>32311672</v>
      </c>
      <c r="V9" s="1">
        <v>30360421</v>
      </c>
    </row>
    <row r="10" spans="1:22" x14ac:dyDescent="0.2">
      <c r="A10" s="140"/>
      <c r="B10" s="140"/>
      <c r="C10" s="140"/>
      <c r="D10" s="140"/>
      <c r="E10" s="140"/>
      <c r="F10" s="140"/>
      <c r="G10" s="140"/>
      <c r="H10" s="140"/>
      <c r="I10" s="142"/>
      <c r="J10" s="140"/>
      <c r="K10" s="140"/>
      <c r="M10" s="14" t="s">
        <v>6</v>
      </c>
      <c r="N10" s="1">
        <v>46495934</v>
      </c>
      <c r="O10" s="1">
        <v>39586395</v>
      </c>
      <c r="P10" s="1">
        <v>42436264</v>
      </c>
      <c r="Q10" s="1">
        <v>48437465</v>
      </c>
      <c r="R10" s="1">
        <v>35086313</v>
      </c>
      <c r="S10" s="1">
        <v>35086313</v>
      </c>
      <c r="T10" s="1">
        <v>5823808</v>
      </c>
      <c r="U10" s="1">
        <v>15112107</v>
      </c>
      <c r="V10" s="1">
        <v>3430510</v>
      </c>
    </row>
    <row r="11" spans="1:22" x14ac:dyDescent="0.2">
      <c r="A11" s="140" t="s">
        <v>105</v>
      </c>
      <c r="B11" s="140"/>
      <c r="C11" s="140"/>
      <c r="D11" s="140"/>
      <c r="E11" s="140"/>
      <c r="F11" s="140"/>
      <c r="G11" s="140"/>
      <c r="H11" s="140"/>
      <c r="I11" s="140"/>
      <c r="J11" s="143"/>
      <c r="K11" s="140"/>
      <c r="M11" s="14" t="s">
        <v>7</v>
      </c>
      <c r="N11" s="1">
        <v>17155955</v>
      </c>
      <c r="O11" s="1">
        <v>16367511</v>
      </c>
      <c r="P11" s="1">
        <v>8969589</v>
      </c>
      <c r="Q11" s="1">
        <v>14645718</v>
      </c>
      <c r="R11" s="1">
        <v>23716613</v>
      </c>
      <c r="S11" s="1">
        <v>23716613</v>
      </c>
      <c r="T11" s="1">
        <v>54346074</v>
      </c>
      <c r="U11" s="1">
        <v>26401148</v>
      </c>
      <c r="V11" s="1">
        <v>9367960</v>
      </c>
    </row>
    <row r="12" spans="1:22" x14ac:dyDescent="0.2">
      <c r="A12" s="140" t="s">
        <v>106</v>
      </c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M12" s="14" t="s">
        <v>8</v>
      </c>
      <c r="N12" s="1">
        <v>2522512</v>
      </c>
      <c r="O12" s="1">
        <v>1559134</v>
      </c>
      <c r="P12" s="1">
        <v>1296011</v>
      </c>
      <c r="Q12" s="1">
        <v>2135976</v>
      </c>
      <c r="R12" s="1">
        <v>1484125</v>
      </c>
      <c r="S12" s="1">
        <v>1484125</v>
      </c>
      <c r="T12" s="1">
        <v>10891824</v>
      </c>
      <c r="U12" s="1">
        <v>7460886</v>
      </c>
      <c r="V12" s="1">
        <v>6059498</v>
      </c>
    </row>
    <row r="13" spans="1:22" x14ac:dyDescent="0.2">
      <c r="A13" s="140" t="s">
        <v>107</v>
      </c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M13" s="14" t="s">
        <v>9</v>
      </c>
      <c r="N13" s="1">
        <v>17610223</v>
      </c>
      <c r="O13" s="1">
        <v>9016474</v>
      </c>
      <c r="P13" s="1">
        <v>15434167</v>
      </c>
      <c r="Q13" s="1">
        <v>19084875</v>
      </c>
      <c r="R13" s="1">
        <v>4498902</v>
      </c>
      <c r="S13" s="1">
        <v>4498902</v>
      </c>
      <c r="T13" s="1">
        <v>23717194</v>
      </c>
      <c r="U13" s="1">
        <v>39698660</v>
      </c>
      <c r="V13" s="1">
        <v>56611400</v>
      </c>
    </row>
    <row r="14" spans="1:22" x14ac:dyDescent="0.2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M14" s="28" t="s">
        <v>10</v>
      </c>
      <c r="N14" s="28">
        <v>148956391</v>
      </c>
      <c r="O14" s="28">
        <v>142163692</v>
      </c>
      <c r="P14" s="28">
        <v>148695750</v>
      </c>
      <c r="Q14" s="28">
        <v>129093967</v>
      </c>
      <c r="R14" s="28">
        <v>142258724</v>
      </c>
      <c r="S14" s="28">
        <v>142258724</v>
      </c>
      <c r="T14" s="28">
        <v>213864005</v>
      </c>
      <c r="U14" s="28">
        <v>181325181</v>
      </c>
      <c r="V14" s="28">
        <v>196186202</v>
      </c>
    </row>
    <row r="15" spans="1:22" x14ac:dyDescent="0.2">
      <c r="K15" s="140"/>
      <c r="M15" s="29" t="s">
        <v>0</v>
      </c>
      <c r="N15" s="14">
        <f>SUM(N6:N14)</f>
        <v>289376340</v>
      </c>
      <c r="O15" s="14">
        <f t="shared" ref="O15:V15" si="1">SUM(O6:O14)</f>
        <v>289376340</v>
      </c>
      <c r="P15" s="14">
        <f t="shared" si="1"/>
        <v>289376340</v>
      </c>
      <c r="Q15" s="14">
        <f t="shared" si="1"/>
        <v>289376340</v>
      </c>
      <c r="R15" s="14">
        <f t="shared" si="1"/>
        <v>289376340</v>
      </c>
      <c r="S15" s="14">
        <f t="shared" si="1"/>
        <v>289376340</v>
      </c>
      <c r="T15" s="14">
        <f t="shared" si="1"/>
        <v>416707287</v>
      </c>
      <c r="U15" s="14">
        <f t="shared" si="1"/>
        <v>416707287</v>
      </c>
      <c r="V15" s="14">
        <f t="shared" si="1"/>
        <v>416707287</v>
      </c>
    </row>
    <row r="16" spans="1:22" x14ac:dyDescent="0.2">
      <c r="A16" s="164" t="s">
        <v>150</v>
      </c>
      <c r="K16" s="140"/>
    </row>
    <row r="17" spans="1:22" x14ac:dyDescent="0.2">
      <c r="A17" s="144"/>
      <c r="B17" s="211" t="s">
        <v>30</v>
      </c>
      <c r="C17" s="211"/>
      <c r="D17" s="211"/>
      <c r="E17" s="211"/>
      <c r="F17" s="211"/>
      <c r="G17" s="211"/>
      <c r="H17" s="211" t="s">
        <v>31</v>
      </c>
      <c r="I17" s="211"/>
      <c r="J17" s="211"/>
      <c r="K17" s="140"/>
      <c r="M17" s="7"/>
      <c r="N17" s="106"/>
      <c r="O17" s="106"/>
      <c r="P17" s="106"/>
    </row>
    <row r="18" spans="1:22" x14ac:dyDescent="0.2">
      <c r="B18" s="210">
        <v>1995</v>
      </c>
      <c r="C18" s="210"/>
      <c r="D18" s="210"/>
      <c r="E18" s="210">
        <v>2015</v>
      </c>
      <c r="F18" s="210"/>
      <c r="G18" s="210"/>
      <c r="H18" s="210">
        <v>2015</v>
      </c>
      <c r="I18" s="210"/>
      <c r="J18" s="210"/>
      <c r="K18" s="140"/>
      <c r="M18" s="2" t="s">
        <v>85</v>
      </c>
    </row>
    <row r="19" spans="1:22" x14ac:dyDescent="0.2">
      <c r="A19" s="107"/>
      <c r="B19" s="107" t="s">
        <v>59</v>
      </c>
      <c r="C19" s="107" t="s">
        <v>60</v>
      </c>
      <c r="D19" s="107" t="s">
        <v>61</v>
      </c>
      <c r="E19" s="107" t="s">
        <v>59</v>
      </c>
      <c r="F19" s="107" t="s">
        <v>62</v>
      </c>
      <c r="G19" s="107" t="s">
        <v>63</v>
      </c>
      <c r="H19" s="107" t="s">
        <v>59</v>
      </c>
      <c r="I19" s="107" t="s">
        <v>62</v>
      </c>
      <c r="J19" s="107" t="s">
        <v>63</v>
      </c>
      <c r="K19" s="140"/>
      <c r="M19" s="108"/>
      <c r="N19" s="188" t="s">
        <v>84</v>
      </c>
      <c r="O19" s="188"/>
      <c r="P19" s="188"/>
      <c r="Q19" s="188" t="s">
        <v>42</v>
      </c>
      <c r="R19" s="188"/>
      <c r="S19" s="188"/>
      <c r="T19" s="188" t="s">
        <v>43</v>
      </c>
      <c r="U19" s="188"/>
      <c r="V19" s="188"/>
    </row>
    <row r="20" spans="1:22" x14ac:dyDescent="0.2">
      <c r="A20" s="208" t="s">
        <v>148</v>
      </c>
      <c r="B20" s="212">
        <v>1490</v>
      </c>
      <c r="C20" s="212">
        <v>2112</v>
      </c>
      <c r="D20" s="212">
        <v>1490</v>
      </c>
      <c r="E20" s="212">
        <v>1441</v>
      </c>
      <c r="F20" s="212">
        <v>2065</v>
      </c>
      <c r="G20" s="212">
        <v>1426</v>
      </c>
      <c r="H20" s="212">
        <v>1441</v>
      </c>
      <c r="I20" s="212">
        <v>2065</v>
      </c>
      <c r="J20" s="212">
        <v>1426</v>
      </c>
      <c r="K20" s="140"/>
      <c r="M20" s="28" t="s">
        <v>1</v>
      </c>
      <c r="N20" s="107" t="s">
        <v>11</v>
      </c>
      <c r="O20" s="111" t="s">
        <v>12</v>
      </c>
      <c r="P20" s="171" t="s">
        <v>13</v>
      </c>
      <c r="Q20" s="111" t="s">
        <v>11</v>
      </c>
      <c r="R20" s="111" t="s">
        <v>12</v>
      </c>
      <c r="S20" s="111" t="s">
        <v>13</v>
      </c>
      <c r="T20" s="107" t="s">
        <v>11</v>
      </c>
      <c r="U20" s="111" t="s">
        <v>12</v>
      </c>
      <c r="V20" s="111" t="s">
        <v>13</v>
      </c>
    </row>
    <row r="21" spans="1:22" x14ac:dyDescent="0.2">
      <c r="A21" s="209" t="s">
        <v>149</v>
      </c>
      <c r="B21" s="212">
        <v>632</v>
      </c>
      <c r="C21" s="212">
        <v>906</v>
      </c>
      <c r="D21" s="212">
        <v>632</v>
      </c>
      <c r="E21" s="212">
        <v>606</v>
      </c>
      <c r="F21" s="212">
        <v>868</v>
      </c>
      <c r="G21" s="212">
        <v>606</v>
      </c>
      <c r="H21" s="212">
        <v>606</v>
      </c>
      <c r="I21" s="212">
        <v>868</v>
      </c>
      <c r="J21" s="212">
        <v>606</v>
      </c>
      <c r="K21" s="140"/>
      <c r="M21" s="14" t="s">
        <v>2</v>
      </c>
      <c r="N21" s="14">
        <f>N6</f>
        <v>38358504</v>
      </c>
      <c r="O21" s="115">
        <f>O6-O34</f>
        <v>37412431</v>
      </c>
      <c r="P21" s="117">
        <f>P6</f>
        <v>39777108</v>
      </c>
      <c r="Q21" s="115">
        <f>Q6-Q34</f>
        <v>37506784</v>
      </c>
      <c r="R21" s="115">
        <f>R6-R34</f>
        <v>38761681</v>
      </c>
      <c r="S21" s="115">
        <f>S6-S34</f>
        <v>38761681</v>
      </c>
      <c r="T21" s="14">
        <f>T6</f>
        <v>57893258</v>
      </c>
      <c r="U21" s="115">
        <f>U6-U34</f>
        <v>43657422</v>
      </c>
      <c r="V21" s="14">
        <f>V6</f>
        <v>63711699</v>
      </c>
    </row>
    <row r="22" spans="1:22" x14ac:dyDescent="0.2">
      <c r="A22" t="s">
        <v>0</v>
      </c>
      <c r="B22" s="106">
        <f>SUM(B20:B21)</f>
        <v>2122</v>
      </c>
      <c r="C22" s="106">
        <f t="shared" ref="C22:J22" si="2">SUM(C20:C21)</f>
        <v>3018</v>
      </c>
      <c r="D22" s="106">
        <f t="shared" si="2"/>
        <v>2122</v>
      </c>
      <c r="E22" s="106">
        <f t="shared" si="2"/>
        <v>2047</v>
      </c>
      <c r="F22" s="106">
        <f t="shared" si="2"/>
        <v>2933</v>
      </c>
      <c r="G22" s="106">
        <f t="shared" si="2"/>
        <v>2032</v>
      </c>
      <c r="H22" s="106">
        <f t="shared" si="2"/>
        <v>2047</v>
      </c>
      <c r="I22" s="106">
        <f t="shared" si="2"/>
        <v>2933</v>
      </c>
      <c r="J22" s="106">
        <f t="shared" si="2"/>
        <v>2032</v>
      </c>
      <c r="K22" s="140"/>
      <c r="M22" s="14" t="s">
        <v>3</v>
      </c>
      <c r="N22" s="14">
        <f t="shared" ref="N22:O29" si="3">N7</f>
        <v>6321300</v>
      </c>
      <c r="O22" s="14">
        <f>O7</f>
        <v>6485188</v>
      </c>
      <c r="P22" s="117">
        <f t="shared" ref="P22:R29" si="4">P7</f>
        <v>6240241</v>
      </c>
      <c r="Q22" s="14">
        <f>Q7</f>
        <v>6663330</v>
      </c>
      <c r="R22" s="14">
        <f>R7</f>
        <v>5911082</v>
      </c>
      <c r="S22" s="14">
        <f>S7</f>
        <v>5911082</v>
      </c>
      <c r="T22" s="14">
        <f t="shared" ref="T22:U29" si="5">T7</f>
        <v>868014</v>
      </c>
      <c r="U22" s="14">
        <f>U7</f>
        <v>12335217</v>
      </c>
      <c r="V22" s="14">
        <f t="shared" ref="V22:V27" si="6">V7</f>
        <v>11195164</v>
      </c>
    </row>
    <row r="23" spans="1:22" x14ac:dyDescent="0.2">
      <c r="H23" s="140"/>
      <c r="I23" s="140"/>
      <c r="J23" s="143"/>
      <c r="K23" s="140"/>
      <c r="M23" s="14" t="s">
        <v>4</v>
      </c>
      <c r="N23" s="14">
        <f t="shared" si="3"/>
        <v>4424448</v>
      </c>
      <c r="O23" s="14">
        <f t="shared" si="3"/>
        <v>17991296</v>
      </c>
      <c r="P23" s="117">
        <f t="shared" si="4"/>
        <v>14374168</v>
      </c>
      <c r="Q23" s="14">
        <f t="shared" si="4"/>
        <v>4424256</v>
      </c>
      <c r="R23" s="14">
        <f t="shared" si="4"/>
        <v>16047072</v>
      </c>
      <c r="S23" s="14">
        <f t="shared" ref="S23:S28" si="7">S8</f>
        <v>16047072</v>
      </c>
      <c r="T23" s="14">
        <f t="shared" si="5"/>
        <v>28272057</v>
      </c>
      <c r="U23" s="14">
        <f t="shared" si="5"/>
        <v>45973025</v>
      </c>
      <c r="V23" s="14">
        <f t="shared" si="6"/>
        <v>39784433</v>
      </c>
    </row>
    <row r="24" spans="1:22" x14ac:dyDescent="0.2">
      <c r="H24" s="140"/>
      <c r="I24" s="140"/>
      <c r="J24" s="140"/>
      <c r="K24" s="140"/>
      <c r="M24" s="14" t="s">
        <v>5</v>
      </c>
      <c r="N24" s="14">
        <f t="shared" si="3"/>
        <v>7531073</v>
      </c>
      <c r="O24" s="14">
        <f t="shared" si="3"/>
        <v>13313086</v>
      </c>
      <c r="P24" s="117">
        <f t="shared" si="4"/>
        <v>12153042</v>
      </c>
      <c r="Q24" s="14">
        <f t="shared" si="4"/>
        <v>8073731</v>
      </c>
      <c r="R24" s="14">
        <f t="shared" si="4"/>
        <v>15140455</v>
      </c>
      <c r="S24" s="14">
        <f t="shared" si="7"/>
        <v>15140455</v>
      </c>
      <c r="T24" s="14">
        <f t="shared" si="5"/>
        <v>21031053</v>
      </c>
      <c r="U24" s="14">
        <f t="shared" si="5"/>
        <v>32311672</v>
      </c>
      <c r="V24" s="14">
        <f t="shared" si="6"/>
        <v>30360421</v>
      </c>
    </row>
    <row r="25" spans="1:22" x14ac:dyDescent="0.2">
      <c r="A25" s="2" t="s">
        <v>94</v>
      </c>
      <c r="H25" s="140"/>
      <c r="I25" s="140"/>
      <c r="J25" s="140"/>
      <c r="K25" s="140"/>
      <c r="M25" s="14" t="s">
        <v>6</v>
      </c>
      <c r="N25" s="14">
        <f t="shared" si="3"/>
        <v>46495934</v>
      </c>
      <c r="O25" s="14">
        <f t="shared" si="3"/>
        <v>39586395</v>
      </c>
      <c r="P25" s="117">
        <f t="shared" si="4"/>
        <v>42436264</v>
      </c>
      <c r="Q25" s="14">
        <f t="shared" si="4"/>
        <v>48437465</v>
      </c>
      <c r="R25" s="14">
        <f t="shared" si="4"/>
        <v>35086313</v>
      </c>
      <c r="S25" s="14">
        <f t="shared" si="7"/>
        <v>35086313</v>
      </c>
      <c r="T25" s="14">
        <f t="shared" si="5"/>
        <v>5823808</v>
      </c>
      <c r="U25" s="14">
        <f t="shared" si="5"/>
        <v>15112107</v>
      </c>
      <c r="V25" s="14">
        <f t="shared" si="6"/>
        <v>3430510</v>
      </c>
    </row>
    <row r="26" spans="1:22" x14ac:dyDescent="0.2">
      <c r="A26" s="108"/>
      <c r="B26" s="188" t="s">
        <v>14</v>
      </c>
      <c r="C26" s="188"/>
      <c r="D26" s="188"/>
      <c r="E26" s="188" t="s">
        <v>93</v>
      </c>
      <c r="F26" s="188"/>
      <c r="G26" s="188"/>
      <c r="H26" s="140"/>
      <c r="I26" s="140"/>
      <c r="J26" s="140"/>
      <c r="K26" s="140"/>
      <c r="M26" s="14" t="s">
        <v>7</v>
      </c>
      <c r="N26" s="14">
        <f t="shared" si="3"/>
        <v>17155955</v>
      </c>
      <c r="O26" s="14">
        <f t="shared" si="3"/>
        <v>16367511</v>
      </c>
      <c r="P26" s="117">
        <f t="shared" si="4"/>
        <v>8969589</v>
      </c>
      <c r="Q26" s="14">
        <f t="shared" si="4"/>
        <v>14645718</v>
      </c>
      <c r="R26" s="14">
        <f t="shared" si="4"/>
        <v>23716613</v>
      </c>
      <c r="S26" s="14">
        <f t="shared" si="7"/>
        <v>23716613</v>
      </c>
      <c r="T26" s="14">
        <f t="shared" si="5"/>
        <v>54346074</v>
      </c>
      <c r="U26" s="14">
        <f t="shared" si="5"/>
        <v>26401148</v>
      </c>
      <c r="V26" s="14">
        <f t="shared" si="6"/>
        <v>9367960</v>
      </c>
    </row>
    <row r="27" spans="1:22" x14ac:dyDescent="0.2">
      <c r="A27" s="28" t="s">
        <v>1</v>
      </c>
      <c r="B27" s="107" t="s">
        <v>59</v>
      </c>
      <c r="C27" s="107" t="s">
        <v>60</v>
      </c>
      <c r="D27" s="107" t="s">
        <v>61</v>
      </c>
      <c r="E27" s="107" t="s">
        <v>59</v>
      </c>
      <c r="F27" s="107" t="s">
        <v>62</v>
      </c>
      <c r="G27" s="107" t="s">
        <v>63</v>
      </c>
      <c r="H27" s="140"/>
      <c r="I27" s="140"/>
      <c r="J27" s="140"/>
      <c r="K27" s="140"/>
      <c r="M27" s="14" t="s">
        <v>8</v>
      </c>
      <c r="N27" s="14">
        <f t="shared" si="3"/>
        <v>2522512</v>
      </c>
      <c r="O27" s="14">
        <f t="shared" si="3"/>
        <v>1559134</v>
      </c>
      <c r="P27" s="117">
        <f t="shared" si="4"/>
        <v>1296011</v>
      </c>
      <c r="Q27" s="14">
        <f t="shared" si="4"/>
        <v>2135976</v>
      </c>
      <c r="R27" s="14">
        <f t="shared" si="4"/>
        <v>1484125</v>
      </c>
      <c r="S27" s="14">
        <f t="shared" si="7"/>
        <v>1484125</v>
      </c>
      <c r="T27" s="14">
        <f t="shared" si="5"/>
        <v>10891824</v>
      </c>
      <c r="U27" s="14">
        <f t="shared" si="5"/>
        <v>7460886</v>
      </c>
      <c r="V27" s="14">
        <f t="shared" si="6"/>
        <v>6059498</v>
      </c>
    </row>
    <row r="28" spans="1:22" x14ac:dyDescent="0.2">
      <c r="A28" s="14" t="s">
        <v>2</v>
      </c>
      <c r="B28" s="131">
        <v>285</v>
      </c>
      <c r="C28" s="131">
        <v>417</v>
      </c>
      <c r="D28" s="131">
        <v>285</v>
      </c>
      <c r="E28" s="135">
        <v>277</v>
      </c>
      <c r="F28" s="135">
        <v>405</v>
      </c>
      <c r="G28" s="135">
        <v>277</v>
      </c>
      <c r="H28" s="140"/>
      <c r="I28" s="140"/>
      <c r="J28" s="140"/>
      <c r="K28" s="140"/>
      <c r="M28" s="14" t="s">
        <v>9</v>
      </c>
      <c r="N28" s="14">
        <f t="shared" si="3"/>
        <v>17610223</v>
      </c>
      <c r="O28" s="115">
        <f>O13-O35</f>
        <v>8026234</v>
      </c>
      <c r="P28" s="117">
        <f t="shared" si="4"/>
        <v>15434167</v>
      </c>
      <c r="Q28" s="14">
        <f t="shared" si="4"/>
        <v>19084875</v>
      </c>
      <c r="R28" s="14">
        <f t="shared" si="4"/>
        <v>4498902</v>
      </c>
      <c r="S28" s="14">
        <f t="shared" si="7"/>
        <v>4498902</v>
      </c>
      <c r="T28" s="14">
        <f t="shared" si="5"/>
        <v>23717194</v>
      </c>
      <c r="U28" s="14">
        <f t="shared" si="5"/>
        <v>39698660</v>
      </c>
      <c r="V28" s="115">
        <f>V13-V35</f>
        <v>44179431</v>
      </c>
    </row>
    <row r="29" spans="1:22" x14ac:dyDescent="0.2">
      <c r="A29" s="14" t="s">
        <v>3</v>
      </c>
      <c r="B29" s="131">
        <v>351</v>
      </c>
      <c r="C29" s="131">
        <v>495</v>
      </c>
      <c r="D29" s="131">
        <v>351</v>
      </c>
      <c r="E29" s="135">
        <v>351</v>
      </c>
      <c r="F29" s="135">
        <v>495</v>
      </c>
      <c r="G29" s="135">
        <v>351</v>
      </c>
      <c r="H29" s="140"/>
      <c r="I29" s="140"/>
      <c r="J29" s="140"/>
      <c r="K29" s="140"/>
      <c r="M29" s="28" t="s">
        <v>10</v>
      </c>
      <c r="N29" s="28">
        <f t="shared" si="3"/>
        <v>148956391</v>
      </c>
      <c r="O29" s="116">
        <f>O14+O34+O35</f>
        <v>148635065</v>
      </c>
      <c r="P29" s="170">
        <f t="shared" si="4"/>
        <v>148695750</v>
      </c>
      <c r="Q29" s="116">
        <f>Q14+Q34</f>
        <v>148404205</v>
      </c>
      <c r="R29" s="116">
        <f>R14+R34</f>
        <v>148730097</v>
      </c>
      <c r="S29" s="116">
        <f>S14+S34</f>
        <v>148730097</v>
      </c>
      <c r="T29" s="28">
        <f t="shared" si="5"/>
        <v>213864005</v>
      </c>
      <c r="U29" s="116">
        <f>U14+U34</f>
        <v>193757150</v>
      </c>
      <c r="V29" s="116">
        <f>V14+V35</f>
        <v>208618171</v>
      </c>
    </row>
    <row r="30" spans="1:22" x14ac:dyDescent="0.2">
      <c r="A30" s="14" t="s">
        <v>4</v>
      </c>
      <c r="B30" s="131">
        <v>291</v>
      </c>
      <c r="C30" s="131">
        <v>382</v>
      </c>
      <c r="D30" s="131">
        <v>291</v>
      </c>
      <c r="E30" s="135">
        <v>277</v>
      </c>
      <c r="F30" s="135">
        <v>396</v>
      </c>
      <c r="G30" s="135">
        <v>277</v>
      </c>
      <c r="H30" s="140"/>
      <c r="I30" s="140"/>
      <c r="J30" s="140"/>
      <c r="K30" s="140"/>
      <c r="M30" s="29" t="s">
        <v>0</v>
      </c>
      <c r="N30" s="117">
        <f>SUM(N21:N29)</f>
        <v>289376340</v>
      </c>
      <c r="O30" s="117">
        <f t="shared" ref="O30:V30" si="8">SUM(O21:O29)</f>
        <v>289376340</v>
      </c>
      <c r="P30" s="117">
        <f t="shared" si="8"/>
        <v>289376340</v>
      </c>
      <c r="Q30" s="117">
        <f t="shared" si="8"/>
        <v>289376340</v>
      </c>
      <c r="R30" s="117">
        <f t="shared" si="8"/>
        <v>289376340</v>
      </c>
      <c r="S30" s="117">
        <f t="shared" si="8"/>
        <v>289376340</v>
      </c>
      <c r="T30" s="117">
        <f t="shared" si="8"/>
        <v>416707287</v>
      </c>
      <c r="U30" s="117">
        <f t="shared" si="8"/>
        <v>416707287</v>
      </c>
      <c r="V30" s="117">
        <f t="shared" si="8"/>
        <v>416707287</v>
      </c>
    </row>
    <row r="31" spans="1:22" x14ac:dyDescent="0.2">
      <c r="A31" s="14" t="s">
        <v>5</v>
      </c>
      <c r="B31" s="132">
        <v>268</v>
      </c>
      <c r="C31" s="132">
        <v>409</v>
      </c>
      <c r="D31" s="132">
        <v>268</v>
      </c>
      <c r="E31" s="135">
        <v>282</v>
      </c>
      <c r="F31" s="135">
        <v>431</v>
      </c>
      <c r="G31" s="135">
        <v>282</v>
      </c>
      <c r="H31" s="141"/>
      <c r="I31" s="141"/>
      <c r="J31" s="141"/>
      <c r="K31" s="140"/>
    </row>
    <row r="32" spans="1:22" x14ac:dyDescent="0.2">
      <c r="A32" s="14" t="s">
        <v>6</v>
      </c>
      <c r="B32" s="132">
        <v>157</v>
      </c>
      <c r="C32" s="132">
        <v>222</v>
      </c>
      <c r="D32" s="132">
        <v>157</v>
      </c>
      <c r="E32" s="135">
        <v>157</v>
      </c>
      <c r="F32" s="135">
        <v>222</v>
      </c>
      <c r="G32" s="135">
        <v>157</v>
      </c>
      <c r="H32" s="141"/>
      <c r="I32" s="141"/>
      <c r="J32" s="141"/>
      <c r="K32" s="140"/>
      <c r="M32" s="2" t="s">
        <v>124</v>
      </c>
    </row>
    <row r="33" spans="1:22" x14ac:dyDescent="0.2">
      <c r="A33" s="14" t="s">
        <v>7</v>
      </c>
      <c r="B33" s="132">
        <v>406</v>
      </c>
      <c r="C33" s="132">
        <v>571</v>
      </c>
      <c r="D33" s="132">
        <v>406</v>
      </c>
      <c r="E33" s="135">
        <v>417</v>
      </c>
      <c r="F33" s="135">
        <v>569</v>
      </c>
      <c r="G33" s="135">
        <v>417</v>
      </c>
      <c r="H33" s="141"/>
      <c r="I33" s="141"/>
      <c r="J33" s="141"/>
      <c r="K33" s="140"/>
      <c r="M33" s="112" t="s">
        <v>70</v>
      </c>
      <c r="N33" s="109" t="s">
        <v>11</v>
      </c>
      <c r="O33" s="113" t="s">
        <v>12</v>
      </c>
      <c r="P33" s="172" t="s">
        <v>13</v>
      </c>
      <c r="Q33" s="113" t="s">
        <v>11</v>
      </c>
      <c r="R33" s="113" t="s">
        <v>12</v>
      </c>
      <c r="S33" s="113" t="s">
        <v>13</v>
      </c>
      <c r="T33" s="109" t="s">
        <v>11</v>
      </c>
      <c r="U33" s="113" t="s">
        <v>12</v>
      </c>
      <c r="V33" s="113" t="s">
        <v>13</v>
      </c>
    </row>
    <row r="34" spans="1:22" x14ac:dyDescent="0.2">
      <c r="A34" s="14" t="s">
        <v>8</v>
      </c>
      <c r="B34" s="132">
        <v>317</v>
      </c>
      <c r="C34" s="132">
        <v>502</v>
      </c>
      <c r="D34" s="132">
        <v>317</v>
      </c>
      <c r="E34" s="135">
        <v>316</v>
      </c>
      <c r="F34" s="135">
        <v>457</v>
      </c>
      <c r="G34" s="135">
        <v>316</v>
      </c>
      <c r="H34" s="140"/>
      <c r="I34" s="142"/>
      <c r="J34" s="140"/>
      <c r="K34" s="140"/>
      <c r="M34" t="s">
        <v>2</v>
      </c>
      <c r="O34">
        <v>5481133</v>
      </c>
      <c r="Q34" s="114">
        <v>19310238</v>
      </c>
      <c r="R34">
        <v>6471373</v>
      </c>
      <c r="S34">
        <v>6471373</v>
      </c>
      <c r="U34">
        <f>2674720+9757249</f>
        <v>12431969</v>
      </c>
    </row>
    <row r="35" spans="1:22" x14ac:dyDescent="0.2">
      <c r="A35" s="14" t="s">
        <v>9</v>
      </c>
      <c r="B35" s="132">
        <v>542</v>
      </c>
      <c r="C35" s="132">
        <v>733</v>
      </c>
      <c r="D35" s="132">
        <v>542</v>
      </c>
      <c r="E35" s="135">
        <v>366</v>
      </c>
      <c r="F35" s="135">
        <v>534</v>
      </c>
      <c r="G35" s="135">
        <v>366</v>
      </c>
      <c r="H35" s="140"/>
      <c r="I35" s="140"/>
      <c r="J35" s="143"/>
      <c r="K35" s="140"/>
      <c r="M35" t="s">
        <v>9</v>
      </c>
      <c r="O35">
        <v>990240</v>
      </c>
      <c r="V35">
        <f>2674720+9757249</f>
        <v>12431969</v>
      </c>
    </row>
    <row r="36" spans="1:22" x14ac:dyDescent="0.2">
      <c r="A36" s="28" t="s">
        <v>10</v>
      </c>
      <c r="B36" s="133">
        <v>622</v>
      </c>
      <c r="C36" s="133">
        <v>904</v>
      </c>
      <c r="D36" s="133">
        <v>622</v>
      </c>
      <c r="E36" s="133">
        <v>633</v>
      </c>
      <c r="F36" s="133">
        <v>926</v>
      </c>
      <c r="G36" s="133">
        <v>633</v>
      </c>
      <c r="H36" s="140"/>
      <c r="I36" s="140"/>
      <c r="J36" s="140"/>
      <c r="K36" s="140"/>
      <c r="M36" t="s">
        <v>8</v>
      </c>
    </row>
    <row r="37" spans="1:22" x14ac:dyDescent="0.2">
      <c r="A37" s="29" t="s">
        <v>0</v>
      </c>
      <c r="B37" s="131">
        <f>SUM(B28:B36)</f>
        <v>3239</v>
      </c>
      <c r="C37" s="131">
        <f t="shared" ref="C37:G37" si="9">SUM(C28:C36)</f>
        <v>4635</v>
      </c>
      <c r="D37" s="131">
        <f t="shared" si="9"/>
        <v>3239</v>
      </c>
      <c r="E37" s="131">
        <f t="shared" si="9"/>
        <v>3076</v>
      </c>
      <c r="F37" s="131">
        <f t="shared" si="9"/>
        <v>4435</v>
      </c>
      <c r="G37" s="131">
        <f t="shared" si="9"/>
        <v>3076</v>
      </c>
      <c r="H37" s="140"/>
      <c r="I37" s="140"/>
      <c r="J37" s="140"/>
      <c r="K37" s="140"/>
    </row>
    <row r="40" spans="1:22" x14ac:dyDescent="0.2">
      <c r="A40" s="2" t="s">
        <v>92</v>
      </c>
    </row>
    <row r="41" spans="1:22" x14ac:dyDescent="0.2">
      <c r="A41" s="108"/>
      <c r="B41" s="187" t="s">
        <v>14</v>
      </c>
      <c r="C41" s="187"/>
      <c r="D41" s="187"/>
      <c r="E41" s="187" t="s">
        <v>93</v>
      </c>
      <c r="F41" s="187"/>
      <c r="G41" s="187"/>
    </row>
    <row r="42" spans="1:22" x14ac:dyDescent="0.2">
      <c r="A42" s="28" t="s">
        <v>1</v>
      </c>
      <c r="B42" s="107" t="s">
        <v>59</v>
      </c>
      <c r="C42" s="107" t="s">
        <v>60</v>
      </c>
      <c r="D42" s="107" t="s">
        <v>61</v>
      </c>
      <c r="E42" s="107" t="s">
        <v>59</v>
      </c>
      <c r="F42" s="107" t="s">
        <v>62</v>
      </c>
      <c r="G42" s="107" t="s">
        <v>63</v>
      </c>
    </row>
    <row r="43" spans="1:22" x14ac:dyDescent="0.2">
      <c r="A43" s="14" t="s">
        <v>2</v>
      </c>
      <c r="B43" s="131">
        <v>89</v>
      </c>
      <c r="C43" s="128">
        <v>89</v>
      </c>
      <c r="D43" s="131">
        <v>89</v>
      </c>
      <c r="E43">
        <v>107</v>
      </c>
      <c r="F43" s="134">
        <v>107</v>
      </c>
      <c r="G43">
        <v>107</v>
      </c>
    </row>
    <row r="44" spans="1:22" x14ac:dyDescent="0.2">
      <c r="A44" s="14" t="s">
        <v>3</v>
      </c>
      <c r="B44" s="131">
        <v>73</v>
      </c>
      <c r="C44" s="128">
        <v>73</v>
      </c>
      <c r="D44" s="131">
        <v>73</v>
      </c>
      <c r="E44">
        <v>191</v>
      </c>
      <c r="F44" s="134">
        <v>191</v>
      </c>
      <c r="G44">
        <v>191</v>
      </c>
    </row>
    <row r="45" spans="1:22" x14ac:dyDescent="0.2">
      <c r="A45" s="14" t="s">
        <v>4</v>
      </c>
      <c r="B45" s="131">
        <v>66</v>
      </c>
      <c r="C45" s="128">
        <v>66</v>
      </c>
      <c r="D45" s="131">
        <v>66</v>
      </c>
      <c r="E45">
        <v>74</v>
      </c>
      <c r="F45" s="134">
        <v>74</v>
      </c>
      <c r="G45">
        <v>74</v>
      </c>
    </row>
    <row r="46" spans="1:22" x14ac:dyDescent="0.2">
      <c r="A46" s="14" t="s">
        <v>5</v>
      </c>
      <c r="B46" s="132">
        <v>80</v>
      </c>
      <c r="C46" s="129">
        <v>80</v>
      </c>
      <c r="D46" s="132">
        <v>80</v>
      </c>
      <c r="E46">
        <v>68</v>
      </c>
      <c r="F46" s="134">
        <v>68</v>
      </c>
      <c r="G46">
        <v>68</v>
      </c>
    </row>
    <row r="47" spans="1:22" x14ac:dyDescent="0.2">
      <c r="A47" s="14" t="s">
        <v>6</v>
      </c>
      <c r="B47" s="132">
        <v>57</v>
      </c>
      <c r="C47" s="129">
        <v>57</v>
      </c>
      <c r="D47" s="132">
        <v>57</v>
      </c>
      <c r="E47">
        <v>40</v>
      </c>
      <c r="F47" s="134">
        <v>40</v>
      </c>
      <c r="G47">
        <v>40</v>
      </c>
    </row>
    <row r="48" spans="1:22" x14ac:dyDescent="0.2">
      <c r="A48" s="14" t="s">
        <v>7</v>
      </c>
      <c r="B48" s="132">
        <v>94</v>
      </c>
      <c r="C48" s="129">
        <v>94</v>
      </c>
      <c r="D48" s="132">
        <v>94</v>
      </c>
      <c r="E48">
        <v>114</v>
      </c>
      <c r="F48" s="134">
        <v>114</v>
      </c>
      <c r="G48">
        <v>114</v>
      </c>
    </row>
    <row r="49" spans="1:7" x14ac:dyDescent="0.2">
      <c r="A49" s="14" t="s">
        <v>8</v>
      </c>
      <c r="B49" s="132">
        <v>118</v>
      </c>
      <c r="C49" s="129">
        <v>118</v>
      </c>
      <c r="D49" s="132">
        <v>118</v>
      </c>
      <c r="E49">
        <v>120</v>
      </c>
      <c r="F49" s="134">
        <v>120</v>
      </c>
      <c r="G49">
        <v>120</v>
      </c>
    </row>
    <row r="50" spans="1:7" x14ac:dyDescent="0.2">
      <c r="A50" s="14" t="s">
        <v>9</v>
      </c>
      <c r="B50" s="132">
        <v>82</v>
      </c>
      <c r="C50" s="129">
        <v>82</v>
      </c>
      <c r="D50" s="132">
        <v>82</v>
      </c>
      <c r="E50">
        <v>108</v>
      </c>
      <c r="F50" s="134">
        <v>108</v>
      </c>
      <c r="G50">
        <v>108</v>
      </c>
    </row>
    <row r="51" spans="1:7" x14ac:dyDescent="0.2">
      <c r="A51" s="28" t="s">
        <v>10</v>
      </c>
      <c r="B51" s="133">
        <v>282</v>
      </c>
      <c r="C51" s="130">
        <v>282</v>
      </c>
      <c r="D51" s="133">
        <v>282</v>
      </c>
      <c r="E51" s="6">
        <v>150</v>
      </c>
      <c r="F51" s="130">
        <v>150</v>
      </c>
      <c r="G51" s="6">
        <v>150</v>
      </c>
    </row>
    <row r="52" spans="1:7" x14ac:dyDescent="0.2">
      <c r="A52" s="29" t="s">
        <v>0</v>
      </c>
      <c r="B52" s="14">
        <f>SUM(B43:B51)</f>
        <v>941</v>
      </c>
      <c r="C52" s="128">
        <f t="shared" ref="C52:G52" si="10">SUM(C43:C51)</f>
        <v>941</v>
      </c>
      <c r="D52" s="14">
        <f t="shared" si="10"/>
        <v>941</v>
      </c>
      <c r="E52" s="14">
        <f t="shared" si="10"/>
        <v>972</v>
      </c>
      <c r="F52" s="128">
        <f t="shared" si="10"/>
        <v>972</v>
      </c>
      <c r="G52" s="14">
        <f t="shared" si="10"/>
        <v>972</v>
      </c>
    </row>
    <row r="55" spans="1:7" x14ac:dyDescent="0.2">
      <c r="A55" s="2" t="s">
        <v>95</v>
      </c>
    </row>
    <row r="56" spans="1:7" x14ac:dyDescent="0.2">
      <c r="A56" s="108"/>
      <c r="B56" s="187" t="s">
        <v>14</v>
      </c>
      <c r="C56" s="187"/>
      <c r="D56" s="187"/>
      <c r="E56" s="187" t="s">
        <v>93</v>
      </c>
      <c r="F56" s="187"/>
      <c r="G56" s="187"/>
    </row>
    <row r="57" spans="1:7" x14ac:dyDescent="0.2">
      <c r="A57" s="28" t="s">
        <v>1</v>
      </c>
      <c r="B57" s="107" t="s">
        <v>59</v>
      </c>
      <c r="C57" s="107" t="s">
        <v>60</v>
      </c>
      <c r="D57" s="107" t="s">
        <v>61</v>
      </c>
      <c r="E57" s="107" t="s">
        <v>59</v>
      </c>
      <c r="F57" s="107" t="s">
        <v>62</v>
      </c>
      <c r="G57" s="107" t="s">
        <v>63</v>
      </c>
    </row>
    <row r="58" spans="1:7" x14ac:dyDescent="0.2">
      <c r="A58" s="14" t="s">
        <v>2</v>
      </c>
      <c r="B58" s="136">
        <f>(B43*100)/B$52</f>
        <v>9.4580233793836346</v>
      </c>
      <c r="C58" s="136">
        <f>(C43*100)/C$52</f>
        <v>9.4580233793836346</v>
      </c>
      <c r="D58" s="136">
        <f>(D43*100)/D$52</f>
        <v>9.4580233793836346</v>
      </c>
      <c r="E58" s="136">
        <f>(E43*100)/E$52</f>
        <v>11.008230452674898</v>
      </c>
      <c r="F58" s="136">
        <f>(F43*100)/F$52</f>
        <v>11.008230452674898</v>
      </c>
      <c r="G58" s="136">
        <f>(G43*100)/G$52</f>
        <v>11.008230452674898</v>
      </c>
    </row>
    <row r="59" spans="1:7" x14ac:dyDescent="0.2">
      <c r="A59" s="14" t="s">
        <v>3</v>
      </c>
      <c r="B59" s="136">
        <f>(B44*100)/B$52</f>
        <v>7.7577045696068012</v>
      </c>
      <c r="C59" s="136">
        <f>(C44*100)/C$52</f>
        <v>7.7577045696068012</v>
      </c>
      <c r="D59" s="136">
        <f>(D44*100)/D$52</f>
        <v>7.7577045696068012</v>
      </c>
      <c r="E59" s="136">
        <f>(E44*100)/E$52</f>
        <v>19.650205761316872</v>
      </c>
      <c r="F59" s="136">
        <f>(F44*100)/F$52</f>
        <v>19.650205761316872</v>
      </c>
      <c r="G59" s="136">
        <f>(G44*100)/G$52</f>
        <v>19.650205761316872</v>
      </c>
    </row>
    <row r="60" spans="1:7" x14ac:dyDescent="0.2">
      <c r="A60" s="14" t="s">
        <v>4</v>
      </c>
      <c r="B60" s="136">
        <f>(B45*100)/B$52</f>
        <v>7.0138150903294365</v>
      </c>
      <c r="C60" s="136">
        <f>(C45*100)/C$52</f>
        <v>7.0138150903294365</v>
      </c>
      <c r="D60" s="136">
        <f>(D45*100)/D$52</f>
        <v>7.0138150903294365</v>
      </c>
      <c r="E60" s="136">
        <f>(E45*100)/E$52</f>
        <v>7.6131687242798352</v>
      </c>
      <c r="F60" s="136">
        <f>(F45*100)/F$52</f>
        <v>7.6131687242798352</v>
      </c>
      <c r="G60" s="136">
        <f>(G45*100)/G$52</f>
        <v>7.6131687242798352</v>
      </c>
    </row>
    <row r="61" spans="1:7" x14ac:dyDescent="0.2">
      <c r="A61" s="14" t="s">
        <v>5</v>
      </c>
      <c r="B61" s="136">
        <f>(B46*100)/B$52</f>
        <v>8.501594048884165</v>
      </c>
      <c r="C61" s="136">
        <f>(C46*100)/C$52</f>
        <v>8.501594048884165</v>
      </c>
      <c r="D61" s="136">
        <f>(D46*100)/D$52</f>
        <v>8.501594048884165</v>
      </c>
      <c r="E61" s="136">
        <f>(E46*100)/E$52</f>
        <v>6.9958847736625511</v>
      </c>
      <c r="F61" s="136">
        <f>(F46*100)/F$52</f>
        <v>6.9958847736625511</v>
      </c>
      <c r="G61" s="136">
        <f>(G46*100)/G$52</f>
        <v>6.9958847736625511</v>
      </c>
    </row>
    <row r="62" spans="1:7" x14ac:dyDescent="0.2">
      <c r="A62" s="14" t="s">
        <v>6</v>
      </c>
      <c r="B62" s="136">
        <f>(B47*100)/B$52</f>
        <v>6.0573857598299679</v>
      </c>
      <c r="C62" s="136">
        <f>(C47*100)/C$52</f>
        <v>6.0573857598299679</v>
      </c>
      <c r="D62" s="136">
        <f>(D47*100)/D$52</f>
        <v>6.0573857598299679</v>
      </c>
      <c r="E62" s="136">
        <f>(E47*100)/E$52</f>
        <v>4.1152263374485596</v>
      </c>
      <c r="F62" s="136">
        <f>(F47*100)/F$52</f>
        <v>4.1152263374485596</v>
      </c>
      <c r="G62" s="136">
        <f>(G47*100)/G$52</f>
        <v>4.1152263374485596</v>
      </c>
    </row>
    <row r="63" spans="1:7" x14ac:dyDescent="0.2">
      <c r="A63" s="14" t="s">
        <v>7</v>
      </c>
      <c r="B63" s="136">
        <f>(B48*100)/B$52</f>
        <v>9.9893730074388944</v>
      </c>
      <c r="C63" s="136">
        <f>(C48*100)/C$52</f>
        <v>9.9893730074388944</v>
      </c>
      <c r="D63" s="136">
        <f>(D48*100)/D$52</f>
        <v>9.9893730074388944</v>
      </c>
      <c r="E63" s="136">
        <f>(E48*100)/E$52</f>
        <v>11.728395061728396</v>
      </c>
      <c r="F63" s="136">
        <f>(F48*100)/F$52</f>
        <v>11.728395061728396</v>
      </c>
      <c r="G63" s="136">
        <f>(G48*100)/G$52</f>
        <v>11.728395061728396</v>
      </c>
    </row>
    <row r="64" spans="1:7" x14ac:dyDescent="0.2">
      <c r="A64" s="14" t="s">
        <v>8</v>
      </c>
      <c r="B64" s="136">
        <f>(B49*100)/B$52</f>
        <v>12.539851222104145</v>
      </c>
      <c r="C64" s="136">
        <f>(C49*100)/C$52</f>
        <v>12.539851222104145</v>
      </c>
      <c r="D64" s="136">
        <f>(D49*100)/D$52</f>
        <v>12.539851222104145</v>
      </c>
      <c r="E64" s="136">
        <f>(E49*100)/E$52</f>
        <v>12.345679012345679</v>
      </c>
      <c r="F64" s="136">
        <f>(F49*100)/F$52</f>
        <v>12.345679012345679</v>
      </c>
      <c r="G64" s="136">
        <f>(G49*100)/G$52</f>
        <v>12.345679012345679</v>
      </c>
    </row>
    <row r="65" spans="1:7" x14ac:dyDescent="0.2">
      <c r="A65" s="14" t="s">
        <v>9</v>
      </c>
      <c r="B65" s="136">
        <f>(B50*100)/B$52</f>
        <v>8.7141339001062708</v>
      </c>
      <c r="C65" s="136">
        <f>(C50*100)/C$52</f>
        <v>8.7141339001062708</v>
      </c>
      <c r="D65" s="136">
        <f>(D50*100)/D$52</f>
        <v>8.7141339001062708</v>
      </c>
      <c r="E65" s="136">
        <f>(E50*100)/E$52</f>
        <v>11.111111111111111</v>
      </c>
      <c r="F65" s="136">
        <f>(F50*100)/F$52</f>
        <v>11.111111111111111</v>
      </c>
      <c r="G65" s="136">
        <f>(G50*100)/G$52</f>
        <v>11.111111111111111</v>
      </c>
    </row>
    <row r="66" spans="1:7" x14ac:dyDescent="0.2">
      <c r="A66" s="28" t="s">
        <v>10</v>
      </c>
      <c r="B66" s="137">
        <f>(B51*100)/B$52</f>
        <v>29.968119022316685</v>
      </c>
      <c r="C66" s="137">
        <f>(C51*100)/C$52</f>
        <v>29.968119022316685</v>
      </c>
      <c r="D66" s="137">
        <f>(D51*100)/D$52</f>
        <v>29.968119022316685</v>
      </c>
      <c r="E66" s="137">
        <f>(E51*100)/E$52</f>
        <v>15.432098765432098</v>
      </c>
      <c r="F66" s="137">
        <f>(F51*100)/F$52</f>
        <v>15.432098765432098</v>
      </c>
      <c r="G66" s="137">
        <f>(G51*100)/G$52</f>
        <v>15.432098765432098</v>
      </c>
    </row>
    <row r="67" spans="1:7" x14ac:dyDescent="0.2">
      <c r="A67" s="29" t="s">
        <v>0</v>
      </c>
      <c r="B67" s="136">
        <f>SUM(B58:B66)</f>
        <v>100</v>
      </c>
      <c r="C67" s="136">
        <f t="shared" ref="C67:G67" si="11">SUM(C58:C66)</f>
        <v>100</v>
      </c>
      <c r="D67" s="136">
        <f t="shared" si="11"/>
        <v>100</v>
      </c>
      <c r="E67" s="136">
        <f t="shared" si="11"/>
        <v>100.00000000000001</v>
      </c>
      <c r="F67" s="136">
        <f t="shared" si="11"/>
        <v>100.00000000000001</v>
      </c>
      <c r="G67" s="136">
        <f t="shared" si="11"/>
        <v>100.00000000000001</v>
      </c>
    </row>
  </sheetData>
  <mergeCells count="14">
    <mergeCell ref="N4:P4"/>
    <mergeCell ref="Q4:S4"/>
    <mergeCell ref="T4:V4"/>
    <mergeCell ref="N19:P19"/>
    <mergeCell ref="Q19:S19"/>
    <mergeCell ref="T19:V19"/>
    <mergeCell ref="H4:K4"/>
    <mergeCell ref="B26:D26"/>
    <mergeCell ref="E26:G26"/>
    <mergeCell ref="H18:J18"/>
    <mergeCell ref="E18:G18"/>
    <mergeCell ref="B18:D18"/>
    <mergeCell ref="B17:G17"/>
    <mergeCell ref="H17:J17"/>
  </mergeCells>
  <pageMargins left="0.7" right="0.7" top="0.75" bottom="0.75" header="0.3" footer="0.3"/>
  <pageSetup orientation="portrait" horizontalDpi="0" verticalDpi="0"/>
  <ignoredErrors>
    <ignoredError sqref="O21 O28:O29 P21:Q21 T21:T29 U2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120"/>
  <sheetViews>
    <sheetView zoomScale="80" zoomScaleNormal="80" workbookViewId="0"/>
  </sheetViews>
  <sheetFormatPr baseColWidth="10" defaultRowHeight="15" x14ac:dyDescent="0.2"/>
  <cols>
    <col min="1" max="10" width="8.83203125" style="1" customWidth="1"/>
    <col min="11" max="16384" width="10.83203125" style="1"/>
  </cols>
  <sheetData>
    <row r="1" spans="1:11" ht="19" x14ac:dyDescent="0.25">
      <c r="A1" s="3" t="s">
        <v>27</v>
      </c>
    </row>
    <row r="3" spans="1:11" s="31" customFormat="1" x14ac:dyDescent="0.2">
      <c r="A3" s="35" t="s">
        <v>88</v>
      </c>
      <c r="B3" s="34"/>
      <c r="C3" s="34"/>
      <c r="D3" s="34"/>
      <c r="E3" s="34"/>
      <c r="F3" s="34"/>
      <c r="G3" s="34"/>
      <c r="H3" s="34"/>
      <c r="I3" s="34"/>
      <c r="J3" s="34"/>
    </row>
    <row r="5" spans="1:11" x14ac:dyDescent="0.2">
      <c r="A5" s="10"/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18</v>
      </c>
    </row>
    <row r="6" spans="1:11" x14ac:dyDescent="0.2">
      <c r="A6" s="190" t="s">
        <v>14</v>
      </c>
      <c r="B6" s="190"/>
      <c r="C6" s="190"/>
      <c r="D6" s="190"/>
      <c r="E6" s="190"/>
      <c r="F6" s="190"/>
      <c r="G6" s="190"/>
      <c r="H6" s="190"/>
      <c r="I6" s="190"/>
      <c r="J6" s="190"/>
      <c r="K6" s="24"/>
    </row>
    <row r="7" spans="1:11" x14ac:dyDescent="0.2">
      <c r="A7" s="8" t="s">
        <v>2</v>
      </c>
      <c r="B7" s="9">
        <v>57</v>
      </c>
      <c r="C7" s="9">
        <v>0</v>
      </c>
      <c r="D7" s="9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f>SUM(B7:J7)</f>
        <v>64</v>
      </c>
    </row>
    <row r="8" spans="1:11" x14ac:dyDescent="0.2">
      <c r="A8" s="8" t="s">
        <v>3</v>
      </c>
      <c r="B8" s="9">
        <v>4</v>
      </c>
      <c r="C8" s="9">
        <v>114</v>
      </c>
      <c r="D8" s="9">
        <v>0</v>
      </c>
      <c r="E8" s="9">
        <v>0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1">
        <f t="shared" ref="K8:K15" si="0">SUM(B8:J8)</f>
        <v>119</v>
      </c>
    </row>
    <row r="9" spans="1:11" x14ac:dyDescent="0.2">
      <c r="A9" s="8" t="s">
        <v>4</v>
      </c>
      <c r="B9" s="9">
        <v>0</v>
      </c>
      <c r="C9" s="9">
        <v>0</v>
      </c>
      <c r="D9" s="9">
        <v>74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f t="shared" si="0"/>
        <v>74</v>
      </c>
    </row>
    <row r="10" spans="1:11" x14ac:dyDescent="0.2">
      <c r="A10" s="8" t="s">
        <v>5</v>
      </c>
      <c r="B10" s="9">
        <v>0</v>
      </c>
      <c r="C10" s="9">
        <v>0</v>
      </c>
      <c r="D10" s="9">
        <v>0</v>
      </c>
      <c r="E10" s="9">
        <v>75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1">
        <f t="shared" si="0"/>
        <v>75</v>
      </c>
    </row>
    <row r="11" spans="1:11" x14ac:dyDescent="0.2">
      <c r="A11" s="8" t="s">
        <v>6</v>
      </c>
      <c r="B11" s="9">
        <v>0</v>
      </c>
      <c r="C11" s="9">
        <v>0</v>
      </c>
      <c r="D11" s="9">
        <v>0</v>
      </c>
      <c r="E11" s="9">
        <v>0</v>
      </c>
      <c r="F11" s="9">
        <v>15</v>
      </c>
      <c r="G11" s="9">
        <v>0</v>
      </c>
      <c r="H11" s="9">
        <v>0</v>
      </c>
      <c r="I11" s="9">
        <v>2</v>
      </c>
      <c r="J11" s="9">
        <v>0</v>
      </c>
      <c r="K11" s="1">
        <f t="shared" si="0"/>
        <v>17</v>
      </c>
    </row>
    <row r="12" spans="1:11" x14ac:dyDescent="0.2">
      <c r="A12" s="8" t="s">
        <v>7</v>
      </c>
      <c r="B12" s="9">
        <v>0</v>
      </c>
      <c r="C12" s="9">
        <v>0</v>
      </c>
      <c r="D12" s="9">
        <v>0</v>
      </c>
      <c r="E12" s="9">
        <v>0</v>
      </c>
      <c r="F12" s="9">
        <v>3</v>
      </c>
      <c r="G12" s="9">
        <v>52</v>
      </c>
      <c r="H12" s="9">
        <v>0</v>
      </c>
      <c r="I12" s="9">
        <v>3</v>
      </c>
      <c r="J12" s="9">
        <v>0</v>
      </c>
      <c r="K12" s="1">
        <f t="shared" si="0"/>
        <v>58</v>
      </c>
    </row>
    <row r="13" spans="1:11" x14ac:dyDescent="0.2">
      <c r="A13" s="8" t="s">
        <v>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37</v>
      </c>
      <c r="I13" s="9">
        <v>8</v>
      </c>
      <c r="J13" s="9">
        <v>0</v>
      </c>
      <c r="K13" s="1">
        <f t="shared" si="0"/>
        <v>45</v>
      </c>
    </row>
    <row r="14" spans="1:11" x14ac:dyDescent="0.2">
      <c r="A14" s="8" t="s">
        <v>9</v>
      </c>
      <c r="B14" s="9">
        <v>0</v>
      </c>
      <c r="C14" s="9">
        <v>0</v>
      </c>
      <c r="D14" s="9">
        <v>0</v>
      </c>
      <c r="E14" s="9">
        <v>0</v>
      </c>
      <c r="F14" s="9">
        <v>4</v>
      </c>
      <c r="G14" s="9">
        <v>14</v>
      </c>
      <c r="H14" s="9">
        <v>3</v>
      </c>
      <c r="I14" s="9">
        <v>86</v>
      </c>
      <c r="J14" s="9">
        <v>0</v>
      </c>
      <c r="K14" s="1">
        <f t="shared" si="0"/>
        <v>107</v>
      </c>
    </row>
    <row r="15" spans="1:11" x14ac:dyDescent="0.2">
      <c r="A15" s="12" t="s">
        <v>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73</v>
      </c>
      <c r="K15" s="28">
        <f t="shared" si="0"/>
        <v>73</v>
      </c>
    </row>
    <row r="16" spans="1:11" x14ac:dyDescent="0.2">
      <c r="A16" s="15"/>
      <c r="B16" s="16">
        <f>SUM(B7:B15)</f>
        <v>61</v>
      </c>
      <c r="C16" s="16">
        <f t="shared" ref="C16:J16" si="1">SUM(C7:C15)</f>
        <v>114</v>
      </c>
      <c r="D16" s="16">
        <f t="shared" si="1"/>
        <v>81</v>
      </c>
      <c r="E16" s="16">
        <f t="shared" si="1"/>
        <v>75</v>
      </c>
      <c r="F16" s="16">
        <f t="shared" si="1"/>
        <v>23</v>
      </c>
      <c r="G16" s="16">
        <f t="shared" si="1"/>
        <v>66</v>
      </c>
      <c r="H16" s="16">
        <f t="shared" si="1"/>
        <v>40</v>
      </c>
      <c r="I16" s="16">
        <f t="shared" si="1"/>
        <v>99</v>
      </c>
      <c r="J16" s="16">
        <f t="shared" si="1"/>
        <v>73</v>
      </c>
      <c r="K16" s="1">
        <f>SUM(B7:J15)</f>
        <v>632</v>
      </c>
    </row>
    <row r="17" spans="1:11" x14ac:dyDescent="0.2">
      <c r="A17" s="15"/>
      <c r="B17" s="16"/>
      <c r="C17" s="16"/>
      <c r="D17" s="16"/>
      <c r="E17" s="16"/>
      <c r="F17" s="16"/>
      <c r="G17" s="16"/>
      <c r="H17" s="16"/>
      <c r="I17" s="16"/>
      <c r="J17" s="16"/>
    </row>
    <row r="18" spans="1:11" x14ac:dyDescent="0.2">
      <c r="A18" s="190" t="s">
        <v>15</v>
      </c>
      <c r="B18" s="190"/>
      <c r="C18" s="190"/>
      <c r="D18" s="190"/>
      <c r="E18" s="190"/>
      <c r="F18" s="190"/>
      <c r="G18" s="190"/>
      <c r="H18" s="190"/>
      <c r="I18" s="190"/>
      <c r="J18" s="190"/>
      <c r="K18" s="28"/>
    </row>
    <row r="19" spans="1:11" x14ac:dyDescent="0.2">
      <c r="A19" s="8" t="s">
        <v>2</v>
      </c>
      <c r="B19" s="9">
        <v>46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f>SUM(B19:J19)</f>
        <v>46</v>
      </c>
    </row>
    <row r="20" spans="1:11" x14ac:dyDescent="0.2">
      <c r="A20" s="8" t="s">
        <v>3</v>
      </c>
      <c r="B20" s="9">
        <v>0</v>
      </c>
      <c r="C20" s="9">
        <v>70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1</v>
      </c>
      <c r="J20" s="9">
        <v>0</v>
      </c>
      <c r="K20" s="1">
        <f t="shared" ref="K20:K27" si="2">SUM(B20:J20)</f>
        <v>72</v>
      </c>
    </row>
    <row r="21" spans="1:11" x14ac:dyDescent="0.2">
      <c r="A21" s="8" t="s">
        <v>4</v>
      </c>
      <c r="B21" s="9">
        <v>1</v>
      </c>
      <c r="C21" s="9">
        <v>0</v>
      </c>
      <c r="D21" s="9">
        <v>46</v>
      </c>
      <c r="E21" s="9">
        <v>1</v>
      </c>
      <c r="F21" s="9">
        <v>4</v>
      </c>
      <c r="G21" s="9">
        <v>0</v>
      </c>
      <c r="H21" s="9">
        <v>0</v>
      </c>
      <c r="I21" s="9">
        <v>0</v>
      </c>
      <c r="J21" s="9">
        <v>0</v>
      </c>
      <c r="K21" s="1">
        <f t="shared" si="2"/>
        <v>52</v>
      </c>
    </row>
    <row r="22" spans="1:11" x14ac:dyDescent="0.2">
      <c r="A22" s="8" t="s">
        <v>5</v>
      </c>
      <c r="B22" s="9">
        <v>0</v>
      </c>
      <c r="C22" s="9">
        <v>0</v>
      </c>
      <c r="D22" s="9">
        <v>2</v>
      </c>
      <c r="E22" s="9">
        <v>90</v>
      </c>
      <c r="F22" s="9">
        <v>4</v>
      </c>
      <c r="G22" s="9">
        <v>0</v>
      </c>
      <c r="H22" s="9">
        <v>0</v>
      </c>
      <c r="I22" s="9">
        <v>0</v>
      </c>
      <c r="J22" s="9">
        <v>0</v>
      </c>
      <c r="K22" s="1">
        <f t="shared" si="2"/>
        <v>96</v>
      </c>
    </row>
    <row r="23" spans="1:11" x14ac:dyDescent="0.2">
      <c r="A23" s="8" t="s">
        <v>6</v>
      </c>
      <c r="B23" s="9">
        <v>1</v>
      </c>
      <c r="C23" s="9">
        <v>0</v>
      </c>
      <c r="D23" s="9">
        <v>6</v>
      </c>
      <c r="E23" s="9">
        <v>8</v>
      </c>
      <c r="F23" s="9">
        <v>15</v>
      </c>
      <c r="G23" s="9">
        <v>12</v>
      </c>
      <c r="H23" s="9">
        <v>0</v>
      </c>
      <c r="I23" s="9">
        <v>0</v>
      </c>
      <c r="J23" s="9">
        <v>0</v>
      </c>
      <c r="K23" s="1">
        <f t="shared" si="2"/>
        <v>42</v>
      </c>
    </row>
    <row r="24" spans="1:11" x14ac:dyDescent="0.2">
      <c r="A24" s="8" t="s">
        <v>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66</v>
      </c>
      <c r="H24" s="9">
        <v>3</v>
      </c>
      <c r="I24" s="9">
        <v>0</v>
      </c>
      <c r="J24" s="9">
        <v>0</v>
      </c>
      <c r="K24" s="1">
        <f t="shared" si="2"/>
        <v>69</v>
      </c>
    </row>
    <row r="25" spans="1:11" x14ac:dyDescent="0.2">
      <c r="A25" s="8" t="s">
        <v>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32</v>
      </c>
      <c r="I25" s="9">
        <v>1</v>
      </c>
      <c r="J25" s="9">
        <v>0</v>
      </c>
      <c r="K25" s="1">
        <f t="shared" si="2"/>
        <v>33</v>
      </c>
    </row>
    <row r="26" spans="1:11" x14ac:dyDescent="0.2">
      <c r="A26" s="8" t="s">
        <v>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4</v>
      </c>
      <c r="H26" s="9">
        <v>28</v>
      </c>
      <c r="I26" s="9">
        <v>52</v>
      </c>
      <c r="J26" s="9">
        <v>0</v>
      </c>
      <c r="K26" s="1">
        <f t="shared" si="2"/>
        <v>84</v>
      </c>
    </row>
    <row r="27" spans="1:11" x14ac:dyDescent="0.2">
      <c r="A27" s="12" t="s">
        <v>10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112</v>
      </c>
      <c r="K27" s="28">
        <f t="shared" si="2"/>
        <v>112</v>
      </c>
    </row>
    <row r="28" spans="1:11" x14ac:dyDescent="0.2">
      <c r="A28" s="15"/>
      <c r="B28" s="16">
        <f>SUM(B19:B27)</f>
        <v>48</v>
      </c>
      <c r="C28" s="16">
        <f t="shared" ref="C28:J28" si="3">SUM(C19:C27)</f>
        <v>70</v>
      </c>
      <c r="D28" s="16">
        <f t="shared" si="3"/>
        <v>55</v>
      </c>
      <c r="E28" s="16">
        <f t="shared" si="3"/>
        <v>99</v>
      </c>
      <c r="F28" s="16">
        <f t="shared" si="3"/>
        <v>23</v>
      </c>
      <c r="G28" s="16">
        <f t="shared" si="3"/>
        <v>82</v>
      </c>
      <c r="H28" s="16">
        <f t="shared" si="3"/>
        <v>63</v>
      </c>
      <c r="I28" s="16">
        <f t="shared" si="3"/>
        <v>54</v>
      </c>
      <c r="J28" s="16">
        <f t="shared" si="3"/>
        <v>112</v>
      </c>
      <c r="K28" s="1">
        <f>SUM(B19:J27)</f>
        <v>606</v>
      </c>
    </row>
    <row r="29" spans="1:11" x14ac:dyDescent="0.2">
      <c r="A29" s="15"/>
      <c r="B29" s="16"/>
      <c r="C29" s="16"/>
      <c r="D29" s="16"/>
      <c r="E29" s="16"/>
      <c r="F29" s="16"/>
      <c r="G29" s="16"/>
      <c r="H29" s="16"/>
      <c r="I29" s="16"/>
      <c r="J29" s="16"/>
    </row>
    <row r="30" spans="1:11" x14ac:dyDescent="0.2">
      <c r="A30" s="190" t="s">
        <v>16</v>
      </c>
      <c r="B30" s="190"/>
      <c r="C30" s="190"/>
      <c r="D30" s="190"/>
      <c r="E30" s="190"/>
      <c r="F30" s="190"/>
      <c r="G30" s="190"/>
      <c r="H30" s="190"/>
      <c r="I30" s="190"/>
      <c r="J30" s="190"/>
      <c r="K30" s="28"/>
    </row>
    <row r="31" spans="1:11" x14ac:dyDescent="0.2">
      <c r="A31" s="8" t="s">
        <v>2</v>
      </c>
      <c r="B31" s="9">
        <v>46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f>SUM(B31:J31)</f>
        <v>46</v>
      </c>
    </row>
    <row r="32" spans="1:11" x14ac:dyDescent="0.2">
      <c r="A32" s="8" t="s">
        <v>3</v>
      </c>
      <c r="B32" s="9">
        <v>0</v>
      </c>
      <c r="C32" s="9">
        <v>70</v>
      </c>
      <c r="D32" s="9">
        <v>1</v>
      </c>
      <c r="E32" s="9">
        <v>0</v>
      </c>
      <c r="F32" s="9">
        <v>0</v>
      </c>
      <c r="G32" s="9">
        <v>0</v>
      </c>
      <c r="H32" s="9">
        <v>0</v>
      </c>
      <c r="I32" s="9">
        <v>1</v>
      </c>
      <c r="J32" s="9">
        <v>0</v>
      </c>
      <c r="K32" s="1">
        <f t="shared" ref="K32:K39" si="4">SUM(B32:J32)</f>
        <v>72</v>
      </c>
    </row>
    <row r="33" spans="1:11" x14ac:dyDescent="0.2">
      <c r="A33" s="8" t="s">
        <v>4</v>
      </c>
      <c r="B33" s="9">
        <v>1</v>
      </c>
      <c r="C33" s="9">
        <v>0</v>
      </c>
      <c r="D33" s="9">
        <v>46</v>
      </c>
      <c r="E33" s="9">
        <v>1</v>
      </c>
      <c r="F33" s="9">
        <v>4</v>
      </c>
      <c r="G33" s="9">
        <v>0</v>
      </c>
      <c r="H33" s="9">
        <v>0</v>
      </c>
      <c r="I33" s="9">
        <v>0</v>
      </c>
      <c r="J33" s="9">
        <v>0</v>
      </c>
      <c r="K33" s="1">
        <f t="shared" si="4"/>
        <v>52</v>
      </c>
    </row>
    <row r="34" spans="1:11" x14ac:dyDescent="0.2">
      <c r="A34" s="8" t="s">
        <v>5</v>
      </c>
      <c r="B34" s="9">
        <v>0</v>
      </c>
      <c r="C34" s="9">
        <v>0</v>
      </c>
      <c r="D34" s="9">
        <v>2</v>
      </c>
      <c r="E34" s="9">
        <v>90</v>
      </c>
      <c r="F34" s="9">
        <v>4</v>
      </c>
      <c r="G34" s="9">
        <v>0</v>
      </c>
      <c r="H34" s="9">
        <v>0</v>
      </c>
      <c r="I34" s="9">
        <v>0</v>
      </c>
      <c r="J34" s="9">
        <v>0</v>
      </c>
      <c r="K34" s="1">
        <f t="shared" si="4"/>
        <v>96</v>
      </c>
    </row>
    <row r="35" spans="1:11" x14ac:dyDescent="0.2">
      <c r="A35" s="8" t="s">
        <v>6</v>
      </c>
      <c r="B35" s="9">
        <v>1</v>
      </c>
      <c r="C35" s="9">
        <v>0</v>
      </c>
      <c r="D35" s="9">
        <v>6</v>
      </c>
      <c r="E35" s="9">
        <v>8</v>
      </c>
      <c r="F35" s="9">
        <v>15</v>
      </c>
      <c r="G35" s="9">
        <v>12</v>
      </c>
      <c r="H35" s="9">
        <v>0</v>
      </c>
      <c r="I35" s="9">
        <v>0</v>
      </c>
      <c r="J35" s="9">
        <v>0</v>
      </c>
      <c r="K35" s="1">
        <f t="shared" si="4"/>
        <v>42</v>
      </c>
    </row>
    <row r="36" spans="1:11" x14ac:dyDescent="0.2">
      <c r="A36" s="8" t="s">
        <v>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66</v>
      </c>
      <c r="H36" s="9">
        <v>3</v>
      </c>
      <c r="I36" s="9">
        <v>0</v>
      </c>
      <c r="J36" s="9">
        <v>0</v>
      </c>
      <c r="K36" s="1">
        <f t="shared" si="4"/>
        <v>69</v>
      </c>
    </row>
    <row r="37" spans="1:11" x14ac:dyDescent="0.2">
      <c r="A37" s="8" t="s">
        <v>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32</v>
      </c>
      <c r="I37" s="9">
        <v>1</v>
      </c>
      <c r="J37" s="9">
        <v>0</v>
      </c>
      <c r="K37" s="1">
        <f t="shared" si="4"/>
        <v>33</v>
      </c>
    </row>
    <row r="38" spans="1:11" x14ac:dyDescent="0.2">
      <c r="A38" s="8" t="s">
        <v>9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4</v>
      </c>
      <c r="H38" s="9">
        <v>28</v>
      </c>
      <c r="I38" s="9">
        <v>52</v>
      </c>
      <c r="J38" s="9">
        <v>0</v>
      </c>
      <c r="K38" s="1">
        <f t="shared" si="4"/>
        <v>84</v>
      </c>
    </row>
    <row r="39" spans="1:11" x14ac:dyDescent="0.2">
      <c r="A39" s="12" t="s">
        <v>10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112</v>
      </c>
      <c r="K39" s="28">
        <f t="shared" si="4"/>
        <v>112</v>
      </c>
    </row>
    <row r="40" spans="1:11" x14ac:dyDescent="0.2">
      <c r="B40" s="1">
        <f>SUM(B31:B39)</f>
        <v>48</v>
      </c>
      <c r="C40" s="1">
        <f t="shared" ref="C40:J40" si="5">SUM(C31:C39)</f>
        <v>70</v>
      </c>
      <c r="D40" s="1">
        <f t="shared" si="5"/>
        <v>55</v>
      </c>
      <c r="E40" s="1">
        <f t="shared" si="5"/>
        <v>99</v>
      </c>
      <c r="F40" s="1">
        <f t="shared" si="5"/>
        <v>23</v>
      </c>
      <c r="G40" s="1">
        <f t="shared" si="5"/>
        <v>82</v>
      </c>
      <c r="H40" s="1">
        <f t="shared" si="5"/>
        <v>63</v>
      </c>
      <c r="I40" s="1">
        <f t="shared" si="5"/>
        <v>54</v>
      </c>
      <c r="J40" s="1">
        <f t="shared" si="5"/>
        <v>112</v>
      </c>
      <c r="K40" s="1">
        <f>SUM(B31:J39)</f>
        <v>606</v>
      </c>
    </row>
    <row r="43" spans="1:11" x14ac:dyDescent="0.2">
      <c r="A43" s="35" t="s">
        <v>89</v>
      </c>
      <c r="B43" s="34"/>
      <c r="C43" s="34"/>
      <c r="D43" s="34"/>
      <c r="E43" s="34"/>
      <c r="F43" s="34"/>
      <c r="G43" s="34"/>
      <c r="H43" s="34"/>
      <c r="I43" s="34"/>
      <c r="J43" s="34"/>
    </row>
    <row r="45" spans="1:11" x14ac:dyDescent="0.2">
      <c r="A45" s="10"/>
      <c r="B45" s="11" t="s">
        <v>2</v>
      </c>
      <c r="C45" s="11" t="s">
        <v>3</v>
      </c>
      <c r="D45" s="11" t="s">
        <v>4</v>
      </c>
      <c r="E45" s="11" t="s">
        <v>5</v>
      </c>
      <c r="F45" s="11" t="s">
        <v>6</v>
      </c>
      <c r="G45" s="11" t="s">
        <v>7</v>
      </c>
      <c r="H45" s="11" t="s">
        <v>8</v>
      </c>
      <c r="I45" s="11" t="s">
        <v>9</v>
      </c>
      <c r="J45" s="11" t="s">
        <v>10</v>
      </c>
      <c r="K45" s="11" t="s">
        <v>18</v>
      </c>
    </row>
    <row r="46" spans="1:11" x14ac:dyDescent="0.2">
      <c r="A46" s="191" t="s">
        <v>14</v>
      </c>
      <c r="B46" s="191"/>
      <c r="C46" s="191"/>
      <c r="D46" s="191"/>
      <c r="E46" s="191"/>
      <c r="F46" s="191"/>
      <c r="G46" s="191"/>
      <c r="H46" s="191"/>
      <c r="I46" s="191"/>
      <c r="J46" s="191"/>
      <c r="K46" s="24"/>
    </row>
    <row r="47" spans="1:11" x14ac:dyDescent="0.2">
      <c r="A47" s="8" t="s">
        <v>2</v>
      </c>
      <c r="B47" s="9">
        <v>23</v>
      </c>
      <c r="C47" s="9">
        <v>5</v>
      </c>
      <c r="D47" s="9">
        <v>12</v>
      </c>
      <c r="E47" s="9">
        <v>24</v>
      </c>
      <c r="F47" s="9">
        <v>0</v>
      </c>
      <c r="G47" s="9">
        <v>9</v>
      </c>
      <c r="H47" s="9">
        <v>3</v>
      </c>
      <c r="I47" s="9">
        <v>8</v>
      </c>
      <c r="J47" s="9">
        <v>0</v>
      </c>
      <c r="K47" s="1">
        <f>SUM(B47:J47)</f>
        <v>84</v>
      </c>
    </row>
    <row r="48" spans="1:11" x14ac:dyDescent="0.2">
      <c r="A48" s="8" t="s">
        <v>3</v>
      </c>
      <c r="B48" s="9">
        <v>5</v>
      </c>
      <c r="C48" s="9">
        <v>4</v>
      </c>
      <c r="D48" s="9">
        <v>60</v>
      </c>
      <c r="E48" s="9">
        <v>21</v>
      </c>
      <c r="F48" s="9">
        <v>22</v>
      </c>
      <c r="G48" s="9">
        <v>40</v>
      </c>
      <c r="H48" s="9">
        <v>6</v>
      </c>
      <c r="I48" s="9">
        <v>7</v>
      </c>
      <c r="J48" s="9">
        <v>0</v>
      </c>
      <c r="K48" s="1">
        <f t="shared" ref="K48:K55" si="6">SUM(B48:J48)</f>
        <v>165</v>
      </c>
    </row>
    <row r="49" spans="1:11" x14ac:dyDescent="0.2">
      <c r="A49" s="8" t="s">
        <v>4</v>
      </c>
      <c r="B49" s="9">
        <v>4</v>
      </c>
      <c r="C49" s="9">
        <v>4</v>
      </c>
      <c r="D49" s="9">
        <v>53</v>
      </c>
      <c r="E49" s="9">
        <v>31</v>
      </c>
      <c r="F49" s="9">
        <v>0</v>
      </c>
      <c r="G49" s="9">
        <v>9</v>
      </c>
      <c r="H49" s="9">
        <v>0</v>
      </c>
      <c r="I49" s="9">
        <v>3</v>
      </c>
      <c r="J49" s="9">
        <v>0</v>
      </c>
      <c r="K49" s="1">
        <f t="shared" si="6"/>
        <v>104</v>
      </c>
    </row>
    <row r="50" spans="1:11" x14ac:dyDescent="0.2">
      <c r="A50" s="8" t="s">
        <v>5</v>
      </c>
      <c r="B50" s="9">
        <v>13</v>
      </c>
      <c r="C50" s="9">
        <v>2</v>
      </c>
      <c r="D50" s="9">
        <v>69</v>
      </c>
      <c r="E50" s="9">
        <v>26</v>
      </c>
      <c r="F50" s="9">
        <v>3</v>
      </c>
      <c r="G50" s="9">
        <v>14</v>
      </c>
      <c r="H50" s="9">
        <v>0</v>
      </c>
      <c r="I50" s="9">
        <v>1</v>
      </c>
      <c r="J50" s="9">
        <v>0</v>
      </c>
      <c r="K50" s="1">
        <f t="shared" si="6"/>
        <v>128</v>
      </c>
    </row>
    <row r="51" spans="1:11" x14ac:dyDescent="0.2">
      <c r="A51" s="8" t="s">
        <v>6</v>
      </c>
      <c r="B51" s="9">
        <v>6</v>
      </c>
      <c r="C51" s="9">
        <v>0</v>
      </c>
      <c r="D51" s="9">
        <v>0</v>
      </c>
      <c r="E51" s="9">
        <v>1</v>
      </c>
      <c r="F51" s="9">
        <v>2</v>
      </c>
      <c r="G51" s="9">
        <v>14</v>
      </c>
      <c r="H51" s="9">
        <v>0</v>
      </c>
      <c r="I51" s="9">
        <v>5</v>
      </c>
      <c r="J51" s="9">
        <v>0</v>
      </c>
      <c r="K51" s="1">
        <f t="shared" si="6"/>
        <v>28</v>
      </c>
    </row>
    <row r="52" spans="1:11" x14ac:dyDescent="0.2">
      <c r="A52" s="8" t="s">
        <v>7</v>
      </c>
      <c r="B52" s="9">
        <v>2</v>
      </c>
      <c r="C52" s="9">
        <v>1</v>
      </c>
      <c r="D52" s="9">
        <v>0</v>
      </c>
      <c r="E52" s="9">
        <v>2</v>
      </c>
      <c r="F52" s="9">
        <v>7</v>
      </c>
      <c r="G52" s="9">
        <v>58</v>
      </c>
      <c r="H52" s="9">
        <v>0</v>
      </c>
      <c r="I52" s="9">
        <v>18</v>
      </c>
      <c r="J52" s="9">
        <v>0</v>
      </c>
      <c r="K52" s="1">
        <f t="shared" si="6"/>
        <v>88</v>
      </c>
    </row>
    <row r="53" spans="1:11" x14ac:dyDescent="0.2">
      <c r="A53" s="8" t="s">
        <v>8</v>
      </c>
      <c r="B53" s="9">
        <v>3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59</v>
      </c>
      <c r="I53" s="9">
        <v>0</v>
      </c>
      <c r="J53" s="9">
        <v>0</v>
      </c>
      <c r="K53" s="1">
        <f t="shared" si="6"/>
        <v>62</v>
      </c>
    </row>
    <row r="54" spans="1:11" x14ac:dyDescent="0.2">
      <c r="A54" s="8" t="s">
        <v>9</v>
      </c>
      <c r="B54" s="9">
        <v>7</v>
      </c>
      <c r="C54" s="9">
        <v>1</v>
      </c>
      <c r="D54" s="9">
        <v>6</v>
      </c>
      <c r="E54" s="9">
        <v>6</v>
      </c>
      <c r="F54" s="9">
        <v>21</v>
      </c>
      <c r="G54" s="9">
        <v>51</v>
      </c>
      <c r="H54" s="9">
        <v>0</v>
      </c>
      <c r="I54" s="9">
        <v>50</v>
      </c>
      <c r="J54" s="9">
        <v>5</v>
      </c>
      <c r="K54" s="1">
        <f t="shared" si="6"/>
        <v>147</v>
      </c>
    </row>
    <row r="55" spans="1:11" x14ac:dyDescent="0.2">
      <c r="A55" s="12" t="s">
        <v>10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26</v>
      </c>
      <c r="J55" s="13">
        <v>74</v>
      </c>
      <c r="K55" s="28">
        <f t="shared" si="6"/>
        <v>100</v>
      </c>
    </row>
    <row r="56" spans="1:11" x14ac:dyDescent="0.2">
      <c r="A56" s="8"/>
      <c r="B56" s="9">
        <f>SUM(B47:B55)</f>
        <v>63</v>
      </c>
      <c r="C56" s="9">
        <f t="shared" ref="C56:J56" si="7">SUM(C47:C55)</f>
        <v>17</v>
      </c>
      <c r="D56" s="9">
        <f t="shared" si="7"/>
        <v>200</v>
      </c>
      <c r="E56" s="9">
        <f t="shared" si="7"/>
        <v>111</v>
      </c>
      <c r="F56" s="9">
        <f t="shared" si="7"/>
        <v>55</v>
      </c>
      <c r="G56" s="9">
        <f t="shared" si="7"/>
        <v>195</v>
      </c>
      <c r="H56" s="9">
        <f t="shared" si="7"/>
        <v>68</v>
      </c>
      <c r="I56" s="9">
        <f t="shared" si="7"/>
        <v>118</v>
      </c>
      <c r="J56" s="9">
        <f t="shared" si="7"/>
        <v>79</v>
      </c>
      <c r="K56" s="1">
        <f>SUM(B47:J55)</f>
        <v>906</v>
      </c>
    </row>
    <row r="57" spans="1:11" x14ac:dyDescent="0.2">
      <c r="A57" s="15"/>
      <c r="B57" s="16"/>
      <c r="C57" s="16"/>
      <c r="D57" s="16"/>
      <c r="E57" s="16"/>
      <c r="F57" s="16"/>
      <c r="G57" s="16"/>
      <c r="H57" s="16"/>
      <c r="I57" s="16"/>
      <c r="J57" s="16"/>
    </row>
    <row r="58" spans="1:11" x14ac:dyDescent="0.2">
      <c r="A58" s="190" t="s">
        <v>15</v>
      </c>
      <c r="B58" s="190"/>
      <c r="C58" s="190"/>
      <c r="D58" s="190"/>
      <c r="E58" s="190"/>
      <c r="F58" s="190"/>
      <c r="G58" s="190"/>
      <c r="H58" s="190"/>
      <c r="I58" s="190"/>
      <c r="J58" s="190"/>
      <c r="K58" s="28"/>
    </row>
    <row r="59" spans="1:11" x14ac:dyDescent="0.2">
      <c r="A59" s="8" t="s">
        <v>2</v>
      </c>
      <c r="B59" s="9">
        <v>10</v>
      </c>
      <c r="C59" s="9">
        <v>20</v>
      </c>
      <c r="D59" s="9">
        <v>25</v>
      </c>
      <c r="E59" s="9">
        <v>1</v>
      </c>
      <c r="F59" s="9">
        <v>5</v>
      </c>
      <c r="G59" s="9">
        <v>0</v>
      </c>
      <c r="H59" s="9">
        <v>15</v>
      </c>
      <c r="I59" s="9">
        <v>4</v>
      </c>
      <c r="J59" s="9">
        <v>0</v>
      </c>
      <c r="K59" s="1">
        <f>SUM(B59:J59)</f>
        <v>80</v>
      </c>
    </row>
    <row r="60" spans="1:11" x14ac:dyDescent="0.2">
      <c r="A60" s="8" t="s">
        <v>3</v>
      </c>
      <c r="B60" s="9">
        <v>2</v>
      </c>
      <c r="C60" s="9">
        <v>88</v>
      </c>
      <c r="D60" s="9">
        <v>6</v>
      </c>
      <c r="E60" s="9">
        <v>7</v>
      </c>
      <c r="F60" s="9">
        <v>2</v>
      </c>
      <c r="G60" s="9">
        <v>0</v>
      </c>
      <c r="H60" s="9">
        <v>4</v>
      </c>
      <c r="I60" s="9">
        <v>0</v>
      </c>
      <c r="J60" s="9">
        <v>0</v>
      </c>
      <c r="K60" s="1">
        <f t="shared" ref="K60:K67" si="8">SUM(B60:J60)</f>
        <v>109</v>
      </c>
    </row>
    <row r="61" spans="1:11" x14ac:dyDescent="0.2">
      <c r="A61" s="8" t="s">
        <v>4</v>
      </c>
      <c r="B61" s="9">
        <v>6</v>
      </c>
      <c r="C61" s="9">
        <v>0</v>
      </c>
      <c r="D61" s="9">
        <v>48</v>
      </c>
      <c r="E61" s="9">
        <v>25</v>
      </c>
      <c r="F61" s="9">
        <v>1</v>
      </c>
      <c r="G61" s="9">
        <v>0</v>
      </c>
      <c r="H61" s="9">
        <v>0</v>
      </c>
      <c r="I61" s="9">
        <v>1</v>
      </c>
      <c r="J61" s="9">
        <v>0</v>
      </c>
      <c r="K61" s="1">
        <f t="shared" si="8"/>
        <v>81</v>
      </c>
    </row>
    <row r="62" spans="1:11" x14ac:dyDescent="0.2">
      <c r="A62" s="8" t="s">
        <v>5</v>
      </c>
      <c r="B62" s="9">
        <v>1</v>
      </c>
      <c r="C62" s="9">
        <v>9</v>
      </c>
      <c r="D62" s="9">
        <v>25</v>
      </c>
      <c r="E62" s="9">
        <v>92</v>
      </c>
      <c r="F62" s="9">
        <v>1</v>
      </c>
      <c r="G62" s="9">
        <v>0</v>
      </c>
      <c r="H62" s="9">
        <v>3</v>
      </c>
      <c r="I62" s="9">
        <v>0</v>
      </c>
      <c r="J62" s="9">
        <v>0</v>
      </c>
      <c r="K62" s="1">
        <f t="shared" si="8"/>
        <v>131</v>
      </c>
    </row>
    <row r="63" spans="1:11" x14ac:dyDescent="0.2">
      <c r="A63" s="8" t="s">
        <v>6</v>
      </c>
      <c r="B63" s="9">
        <v>8</v>
      </c>
      <c r="C63" s="9">
        <v>8</v>
      </c>
      <c r="D63" s="9">
        <v>13</v>
      </c>
      <c r="E63" s="9">
        <v>24</v>
      </c>
      <c r="F63" s="9">
        <v>7</v>
      </c>
      <c r="G63" s="9">
        <v>0</v>
      </c>
      <c r="H63" s="9">
        <v>2</v>
      </c>
      <c r="I63" s="9">
        <v>0</v>
      </c>
      <c r="J63" s="9">
        <v>0</v>
      </c>
      <c r="K63" s="1">
        <f t="shared" si="8"/>
        <v>62</v>
      </c>
    </row>
    <row r="64" spans="1:11" x14ac:dyDescent="0.2">
      <c r="A64" s="8" t="s">
        <v>7</v>
      </c>
      <c r="B64" s="9">
        <v>4</v>
      </c>
      <c r="C64" s="9">
        <v>0</v>
      </c>
      <c r="D64" s="9">
        <v>0</v>
      </c>
      <c r="E64" s="9">
        <v>0</v>
      </c>
      <c r="F64" s="9">
        <v>0</v>
      </c>
      <c r="G64" s="9">
        <v>34</v>
      </c>
      <c r="H64" s="9">
        <v>0</v>
      </c>
      <c r="I64" s="9">
        <v>26</v>
      </c>
      <c r="J64" s="9">
        <v>32</v>
      </c>
      <c r="K64" s="1">
        <f t="shared" si="8"/>
        <v>96</v>
      </c>
    </row>
    <row r="65" spans="1:11" x14ac:dyDescent="0.2">
      <c r="A65" s="8" t="s">
        <v>8</v>
      </c>
      <c r="B65" s="9">
        <v>0</v>
      </c>
      <c r="C65" s="9">
        <v>5</v>
      </c>
      <c r="D65" s="9">
        <v>0</v>
      </c>
      <c r="E65" s="9">
        <v>0</v>
      </c>
      <c r="F65" s="9">
        <v>0</v>
      </c>
      <c r="G65" s="9">
        <v>0</v>
      </c>
      <c r="H65" s="9">
        <v>48</v>
      </c>
      <c r="I65" s="9">
        <v>0</v>
      </c>
      <c r="J65" s="9">
        <v>0</v>
      </c>
      <c r="K65" s="1">
        <f t="shared" si="8"/>
        <v>53</v>
      </c>
    </row>
    <row r="66" spans="1:11" x14ac:dyDescent="0.2">
      <c r="A66" s="8" t="s">
        <v>9</v>
      </c>
      <c r="B66" s="9">
        <v>13</v>
      </c>
      <c r="C66" s="9">
        <v>0</v>
      </c>
      <c r="D66" s="9">
        <v>11</v>
      </c>
      <c r="E66" s="9">
        <v>0</v>
      </c>
      <c r="F66" s="9">
        <v>6</v>
      </c>
      <c r="G66" s="9">
        <v>31</v>
      </c>
      <c r="H66" s="9">
        <v>0</v>
      </c>
      <c r="I66" s="9">
        <v>23</v>
      </c>
      <c r="J66" s="9">
        <v>23</v>
      </c>
      <c r="K66" s="1">
        <f t="shared" si="8"/>
        <v>107</v>
      </c>
    </row>
    <row r="67" spans="1:11" x14ac:dyDescent="0.2">
      <c r="A67" s="12" t="s">
        <v>10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9</v>
      </c>
      <c r="H67" s="13">
        <v>0</v>
      </c>
      <c r="I67" s="13">
        <v>0</v>
      </c>
      <c r="J67" s="13">
        <v>140</v>
      </c>
      <c r="K67" s="28">
        <f t="shared" si="8"/>
        <v>149</v>
      </c>
    </row>
    <row r="68" spans="1:11" x14ac:dyDescent="0.2">
      <c r="A68" s="8"/>
      <c r="B68" s="9">
        <f>SUM(B59:B67)</f>
        <v>44</v>
      </c>
      <c r="C68" s="9">
        <f t="shared" ref="C68:J68" si="9">SUM(C59:C67)</f>
        <v>130</v>
      </c>
      <c r="D68" s="9">
        <f t="shared" si="9"/>
        <v>128</v>
      </c>
      <c r="E68" s="9">
        <f t="shared" si="9"/>
        <v>149</v>
      </c>
      <c r="F68" s="9">
        <f t="shared" si="9"/>
        <v>22</v>
      </c>
      <c r="G68" s="9">
        <f t="shared" si="9"/>
        <v>74</v>
      </c>
      <c r="H68" s="9">
        <f t="shared" si="9"/>
        <v>72</v>
      </c>
      <c r="I68" s="9">
        <f t="shared" si="9"/>
        <v>54</v>
      </c>
      <c r="J68" s="9">
        <f t="shared" si="9"/>
        <v>195</v>
      </c>
      <c r="K68" s="1">
        <f>SUM(B59:J67)</f>
        <v>868</v>
      </c>
    </row>
    <row r="69" spans="1:11" x14ac:dyDescent="0.2">
      <c r="A69" s="15"/>
      <c r="B69" s="16"/>
      <c r="C69" s="16"/>
      <c r="D69" s="16"/>
      <c r="E69" s="16"/>
      <c r="F69" s="16"/>
      <c r="G69" s="16"/>
      <c r="H69" s="16"/>
      <c r="I69" s="16"/>
      <c r="J69" s="16"/>
    </row>
    <row r="70" spans="1:11" x14ac:dyDescent="0.2">
      <c r="A70" s="190" t="s">
        <v>16</v>
      </c>
      <c r="B70" s="190"/>
      <c r="C70" s="190"/>
      <c r="D70" s="190"/>
      <c r="E70" s="190"/>
      <c r="F70" s="190"/>
      <c r="G70" s="190"/>
      <c r="H70" s="190"/>
      <c r="I70" s="190"/>
      <c r="J70" s="190"/>
      <c r="K70" s="28"/>
    </row>
    <row r="71" spans="1:11" x14ac:dyDescent="0.2">
      <c r="A71" s="8" t="s">
        <v>2</v>
      </c>
      <c r="B71" s="9">
        <v>41</v>
      </c>
      <c r="C71" s="9">
        <v>4</v>
      </c>
      <c r="D71" s="9">
        <v>19</v>
      </c>
      <c r="E71" s="9">
        <v>5</v>
      </c>
      <c r="F71" s="9">
        <v>2</v>
      </c>
      <c r="G71" s="9">
        <v>0</v>
      </c>
      <c r="H71" s="9">
        <v>9</v>
      </c>
      <c r="I71" s="9">
        <v>0</v>
      </c>
      <c r="J71" s="9">
        <v>0</v>
      </c>
      <c r="K71" s="1">
        <f>SUM(B71:J71)</f>
        <v>80</v>
      </c>
    </row>
    <row r="72" spans="1:11" x14ac:dyDescent="0.2">
      <c r="A72" s="8" t="s">
        <v>3</v>
      </c>
      <c r="B72" s="9">
        <v>0</v>
      </c>
      <c r="C72" s="9">
        <v>90</v>
      </c>
      <c r="D72" s="9">
        <v>5</v>
      </c>
      <c r="E72" s="9">
        <v>2</v>
      </c>
      <c r="F72" s="9">
        <v>0</v>
      </c>
      <c r="G72" s="9">
        <v>0</v>
      </c>
      <c r="H72" s="9">
        <v>8</v>
      </c>
      <c r="I72" s="9">
        <v>4</v>
      </c>
      <c r="J72" s="9">
        <v>0</v>
      </c>
      <c r="K72" s="1">
        <f t="shared" ref="K72:K79" si="10">SUM(B72:J72)</f>
        <v>109</v>
      </c>
    </row>
    <row r="73" spans="1:11" x14ac:dyDescent="0.2">
      <c r="A73" s="8" t="s">
        <v>4</v>
      </c>
      <c r="B73" s="9">
        <v>3</v>
      </c>
      <c r="C73" s="9">
        <v>5</v>
      </c>
      <c r="D73" s="9">
        <v>57</v>
      </c>
      <c r="E73" s="9">
        <v>15</v>
      </c>
      <c r="F73" s="9">
        <v>0</v>
      </c>
      <c r="G73" s="9">
        <v>0</v>
      </c>
      <c r="H73" s="9">
        <v>0</v>
      </c>
      <c r="I73" s="9">
        <v>1</v>
      </c>
      <c r="J73" s="9">
        <v>0</v>
      </c>
      <c r="K73" s="1">
        <f t="shared" si="10"/>
        <v>81</v>
      </c>
    </row>
    <row r="74" spans="1:11" x14ac:dyDescent="0.2">
      <c r="A74" s="8" t="s">
        <v>5</v>
      </c>
      <c r="B74" s="9">
        <v>6</v>
      </c>
      <c r="C74" s="9">
        <v>9</v>
      </c>
      <c r="D74" s="9">
        <v>21</v>
      </c>
      <c r="E74" s="9">
        <v>92</v>
      </c>
      <c r="F74" s="9">
        <v>1</v>
      </c>
      <c r="G74" s="9">
        <v>0</v>
      </c>
      <c r="H74" s="9">
        <v>1</v>
      </c>
      <c r="I74" s="9">
        <v>1</v>
      </c>
      <c r="J74" s="9">
        <v>0</v>
      </c>
      <c r="K74" s="1">
        <f t="shared" si="10"/>
        <v>131</v>
      </c>
    </row>
    <row r="75" spans="1:11" x14ac:dyDescent="0.2">
      <c r="A75" s="8" t="s">
        <v>6</v>
      </c>
      <c r="B75" s="9">
        <v>18</v>
      </c>
      <c r="C75" s="9">
        <v>19</v>
      </c>
      <c r="D75" s="9">
        <v>13</v>
      </c>
      <c r="E75" s="9">
        <v>6</v>
      </c>
      <c r="F75" s="9">
        <v>0</v>
      </c>
      <c r="G75" s="9">
        <v>0</v>
      </c>
      <c r="H75" s="9">
        <v>3</v>
      </c>
      <c r="I75" s="9">
        <v>3</v>
      </c>
      <c r="J75" s="9">
        <v>0</v>
      </c>
      <c r="K75" s="1">
        <f t="shared" si="10"/>
        <v>62</v>
      </c>
    </row>
    <row r="76" spans="1:11" x14ac:dyDescent="0.2">
      <c r="A76" s="8" t="s">
        <v>7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58</v>
      </c>
      <c r="H76" s="9">
        <v>0</v>
      </c>
      <c r="I76" s="9">
        <v>22</v>
      </c>
      <c r="J76" s="9">
        <v>16</v>
      </c>
      <c r="K76" s="1">
        <f t="shared" si="10"/>
        <v>96</v>
      </c>
    </row>
    <row r="77" spans="1:11" x14ac:dyDescent="0.2">
      <c r="A77" s="8" t="s">
        <v>8</v>
      </c>
      <c r="B77" s="9">
        <v>0</v>
      </c>
      <c r="C77" s="9">
        <v>4</v>
      </c>
      <c r="D77" s="9">
        <v>0</v>
      </c>
      <c r="E77" s="9">
        <v>0</v>
      </c>
      <c r="F77" s="9">
        <v>0</v>
      </c>
      <c r="G77" s="9">
        <v>0</v>
      </c>
      <c r="H77" s="9">
        <v>49</v>
      </c>
      <c r="I77" s="9">
        <v>0</v>
      </c>
      <c r="J77" s="9">
        <v>0</v>
      </c>
      <c r="K77" s="1">
        <f t="shared" si="10"/>
        <v>53</v>
      </c>
    </row>
    <row r="78" spans="1:11" x14ac:dyDescent="0.2">
      <c r="A78" s="8" t="s">
        <v>9</v>
      </c>
      <c r="B78" s="9">
        <v>5</v>
      </c>
      <c r="C78" s="9">
        <v>2</v>
      </c>
      <c r="D78" s="9">
        <v>3</v>
      </c>
      <c r="E78" s="9">
        <v>0</v>
      </c>
      <c r="F78" s="9">
        <v>2</v>
      </c>
      <c r="G78" s="9">
        <v>49</v>
      </c>
      <c r="H78" s="9">
        <v>0</v>
      </c>
      <c r="I78" s="9">
        <v>37</v>
      </c>
      <c r="J78" s="9">
        <v>9</v>
      </c>
      <c r="K78" s="1">
        <f t="shared" si="10"/>
        <v>107</v>
      </c>
    </row>
    <row r="79" spans="1:11" x14ac:dyDescent="0.2">
      <c r="A79" s="12" t="s">
        <v>10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1</v>
      </c>
      <c r="H79" s="13">
        <v>0</v>
      </c>
      <c r="I79" s="13">
        <v>0</v>
      </c>
      <c r="J79" s="13">
        <v>148</v>
      </c>
      <c r="K79" s="28">
        <f t="shared" si="10"/>
        <v>149</v>
      </c>
    </row>
    <row r="80" spans="1:11" x14ac:dyDescent="0.2">
      <c r="B80" s="1">
        <f>SUM(B71:B79)</f>
        <v>73</v>
      </c>
      <c r="C80" s="1">
        <f t="shared" ref="C80:J80" si="11">SUM(C71:C79)</f>
        <v>133</v>
      </c>
      <c r="D80" s="1">
        <f t="shared" si="11"/>
        <v>118</v>
      </c>
      <c r="E80" s="1">
        <f t="shared" si="11"/>
        <v>120</v>
      </c>
      <c r="F80" s="1">
        <f t="shared" si="11"/>
        <v>5</v>
      </c>
      <c r="G80" s="1">
        <f t="shared" si="11"/>
        <v>108</v>
      </c>
      <c r="H80" s="1">
        <f t="shared" si="11"/>
        <v>70</v>
      </c>
      <c r="I80" s="1">
        <f t="shared" si="11"/>
        <v>68</v>
      </c>
      <c r="J80" s="1">
        <f t="shared" si="11"/>
        <v>173</v>
      </c>
      <c r="K80" s="1">
        <f>SUM(B71:J79)</f>
        <v>868</v>
      </c>
    </row>
    <row r="83" spans="1:11" x14ac:dyDescent="0.2">
      <c r="A83" s="35" t="s">
        <v>90</v>
      </c>
      <c r="B83" s="34"/>
      <c r="C83" s="34"/>
      <c r="D83" s="34"/>
      <c r="E83" s="34"/>
      <c r="F83" s="34"/>
      <c r="G83" s="34"/>
      <c r="H83" s="34"/>
      <c r="I83" s="34"/>
      <c r="J83" s="34"/>
    </row>
    <row r="85" spans="1:11" x14ac:dyDescent="0.2">
      <c r="A85" s="10"/>
      <c r="B85" s="11" t="s">
        <v>2</v>
      </c>
      <c r="C85" s="11" t="s">
        <v>3</v>
      </c>
      <c r="D85" s="11" t="s">
        <v>4</v>
      </c>
      <c r="E85" s="11" t="s">
        <v>5</v>
      </c>
      <c r="F85" s="11" t="s">
        <v>6</v>
      </c>
      <c r="G85" s="11" t="s">
        <v>7</v>
      </c>
      <c r="H85" s="11" t="s">
        <v>8</v>
      </c>
      <c r="I85" s="11" t="s">
        <v>9</v>
      </c>
      <c r="J85" s="11" t="s">
        <v>10</v>
      </c>
      <c r="K85" s="11" t="s">
        <v>18</v>
      </c>
    </row>
    <row r="86" spans="1:11" x14ac:dyDescent="0.2">
      <c r="A86" s="191" t="s">
        <v>14</v>
      </c>
      <c r="B86" s="191"/>
      <c r="C86" s="191"/>
      <c r="D86" s="191"/>
      <c r="E86" s="191"/>
      <c r="F86" s="191"/>
      <c r="G86" s="191"/>
      <c r="H86" s="191"/>
      <c r="I86" s="191"/>
      <c r="J86" s="191"/>
      <c r="K86" s="24"/>
    </row>
    <row r="87" spans="1:11" x14ac:dyDescent="0.2">
      <c r="A87" s="8" t="s">
        <v>2</v>
      </c>
      <c r="B87" s="9">
        <v>57</v>
      </c>
      <c r="C87" s="9">
        <v>0</v>
      </c>
      <c r="D87" s="9">
        <v>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f>SUM(B87:J87)</f>
        <v>64</v>
      </c>
    </row>
    <row r="88" spans="1:11" x14ac:dyDescent="0.2">
      <c r="A88" s="8" t="s">
        <v>3</v>
      </c>
      <c r="B88" s="9">
        <v>1</v>
      </c>
      <c r="C88" s="9">
        <v>117</v>
      </c>
      <c r="D88" s="9">
        <v>0</v>
      </c>
      <c r="E88" s="9">
        <v>0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1">
        <f t="shared" ref="K88:K95" si="12">SUM(B88:J88)</f>
        <v>119</v>
      </c>
    </row>
    <row r="89" spans="1:11" x14ac:dyDescent="0.2">
      <c r="A89" s="8" t="s">
        <v>4</v>
      </c>
      <c r="B89" s="9">
        <v>0</v>
      </c>
      <c r="C89" s="9">
        <v>0</v>
      </c>
      <c r="D89" s="9">
        <v>74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f t="shared" si="12"/>
        <v>74</v>
      </c>
    </row>
    <row r="90" spans="1:11" x14ac:dyDescent="0.2">
      <c r="A90" s="8" t="s">
        <v>5</v>
      </c>
      <c r="B90" s="9">
        <v>0</v>
      </c>
      <c r="C90" s="9">
        <v>0</v>
      </c>
      <c r="D90" s="9">
        <v>0</v>
      </c>
      <c r="E90" s="9">
        <v>75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1">
        <f t="shared" si="12"/>
        <v>75</v>
      </c>
    </row>
    <row r="91" spans="1:11" x14ac:dyDescent="0.2">
      <c r="A91" s="8" t="s">
        <v>6</v>
      </c>
      <c r="B91" s="9">
        <v>1</v>
      </c>
      <c r="C91" s="9">
        <v>0</v>
      </c>
      <c r="D91" s="9">
        <v>0</v>
      </c>
      <c r="E91" s="9">
        <v>0</v>
      </c>
      <c r="F91" s="9">
        <v>14</v>
      </c>
      <c r="G91" s="9">
        <v>0</v>
      </c>
      <c r="H91" s="9">
        <v>0</v>
      </c>
      <c r="I91" s="9">
        <v>2</v>
      </c>
      <c r="J91" s="9">
        <v>0</v>
      </c>
      <c r="K91" s="1">
        <f t="shared" si="12"/>
        <v>17</v>
      </c>
    </row>
    <row r="92" spans="1:11" x14ac:dyDescent="0.2">
      <c r="A92" s="8" t="s">
        <v>7</v>
      </c>
      <c r="B92" s="9">
        <v>0</v>
      </c>
      <c r="C92" s="9">
        <v>0</v>
      </c>
      <c r="D92" s="9">
        <v>0</v>
      </c>
      <c r="E92" s="9">
        <v>0</v>
      </c>
      <c r="F92" s="9">
        <v>2</v>
      </c>
      <c r="G92" s="9">
        <v>53</v>
      </c>
      <c r="H92" s="9">
        <v>0</v>
      </c>
      <c r="I92" s="9">
        <v>3</v>
      </c>
      <c r="J92" s="9">
        <v>0</v>
      </c>
      <c r="K92" s="1">
        <f t="shared" si="12"/>
        <v>58</v>
      </c>
    </row>
    <row r="93" spans="1:11" x14ac:dyDescent="0.2">
      <c r="A93" s="8" t="s">
        <v>8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43</v>
      </c>
      <c r="I93" s="9">
        <v>2</v>
      </c>
      <c r="J93" s="9">
        <v>0</v>
      </c>
      <c r="K93" s="1">
        <f t="shared" si="12"/>
        <v>45</v>
      </c>
    </row>
    <row r="94" spans="1:11" x14ac:dyDescent="0.2">
      <c r="A94" s="8" t="s">
        <v>9</v>
      </c>
      <c r="B94" s="9">
        <v>0</v>
      </c>
      <c r="C94" s="9">
        <v>0</v>
      </c>
      <c r="D94" s="9">
        <v>0</v>
      </c>
      <c r="E94" s="9">
        <v>0</v>
      </c>
      <c r="F94" s="9">
        <v>1</v>
      </c>
      <c r="G94" s="9">
        <v>18</v>
      </c>
      <c r="H94" s="9">
        <v>3</v>
      </c>
      <c r="I94" s="9">
        <v>85</v>
      </c>
      <c r="J94" s="9">
        <v>0</v>
      </c>
      <c r="K94" s="1">
        <f t="shared" si="12"/>
        <v>107</v>
      </c>
    </row>
    <row r="95" spans="1:11" x14ac:dyDescent="0.2">
      <c r="A95" s="12" t="s">
        <v>10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73</v>
      </c>
      <c r="K95" s="28">
        <f t="shared" si="12"/>
        <v>73</v>
      </c>
    </row>
    <row r="96" spans="1:11" x14ac:dyDescent="0.2">
      <c r="A96" s="8"/>
      <c r="B96" s="9">
        <f>SUM(B87:B95)</f>
        <v>59</v>
      </c>
      <c r="C96" s="9">
        <f t="shared" ref="C96:J96" si="13">SUM(C87:C95)</f>
        <v>117</v>
      </c>
      <c r="D96" s="9">
        <f t="shared" si="13"/>
        <v>81</v>
      </c>
      <c r="E96" s="9">
        <f t="shared" si="13"/>
        <v>75</v>
      </c>
      <c r="F96" s="9">
        <f t="shared" si="13"/>
        <v>18</v>
      </c>
      <c r="G96" s="9">
        <f t="shared" si="13"/>
        <v>71</v>
      </c>
      <c r="H96" s="9">
        <f t="shared" si="13"/>
        <v>46</v>
      </c>
      <c r="I96" s="9">
        <f t="shared" si="13"/>
        <v>92</v>
      </c>
      <c r="J96" s="9">
        <f t="shared" si="13"/>
        <v>73</v>
      </c>
      <c r="K96" s="1">
        <f>SUM(B87:J95)</f>
        <v>632</v>
      </c>
    </row>
    <row r="97" spans="1:11" x14ac:dyDescent="0.2">
      <c r="A97" s="8"/>
      <c r="B97" s="9"/>
      <c r="C97" s="9"/>
      <c r="D97" s="9"/>
      <c r="E97" s="9"/>
      <c r="F97" s="9"/>
      <c r="G97" s="9"/>
      <c r="H97" s="9"/>
      <c r="I97" s="9"/>
      <c r="J97" s="9"/>
    </row>
    <row r="98" spans="1:11" x14ac:dyDescent="0.2">
      <c r="A98" s="191" t="s">
        <v>15</v>
      </c>
      <c r="B98" s="191"/>
      <c r="C98" s="191"/>
      <c r="D98" s="191"/>
      <c r="E98" s="191"/>
      <c r="F98" s="191"/>
      <c r="G98" s="191"/>
      <c r="H98" s="191"/>
      <c r="I98" s="191"/>
      <c r="J98" s="191"/>
      <c r="K98" s="24"/>
    </row>
    <row r="99" spans="1:11" x14ac:dyDescent="0.2">
      <c r="A99" s="8" t="s">
        <v>2</v>
      </c>
      <c r="B99" s="9">
        <v>45</v>
      </c>
      <c r="C99" s="9">
        <v>0</v>
      </c>
      <c r="D99" s="9">
        <v>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f>SUM(B99:J99)</f>
        <v>46</v>
      </c>
    </row>
    <row r="100" spans="1:11" x14ac:dyDescent="0.2">
      <c r="A100" s="8" t="s">
        <v>3</v>
      </c>
      <c r="B100" s="9">
        <v>0</v>
      </c>
      <c r="C100" s="9">
        <v>72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1">
        <f t="shared" ref="K100:K107" si="14">SUM(B100:J100)</f>
        <v>72</v>
      </c>
    </row>
    <row r="101" spans="1:11" x14ac:dyDescent="0.2">
      <c r="A101" s="8" t="s">
        <v>4</v>
      </c>
      <c r="B101" s="9">
        <v>1</v>
      </c>
      <c r="C101" s="9">
        <v>0</v>
      </c>
      <c r="D101" s="9">
        <v>47</v>
      </c>
      <c r="E101" s="9">
        <v>0</v>
      </c>
      <c r="F101" s="9">
        <v>4</v>
      </c>
      <c r="G101" s="9">
        <v>0</v>
      </c>
      <c r="H101" s="9">
        <v>0</v>
      </c>
      <c r="I101" s="9">
        <v>0</v>
      </c>
      <c r="J101" s="9">
        <v>0</v>
      </c>
      <c r="K101" s="1">
        <f t="shared" si="14"/>
        <v>52</v>
      </c>
    </row>
    <row r="102" spans="1:11" x14ac:dyDescent="0.2">
      <c r="A102" s="8" t="s">
        <v>5</v>
      </c>
      <c r="B102" s="9">
        <v>0</v>
      </c>
      <c r="C102" s="9">
        <v>0</v>
      </c>
      <c r="D102" s="9">
        <v>2</v>
      </c>
      <c r="E102" s="9">
        <v>90</v>
      </c>
      <c r="F102" s="9">
        <v>4</v>
      </c>
      <c r="G102" s="9">
        <v>0</v>
      </c>
      <c r="H102" s="9">
        <v>0</v>
      </c>
      <c r="I102" s="9">
        <v>0</v>
      </c>
      <c r="J102" s="9">
        <v>0</v>
      </c>
      <c r="K102" s="1">
        <f t="shared" si="14"/>
        <v>96</v>
      </c>
    </row>
    <row r="103" spans="1:11" x14ac:dyDescent="0.2">
      <c r="A103" s="8" t="s">
        <v>6</v>
      </c>
      <c r="B103" s="9">
        <v>2</v>
      </c>
      <c r="C103" s="9">
        <v>0</v>
      </c>
      <c r="D103" s="9">
        <v>6</v>
      </c>
      <c r="E103" s="9">
        <v>8</v>
      </c>
      <c r="F103" s="9">
        <v>20</v>
      </c>
      <c r="G103" s="9">
        <v>6</v>
      </c>
      <c r="H103" s="9">
        <v>0</v>
      </c>
      <c r="I103" s="9">
        <v>0</v>
      </c>
      <c r="J103" s="9">
        <v>0</v>
      </c>
      <c r="K103" s="1">
        <f t="shared" si="14"/>
        <v>42</v>
      </c>
    </row>
    <row r="104" spans="1:11" x14ac:dyDescent="0.2">
      <c r="A104" s="8" t="s">
        <v>7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65</v>
      </c>
      <c r="H104" s="9">
        <v>0</v>
      </c>
      <c r="I104" s="9">
        <v>4</v>
      </c>
      <c r="J104" s="9">
        <v>0</v>
      </c>
      <c r="K104" s="1">
        <f t="shared" si="14"/>
        <v>69</v>
      </c>
    </row>
    <row r="105" spans="1:11" x14ac:dyDescent="0.2">
      <c r="A105" s="8" t="s">
        <v>8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33</v>
      </c>
      <c r="I105" s="9">
        <v>0</v>
      </c>
      <c r="J105" s="9">
        <v>0</v>
      </c>
      <c r="K105" s="1">
        <f t="shared" si="14"/>
        <v>33</v>
      </c>
    </row>
    <row r="106" spans="1:11" x14ac:dyDescent="0.2">
      <c r="A106" s="8" t="s">
        <v>9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5</v>
      </c>
      <c r="H106" s="9">
        <v>0</v>
      </c>
      <c r="I106" s="9">
        <v>79</v>
      </c>
      <c r="J106" s="9">
        <v>0</v>
      </c>
      <c r="K106" s="1">
        <f t="shared" si="14"/>
        <v>84</v>
      </c>
    </row>
    <row r="107" spans="1:11" x14ac:dyDescent="0.2">
      <c r="A107" s="12" t="s">
        <v>10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112</v>
      </c>
      <c r="K107" s="28">
        <f t="shared" si="14"/>
        <v>112</v>
      </c>
    </row>
    <row r="108" spans="1:11" x14ac:dyDescent="0.2">
      <c r="A108" s="8"/>
      <c r="B108" s="9">
        <f>SUM(B99:B107)</f>
        <v>48</v>
      </c>
      <c r="C108" s="9">
        <f t="shared" ref="C108:J108" si="15">SUM(C99:C107)</f>
        <v>72</v>
      </c>
      <c r="D108" s="9">
        <f t="shared" si="15"/>
        <v>56</v>
      </c>
      <c r="E108" s="9">
        <f t="shared" si="15"/>
        <v>98</v>
      </c>
      <c r="F108" s="9">
        <f t="shared" si="15"/>
        <v>28</v>
      </c>
      <c r="G108" s="9">
        <f t="shared" si="15"/>
        <v>76</v>
      </c>
      <c r="H108" s="9">
        <f t="shared" si="15"/>
        <v>33</v>
      </c>
      <c r="I108" s="9">
        <f t="shared" si="15"/>
        <v>83</v>
      </c>
      <c r="J108" s="9">
        <f t="shared" si="15"/>
        <v>112</v>
      </c>
      <c r="K108" s="1">
        <f>SUM(B99:J107)</f>
        <v>606</v>
      </c>
    </row>
    <row r="109" spans="1:11" x14ac:dyDescent="0.2">
      <c r="A109" s="8"/>
      <c r="B109" s="9"/>
      <c r="C109" s="9"/>
      <c r="D109" s="9"/>
      <c r="E109" s="9"/>
      <c r="F109" s="9"/>
      <c r="G109" s="9"/>
      <c r="H109" s="9"/>
      <c r="I109" s="9"/>
      <c r="J109" s="9"/>
    </row>
    <row r="110" spans="1:11" x14ac:dyDescent="0.2">
      <c r="A110" s="191" t="s">
        <v>16</v>
      </c>
      <c r="B110" s="191"/>
      <c r="C110" s="191"/>
      <c r="D110" s="191"/>
      <c r="E110" s="191"/>
      <c r="F110" s="191"/>
      <c r="G110" s="191"/>
      <c r="H110" s="191"/>
      <c r="I110" s="191"/>
      <c r="J110" s="191"/>
      <c r="K110" s="24"/>
    </row>
    <row r="111" spans="1:11" x14ac:dyDescent="0.2">
      <c r="A111" s="8" t="s">
        <v>2</v>
      </c>
      <c r="B111" s="9">
        <v>45</v>
      </c>
      <c r="C111" s="9">
        <v>0</v>
      </c>
      <c r="D111" s="9">
        <v>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f>SUM(B111:J111)</f>
        <v>46</v>
      </c>
    </row>
    <row r="112" spans="1:11" x14ac:dyDescent="0.2">
      <c r="A112" s="8" t="s">
        <v>3</v>
      </c>
      <c r="B112" s="9">
        <v>0</v>
      </c>
      <c r="C112" s="9">
        <v>72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1">
        <f t="shared" ref="K112:K119" si="16">SUM(B112:J112)</f>
        <v>72</v>
      </c>
    </row>
    <row r="113" spans="1:11" x14ac:dyDescent="0.2">
      <c r="A113" s="8" t="s">
        <v>4</v>
      </c>
      <c r="B113" s="9">
        <v>1</v>
      </c>
      <c r="C113" s="9">
        <v>0</v>
      </c>
      <c r="D113" s="9">
        <v>47</v>
      </c>
      <c r="E113" s="9">
        <v>0</v>
      </c>
      <c r="F113" s="9">
        <v>4</v>
      </c>
      <c r="G113" s="9">
        <v>0</v>
      </c>
      <c r="H113" s="9">
        <v>0</v>
      </c>
      <c r="I113" s="9">
        <v>0</v>
      </c>
      <c r="J113" s="9">
        <v>0</v>
      </c>
      <c r="K113" s="1">
        <f t="shared" si="16"/>
        <v>52</v>
      </c>
    </row>
    <row r="114" spans="1:11" x14ac:dyDescent="0.2">
      <c r="A114" s="8" t="s">
        <v>5</v>
      </c>
      <c r="B114" s="9">
        <v>0</v>
      </c>
      <c r="C114" s="9">
        <v>0</v>
      </c>
      <c r="D114" s="9">
        <v>2</v>
      </c>
      <c r="E114" s="9">
        <v>90</v>
      </c>
      <c r="F114" s="9">
        <v>4</v>
      </c>
      <c r="G114" s="9">
        <v>0</v>
      </c>
      <c r="H114" s="9">
        <v>0</v>
      </c>
      <c r="I114" s="9">
        <v>0</v>
      </c>
      <c r="J114" s="9">
        <v>0</v>
      </c>
      <c r="K114" s="1">
        <f t="shared" si="16"/>
        <v>96</v>
      </c>
    </row>
    <row r="115" spans="1:11" x14ac:dyDescent="0.2">
      <c r="A115" s="8" t="s">
        <v>6</v>
      </c>
      <c r="B115" s="9">
        <v>4</v>
      </c>
      <c r="C115" s="9">
        <v>0</v>
      </c>
      <c r="D115" s="9">
        <v>5</v>
      </c>
      <c r="E115" s="9">
        <v>6</v>
      </c>
      <c r="F115" s="9">
        <v>27</v>
      </c>
      <c r="G115" s="9">
        <v>0</v>
      </c>
      <c r="H115" s="9">
        <v>0</v>
      </c>
      <c r="I115" s="9">
        <v>0</v>
      </c>
      <c r="J115" s="9">
        <v>0</v>
      </c>
      <c r="K115" s="1">
        <f t="shared" si="16"/>
        <v>42</v>
      </c>
    </row>
    <row r="116" spans="1:11" x14ac:dyDescent="0.2">
      <c r="A116" s="8" t="s">
        <v>7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66</v>
      </c>
      <c r="H116" s="9">
        <v>0</v>
      </c>
      <c r="I116" s="9">
        <v>3</v>
      </c>
      <c r="J116" s="9">
        <v>0</v>
      </c>
      <c r="K116" s="1">
        <f t="shared" si="16"/>
        <v>69</v>
      </c>
    </row>
    <row r="117" spans="1:11" x14ac:dyDescent="0.2">
      <c r="A117" s="8" t="s">
        <v>8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33</v>
      </c>
      <c r="I117" s="9">
        <v>0</v>
      </c>
      <c r="J117" s="9">
        <v>0</v>
      </c>
      <c r="K117" s="1">
        <f t="shared" si="16"/>
        <v>33</v>
      </c>
    </row>
    <row r="118" spans="1:11" x14ac:dyDescent="0.2">
      <c r="A118" s="8" t="s">
        <v>9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7</v>
      </c>
      <c r="H118" s="9">
        <v>0</v>
      </c>
      <c r="I118" s="9">
        <v>77</v>
      </c>
      <c r="J118" s="9">
        <v>0</v>
      </c>
      <c r="K118" s="1">
        <f t="shared" si="16"/>
        <v>84</v>
      </c>
    </row>
    <row r="119" spans="1:11" x14ac:dyDescent="0.2">
      <c r="A119" s="12" t="s">
        <v>10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112</v>
      </c>
      <c r="K119" s="28">
        <f t="shared" si="16"/>
        <v>112</v>
      </c>
    </row>
    <row r="120" spans="1:11" x14ac:dyDescent="0.2">
      <c r="B120" s="1">
        <f>SUM(B111:B119)</f>
        <v>50</v>
      </c>
      <c r="C120" s="1">
        <f t="shared" ref="C120:J120" si="17">SUM(C111:C119)</f>
        <v>72</v>
      </c>
      <c r="D120" s="1">
        <f t="shared" si="17"/>
        <v>55</v>
      </c>
      <c r="E120" s="1">
        <f t="shared" si="17"/>
        <v>96</v>
      </c>
      <c r="F120" s="1">
        <f t="shared" si="17"/>
        <v>35</v>
      </c>
      <c r="G120" s="1">
        <f t="shared" si="17"/>
        <v>73</v>
      </c>
      <c r="H120" s="1">
        <f t="shared" si="17"/>
        <v>33</v>
      </c>
      <c r="I120" s="1">
        <f t="shared" si="17"/>
        <v>80</v>
      </c>
      <c r="J120" s="1">
        <f t="shared" si="17"/>
        <v>112</v>
      </c>
      <c r="K120" s="1">
        <f>SUM(B111:J119)</f>
        <v>606</v>
      </c>
    </row>
  </sheetData>
  <mergeCells count="9">
    <mergeCell ref="A70:J70"/>
    <mergeCell ref="A86:J86"/>
    <mergeCell ref="A98:J98"/>
    <mergeCell ref="A110:J110"/>
    <mergeCell ref="A6:J6"/>
    <mergeCell ref="A18:J18"/>
    <mergeCell ref="A30:J30"/>
    <mergeCell ref="A46:J46"/>
    <mergeCell ref="A58:J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24"/>
  <sheetViews>
    <sheetView workbookViewId="0"/>
  </sheetViews>
  <sheetFormatPr baseColWidth="10" defaultRowHeight="15" x14ac:dyDescent="0.2"/>
  <cols>
    <col min="1" max="1" width="39" customWidth="1"/>
    <col min="2" max="4" width="15.83203125" customWidth="1"/>
  </cols>
  <sheetData>
    <row r="1" spans="1:4" ht="19" x14ac:dyDescent="0.25">
      <c r="A1" s="41" t="s">
        <v>52</v>
      </c>
    </row>
    <row r="2" spans="1:4" ht="15" customHeight="1" x14ac:dyDescent="0.25">
      <c r="A2" s="41"/>
    </row>
    <row r="3" spans="1:4" x14ac:dyDescent="0.2">
      <c r="A3" s="60" t="s">
        <v>58</v>
      </c>
    </row>
    <row r="4" spans="1:4" x14ac:dyDescent="0.2">
      <c r="A4" s="193" t="s">
        <v>53</v>
      </c>
      <c r="B4" s="195" t="s">
        <v>30</v>
      </c>
      <c r="C4" s="195"/>
      <c r="D4" s="65" t="s">
        <v>31</v>
      </c>
    </row>
    <row r="5" spans="1:4" x14ac:dyDescent="0.2">
      <c r="A5" s="194"/>
      <c r="B5" s="66">
        <v>1995</v>
      </c>
      <c r="C5" s="66">
        <v>2015</v>
      </c>
      <c r="D5" s="66">
        <v>2015</v>
      </c>
    </row>
    <row r="6" spans="1:4" x14ac:dyDescent="0.2">
      <c r="A6" s="63" t="s">
        <v>54</v>
      </c>
      <c r="B6" s="64"/>
      <c r="C6" s="64"/>
      <c r="D6" s="64"/>
    </row>
    <row r="7" spans="1:4" x14ac:dyDescent="0.2">
      <c r="A7" s="61" t="s">
        <v>42</v>
      </c>
      <c r="B7" s="70">
        <f>('Error Matrix'!B7+'Error Matrix'!C8+'Error Matrix'!D9+'Error Matrix'!E10+'Error Matrix'!F11+'Error Matrix'!G12+'Error Matrix'!H13+'Error Matrix'!I14+'Error Matrix'!J15)/'Error Matrix'!K16</f>
        <v>0.92246835443037978</v>
      </c>
      <c r="C7" s="70">
        <f>('Error Matrix'!B19+'Error Matrix'!C20+'Error Matrix'!D21+'Error Matrix'!E22+'Error Matrix'!F23+'Error Matrix'!G24+'Error Matrix'!H25+'Error Matrix'!I26+'Error Matrix'!J27)/'Error Matrix'!K28</f>
        <v>0.8729372937293729</v>
      </c>
      <c r="D7" s="70">
        <f>('Error Matrix'!B31+'Error Matrix'!C32+'Error Matrix'!D33+'Error Matrix'!E34+'Error Matrix'!F35+'Error Matrix'!G36+'Error Matrix'!H37+'Error Matrix'!I38+'Error Matrix'!J39)/'Error Matrix'!K40</f>
        <v>0.8729372937293729</v>
      </c>
    </row>
    <row r="8" spans="1:4" x14ac:dyDescent="0.2">
      <c r="A8" s="61" t="s">
        <v>43</v>
      </c>
      <c r="B8" s="70">
        <f>('Error Matrix'!B47+'Error Matrix'!C48+'Error Matrix'!D49+'Error Matrix'!E50+'Error Matrix'!F51+'Error Matrix'!G52+'Error Matrix'!H53+'Error Matrix'!I54+'Error Matrix'!J55)/'Error Matrix'!K56</f>
        <v>0.38520971302428259</v>
      </c>
      <c r="C8" s="70">
        <f>('Error Matrix'!B59+'Error Matrix'!C60+'Error Matrix'!D61+'Error Matrix'!E62+'Error Matrix'!F63+'Error Matrix'!G64+'Error Matrix'!H65+'Error Matrix'!I66+'Error Matrix'!J67)/'Error Matrix'!K68</f>
        <v>0.56451612903225812</v>
      </c>
      <c r="D8" s="70">
        <f>('Error Matrix'!B71+'Error Matrix'!C72+'Error Matrix'!D73+'Error Matrix'!E74+'Error Matrix'!F75+'Error Matrix'!G76+'Error Matrix'!H77+'Error Matrix'!I78+'Error Matrix'!J79)/'Error Matrix'!K80</f>
        <v>0.65898617511520741</v>
      </c>
    </row>
    <row r="9" spans="1:4" x14ac:dyDescent="0.2">
      <c r="A9" s="67" t="s">
        <v>32</v>
      </c>
      <c r="B9" s="71">
        <f>('Error Matrix'!B87+'Error Matrix'!C88+'Error Matrix'!D89+'Error Matrix'!E90+'Error Matrix'!F91+'Error Matrix'!G92+'Error Matrix'!H93+'Error Matrix'!I94+'Error Matrix'!J95)/'Error Matrix'!K96</f>
        <v>0.935126582278481</v>
      </c>
      <c r="C9" s="71">
        <f>('Error Matrix'!B99+'Error Matrix'!C100+'Error Matrix'!D101+'Error Matrix'!E102+'Error Matrix'!F103+'Error Matrix'!G104+'Error Matrix'!H105+'Error Matrix'!I106+'Error Matrix'!J107)/'Error Matrix'!K108</f>
        <v>0.92904290429042902</v>
      </c>
      <c r="D9" s="71">
        <f>('Error Matrix'!B111+'Error Matrix'!C112+'Error Matrix'!D113+'Error Matrix'!E114+'Error Matrix'!F115+'Error Matrix'!G116+'Error Matrix'!H117+'Error Matrix'!I118+'Error Matrix'!J119)/'Error Matrix'!K120</f>
        <v>0.93894389438943893</v>
      </c>
    </row>
    <row r="10" spans="1:4" x14ac:dyDescent="0.2">
      <c r="A10" s="63" t="s">
        <v>55</v>
      </c>
      <c r="B10" s="64"/>
      <c r="C10" s="64"/>
      <c r="D10" s="64"/>
    </row>
    <row r="11" spans="1:4" ht="30" x14ac:dyDescent="0.2">
      <c r="A11" s="61" t="s">
        <v>56</v>
      </c>
      <c r="B11" s="62" t="s">
        <v>111</v>
      </c>
      <c r="C11" s="62" t="s">
        <v>109</v>
      </c>
      <c r="D11" s="62" t="s">
        <v>110</v>
      </c>
    </row>
    <row r="12" spans="1:4" x14ac:dyDescent="0.2">
      <c r="A12" s="68" t="s">
        <v>57</v>
      </c>
      <c r="B12" s="69"/>
      <c r="C12" s="192" t="s">
        <v>112</v>
      </c>
      <c r="D12" s="192"/>
    </row>
    <row r="15" spans="1:4" x14ac:dyDescent="0.2">
      <c r="A15" s="184" t="s">
        <v>146</v>
      </c>
      <c r="B15" s="185"/>
      <c r="C15" s="185"/>
      <c r="D15" s="185"/>
    </row>
    <row r="16" spans="1:4" x14ac:dyDescent="0.2">
      <c r="A16" s="193" t="s">
        <v>53</v>
      </c>
      <c r="B16" s="195" t="s">
        <v>30</v>
      </c>
      <c r="C16" s="195"/>
      <c r="D16" s="139" t="s">
        <v>31</v>
      </c>
    </row>
    <row r="17" spans="1:4" x14ac:dyDescent="0.2">
      <c r="A17" s="194"/>
      <c r="B17" s="66">
        <v>1995</v>
      </c>
      <c r="C17" s="66">
        <v>2015</v>
      </c>
      <c r="D17" s="66">
        <v>2015</v>
      </c>
    </row>
    <row r="18" spans="1:4" x14ac:dyDescent="0.2">
      <c r="A18" s="63" t="s">
        <v>54</v>
      </c>
      <c r="B18" s="64"/>
      <c r="C18" s="64"/>
      <c r="D18" s="64"/>
    </row>
    <row r="19" spans="1:4" x14ac:dyDescent="0.2">
      <c r="A19" s="61" t="s">
        <v>42</v>
      </c>
      <c r="B19" s="70">
        <f>'AA L SetA 1995'!M42</f>
        <v>0.91200877507272571</v>
      </c>
      <c r="C19" s="70">
        <f>'AA L SetA 2015'!M42</f>
        <v>0.91932361836383691</v>
      </c>
      <c r="D19" s="70">
        <f>'AA L SetB 2015'!M42</f>
        <v>0.91932361836383691</v>
      </c>
    </row>
    <row r="20" spans="1:4" x14ac:dyDescent="0.2">
      <c r="A20" s="61" t="s">
        <v>43</v>
      </c>
      <c r="B20" s="70">
        <f>'AA J SetA 1995'!M42</f>
        <v>0.64784716448678181</v>
      </c>
      <c r="C20" s="70">
        <f>'AA P SetA 2015'!M42</f>
        <v>0.56008575305708674</v>
      </c>
      <c r="D20" s="70">
        <f>'AA P SetB 2015'!M42</f>
        <v>0.71425585441749861</v>
      </c>
    </row>
    <row r="21" spans="1:4" x14ac:dyDescent="0.2">
      <c r="A21" s="67" t="s">
        <v>32</v>
      </c>
      <c r="B21" s="71">
        <f>'AA L+J SetA 1995'!M42</f>
        <v>0.9382503257908561</v>
      </c>
      <c r="C21" s="71">
        <f>'AA L+P SetA 2015'!M42</f>
        <v>0.92956333389817014</v>
      </c>
      <c r="D21" s="71">
        <f>'AA L+P SetB 2015'!M42</f>
        <v>0.93791247646133047</v>
      </c>
    </row>
    <row r="22" spans="1:4" x14ac:dyDescent="0.2">
      <c r="A22" s="63" t="s">
        <v>55</v>
      </c>
      <c r="B22" s="64"/>
      <c r="C22" s="64"/>
      <c r="D22" s="64"/>
    </row>
    <row r="23" spans="1:4" ht="30" x14ac:dyDescent="0.2">
      <c r="A23" s="61" t="s">
        <v>56</v>
      </c>
      <c r="B23" s="62" t="s">
        <v>111</v>
      </c>
      <c r="C23" s="62" t="s">
        <v>109</v>
      </c>
      <c r="D23" s="62" t="s">
        <v>110</v>
      </c>
    </row>
    <row r="24" spans="1:4" x14ac:dyDescent="0.2">
      <c r="A24" s="68" t="s">
        <v>57</v>
      </c>
      <c r="B24" s="138"/>
      <c r="C24" s="192" t="s">
        <v>112</v>
      </c>
      <c r="D24" s="192"/>
    </row>
  </sheetData>
  <mergeCells count="6">
    <mergeCell ref="C24:D24"/>
    <mergeCell ref="A4:A5"/>
    <mergeCell ref="C12:D12"/>
    <mergeCell ref="B4:C4"/>
    <mergeCell ref="A16:A17"/>
    <mergeCell ref="B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53"/>
  <sheetViews>
    <sheetView zoomScale="90" zoomScaleNormal="90" workbookViewId="0"/>
  </sheetViews>
  <sheetFormatPr baseColWidth="10" defaultRowHeight="15" x14ac:dyDescent="0.2"/>
  <cols>
    <col min="1" max="1" width="15.83203125" customWidth="1"/>
    <col min="9" max="9" width="15.83203125" customWidth="1"/>
  </cols>
  <sheetData>
    <row r="1" spans="1:15" ht="19" x14ac:dyDescent="0.25">
      <c r="A1" s="41" t="s">
        <v>28</v>
      </c>
    </row>
    <row r="2" spans="1:15" ht="15" customHeight="1" x14ac:dyDescent="0.25">
      <c r="A2" s="41"/>
    </row>
    <row r="3" spans="1:15" x14ac:dyDescent="0.2">
      <c r="A3" s="60" t="s">
        <v>50</v>
      </c>
      <c r="I3" s="184" t="s">
        <v>51</v>
      </c>
      <c r="J3" s="186"/>
      <c r="K3" s="186"/>
      <c r="L3" s="186"/>
      <c r="M3" s="186"/>
      <c r="N3" s="186"/>
      <c r="O3" s="186"/>
    </row>
    <row r="4" spans="1:15" x14ac:dyDescent="0.2">
      <c r="A4" s="198" t="s">
        <v>29</v>
      </c>
      <c r="B4" s="197" t="s">
        <v>30</v>
      </c>
      <c r="C4" s="197"/>
      <c r="D4" s="197"/>
      <c r="E4" s="197"/>
      <c r="F4" s="197" t="s">
        <v>31</v>
      </c>
      <c r="G4" s="197"/>
      <c r="I4" s="198" t="s">
        <v>29</v>
      </c>
      <c r="J4" s="197" t="s">
        <v>30</v>
      </c>
      <c r="K4" s="197"/>
      <c r="L4" s="197"/>
      <c r="M4" s="197"/>
      <c r="N4" s="197" t="s">
        <v>31</v>
      </c>
      <c r="O4" s="197"/>
    </row>
    <row r="5" spans="1:15" x14ac:dyDescent="0.2">
      <c r="A5" s="199"/>
      <c r="B5" s="197">
        <v>1995</v>
      </c>
      <c r="C5" s="197"/>
      <c r="D5" s="197">
        <v>2015</v>
      </c>
      <c r="E5" s="197"/>
      <c r="F5" s="197">
        <v>2015</v>
      </c>
      <c r="G5" s="197"/>
      <c r="I5" s="199"/>
      <c r="J5" s="197">
        <v>1995</v>
      </c>
      <c r="K5" s="197"/>
      <c r="L5" s="197">
        <v>2015</v>
      </c>
      <c r="M5" s="197"/>
      <c r="N5" s="197">
        <v>2015</v>
      </c>
      <c r="O5" s="197"/>
    </row>
    <row r="6" spans="1:15" x14ac:dyDescent="0.2">
      <c r="A6" s="200"/>
      <c r="B6" s="43" t="s">
        <v>24</v>
      </c>
      <c r="C6" s="43" t="s">
        <v>23</v>
      </c>
      <c r="D6" s="43" t="s">
        <v>24</v>
      </c>
      <c r="E6" s="43" t="s">
        <v>23</v>
      </c>
      <c r="F6" s="43" t="s">
        <v>24</v>
      </c>
      <c r="G6" s="43" t="s">
        <v>23</v>
      </c>
      <c r="I6" s="200"/>
      <c r="J6" s="43" t="s">
        <v>24</v>
      </c>
      <c r="K6" s="43" t="s">
        <v>23</v>
      </c>
      <c r="L6" s="43" t="s">
        <v>24</v>
      </c>
      <c r="M6" s="43" t="s">
        <v>23</v>
      </c>
      <c r="N6" s="43" t="s">
        <v>24</v>
      </c>
      <c r="O6" s="43" t="s">
        <v>23</v>
      </c>
    </row>
    <row r="7" spans="1:15" x14ac:dyDescent="0.2">
      <c r="A7" s="196" t="s">
        <v>32</v>
      </c>
      <c r="B7" s="196"/>
      <c r="C7" s="196"/>
      <c r="D7" s="196"/>
      <c r="E7" s="196"/>
      <c r="F7" s="196"/>
      <c r="G7" s="196"/>
      <c r="I7" s="196" t="s">
        <v>32</v>
      </c>
      <c r="J7" s="196"/>
      <c r="K7" s="196"/>
      <c r="L7" s="196"/>
      <c r="M7" s="196"/>
      <c r="N7" s="196"/>
      <c r="O7" s="196"/>
    </row>
    <row r="8" spans="1:15" x14ac:dyDescent="0.2">
      <c r="A8" s="42" t="s">
        <v>33</v>
      </c>
      <c r="B8" s="45">
        <f>'Error Matrix'!B87/'Error Matrix'!B96</f>
        <v>0.96610169491525422</v>
      </c>
      <c r="C8" s="45">
        <f>'Error Matrix'!B87/'Error Matrix'!K87</f>
        <v>0.890625</v>
      </c>
      <c r="D8" s="45">
        <f>'Error Matrix'!B99/'Error Matrix'!B108</f>
        <v>0.9375</v>
      </c>
      <c r="E8" s="45">
        <f>'Error Matrix'!B99/'Error Matrix'!K99</f>
        <v>0.97826086956521741</v>
      </c>
      <c r="F8" s="45">
        <f>'Error Matrix'!B111/'Error Matrix'!B120</f>
        <v>0.9</v>
      </c>
      <c r="G8" s="45">
        <f>'Error Matrix'!B111/'Error Matrix'!K111</f>
        <v>0.97826086956521741</v>
      </c>
      <c r="I8" s="42" t="s">
        <v>33</v>
      </c>
      <c r="J8" s="45">
        <f>'AA L+J SetA 1995'!K33</f>
        <v>0.98978755803599039</v>
      </c>
      <c r="K8" s="45">
        <f>'AA L+J SetA 1995'!L33</f>
        <v>0.96610169491525433</v>
      </c>
      <c r="L8" s="45">
        <f>'AA L+P SetA 2015'!K33</f>
        <v>0.99092331500921904</v>
      </c>
      <c r="M8" s="45">
        <f>'AA L+P SetA 2015'!L33</f>
        <v>0.93750000000000011</v>
      </c>
      <c r="N8" s="45">
        <f>'AA L+P SetB 2015'!K33</f>
        <v>0.99275254840265215</v>
      </c>
      <c r="O8" s="45">
        <f>'AA L+P SetB 2015'!L33</f>
        <v>0.89999999999999991</v>
      </c>
    </row>
    <row r="9" spans="1:15" x14ac:dyDescent="0.2">
      <c r="A9" s="42" t="s">
        <v>34</v>
      </c>
      <c r="B9" s="46">
        <f>'Error Matrix'!C88/'Error Matrix'!C96</f>
        <v>1</v>
      </c>
      <c r="C9" s="46">
        <f>'Error Matrix'!C88/'Error Matrix'!K88</f>
        <v>0.98319327731092432</v>
      </c>
      <c r="D9" s="46">
        <f>'Error Matrix'!C100/'Error Matrix'!C108</f>
        <v>1</v>
      </c>
      <c r="E9" s="45">
        <f>'Error Matrix'!C100/'Error Matrix'!K100</f>
        <v>1</v>
      </c>
      <c r="F9" s="46">
        <f>'Error Matrix'!C112/'Error Matrix'!C120</f>
        <v>1</v>
      </c>
      <c r="G9" s="45">
        <f>'Error Matrix'!C112/'Error Matrix'!K112</f>
        <v>1</v>
      </c>
      <c r="I9" s="42" t="s">
        <v>34</v>
      </c>
      <c r="J9" s="45">
        <f>'AA L+J SetA 1995'!K34</f>
        <v>0.66160090790729509</v>
      </c>
      <c r="K9" s="45">
        <f>'AA L+J SetA 1995'!L34</f>
        <v>1</v>
      </c>
      <c r="L9" s="45">
        <f>'AA L+P SetA 2015'!K34</f>
        <v>1</v>
      </c>
      <c r="M9" s="45">
        <f>'AA L+P SetA 2015'!L34</f>
        <v>1</v>
      </c>
      <c r="N9" s="45">
        <f>'AA L+P SetB 2015'!K34</f>
        <v>1</v>
      </c>
      <c r="O9" s="45">
        <f>'AA L+P SetB 2015'!L34</f>
        <v>1</v>
      </c>
    </row>
    <row r="10" spans="1:15" x14ac:dyDescent="0.2">
      <c r="A10" s="42" t="s">
        <v>35</v>
      </c>
      <c r="B10" s="46">
        <f>'Error Matrix'!D89/'Error Matrix'!D96</f>
        <v>0.9135802469135802</v>
      </c>
      <c r="C10" s="46">
        <f>'Error Matrix'!D89/'Error Matrix'!K89</f>
        <v>1</v>
      </c>
      <c r="D10" s="46">
        <f>'Error Matrix'!D101/'Error Matrix'!D108</f>
        <v>0.8392857142857143</v>
      </c>
      <c r="E10" s="45">
        <f>'Error Matrix'!D101/'Error Matrix'!K101</f>
        <v>0.90384615384615385</v>
      </c>
      <c r="F10" s="46">
        <f>'Error Matrix'!D113/'Error Matrix'!D120</f>
        <v>0.8545454545454545</v>
      </c>
      <c r="G10" s="45">
        <f>'Error Matrix'!D113/'Error Matrix'!K113</f>
        <v>0.90384615384615385</v>
      </c>
      <c r="I10" s="42" t="s">
        <v>35</v>
      </c>
      <c r="J10" s="45">
        <f>'AA L+J SetA 1995'!K35</f>
        <v>1</v>
      </c>
      <c r="K10" s="45">
        <f>'AA L+J SetA 1995'!L35</f>
        <v>0.91358024691358031</v>
      </c>
      <c r="L10" s="45">
        <f>'AA L+P SetA 2015'!K35</f>
        <v>0.70119407958421265</v>
      </c>
      <c r="M10" s="45">
        <f>'AA L+P SetA 2015'!L35</f>
        <v>0.8392857142857143</v>
      </c>
      <c r="N10" s="45">
        <f>'AA L+P SetB 2015'!K35</f>
        <v>0.68512075883208567</v>
      </c>
      <c r="O10" s="45">
        <f>'AA L+P SetB 2015'!L35</f>
        <v>0.85454545454545439</v>
      </c>
    </row>
    <row r="11" spans="1:15" x14ac:dyDescent="0.2">
      <c r="A11" s="42" t="s">
        <v>36</v>
      </c>
      <c r="B11" s="46">
        <f>'Error Matrix'!E90/'Error Matrix'!E96</f>
        <v>1</v>
      </c>
      <c r="C11" s="46">
        <f>'Error Matrix'!E90/'Error Matrix'!K90</f>
        <v>1</v>
      </c>
      <c r="D11" s="46">
        <f>'Error Matrix'!E102/'Error Matrix'!E108</f>
        <v>0.91836734693877553</v>
      </c>
      <c r="E11" s="45">
        <f>'Error Matrix'!E102/'Error Matrix'!K102</f>
        <v>0.9375</v>
      </c>
      <c r="F11" s="46">
        <f>'Error Matrix'!E114/'Error Matrix'!E120</f>
        <v>0.9375</v>
      </c>
      <c r="G11" s="45">
        <f>'Error Matrix'!E114/'Error Matrix'!K114</f>
        <v>0.9375</v>
      </c>
      <c r="I11" s="42" t="s">
        <v>36</v>
      </c>
      <c r="J11" s="45">
        <f>'AA L+J SetA 1995'!K36</f>
        <v>1</v>
      </c>
      <c r="K11" s="45">
        <f>'AA L+J SetA 1995'!L36</f>
        <v>1</v>
      </c>
      <c r="L11" s="45">
        <f>'AA L+P SetA 2015'!K36</f>
        <v>0.66002327258193016</v>
      </c>
      <c r="M11" s="45">
        <f>'AA L+P SetA 2015'!L36</f>
        <v>0.91836734693877553</v>
      </c>
      <c r="N11" s="45">
        <f>'AA L+P SetB 2015'!K36</f>
        <v>0.67955712137345281</v>
      </c>
      <c r="O11" s="45">
        <f>'AA L+P SetB 2015'!L36</f>
        <v>0.9375</v>
      </c>
    </row>
    <row r="12" spans="1:15" x14ac:dyDescent="0.2">
      <c r="A12" s="42" t="s">
        <v>37</v>
      </c>
      <c r="B12" s="46">
        <f>'Error Matrix'!F91/'Error Matrix'!F96</f>
        <v>0.77777777777777779</v>
      </c>
      <c r="C12" s="46">
        <f>'Error Matrix'!F91/'Error Matrix'!K91</f>
        <v>0.82352941176470584</v>
      </c>
      <c r="D12" s="46">
        <f>'Error Matrix'!F103/'Error Matrix'!F108</f>
        <v>0.7142857142857143</v>
      </c>
      <c r="E12" s="45">
        <f>'Error Matrix'!F103/'Error Matrix'!K103</f>
        <v>0.47619047619047616</v>
      </c>
      <c r="F12" s="46">
        <f>'Error Matrix'!F115/'Error Matrix'!F120</f>
        <v>0.77142857142857146</v>
      </c>
      <c r="G12" s="45">
        <f>'Error Matrix'!F115/'Error Matrix'!K115</f>
        <v>0.6428571428571429</v>
      </c>
      <c r="I12" s="42" t="s">
        <v>37</v>
      </c>
      <c r="J12" s="45">
        <f>'AA L+J SetA 1995'!K37</f>
        <v>0.97222922464650074</v>
      </c>
      <c r="K12" s="214">
        <f>'AA L+J SetA 1995'!L37</f>
        <v>0.77777777777777779</v>
      </c>
      <c r="L12" s="45">
        <f>'AA L+P SetA 2015'!K37</f>
        <v>0.82820161001744563</v>
      </c>
      <c r="M12" s="45">
        <f>'AA L+P SetA 2015'!L37</f>
        <v>0.7142857142857143</v>
      </c>
      <c r="N12" s="45">
        <f>'AA L+P SetB 2015'!K37</f>
        <v>0.86182774366964099</v>
      </c>
      <c r="O12" s="45">
        <f>'AA L+P SetB 2015'!L37</f>
        <v>0.77142857142857146</v>
      </c>
    </row>
    <row r="13" spans="1:15" x14ac:dyDescent="0.2">
      <c r="A13" s="42" t="s">
        <v>38</v>
      </c>
      <c r="B13" s="46">
        <f>'Error Matrix'!G92/'Error Matrix'!G96</f>
        <v>0.74647887323943662</v>
      </c>
      <c r="C13" s="46">
        <f>'Error Matrix'!G92/'Error Matrix'!K92</f>
        <v>0.91379310344827591</v>
      </c>
      <c r="D13" s="46">
        <f>'Error Matrix'!G104/'Error Matrix'!G108</f>
        <v>0.85526315789473684</v>
      </c>
      <c r="E13" s="45">
        <f>'Error Matrix'!G104/'Error Matrix'!K104</f>
        <v>0.94202898550724634</v>
      </c>
      <c r="F13" s="46">
        <f>'Error Matrix'!G116/'Error Matrix'!G120</f>
        <v>0.90410958904109584</v>
      </c>
      <c r="G13" s="45">
        <f>'Error Matrix'!G116/'Error Matrix'!K116</f>
        <v>0.95652173913043481</v>
      </c>
      <c r="I13" s="42" t="s">
        <v>38</v>
      </c>
      <c r="J13" s="45">
        <f>'AA L+J SetA 1995'!K38</f>
        <v>0.69049143616803332</v>
      </c>
      <c r="K13" s="45">
        <f>'AA L+J SetA 1995'!L38</f>
        <v>0.74647887323943662</v>
      </c>
      <c r="L13" s="45">
        <f>'AA L+P SetA 2015'!K38</f>
        <v>0.9731110577801001</v>
      </c>
      <c r="M13" s="45">
        <f>'AA L+P SetA 2015'!L38</f>
        <v>0.85526315789473684</v>
      </c>
      <c r="N13" s="45">
        <f>'AA L+P SetB 2015'!K38</f>
        <v>0.93338362142390885</v>
      </c>
      <c r="O13" s="45">
        <f>'AA L+P SetB 2015'!L38</f>
        <v>0.90410958904109595</v>
      </c>
    </row>
    <row r="14" spans="1:15" x14ac:dyDescent="0.2">
      <c r="A14" s="42" t="s">
        <v>39</v>
      </c>
      <c r="B14" s="46">
        <f>'Error Matrix'!H93/'Error Matrix'!H96</f>
        <v>0.93478260869565222</v>
      </c>
      <c r="C14" s="46">
        <f>'Error Matrix'!H93/'Error Matrix'!K93</f>
        <v>0.9555555555555556</v>
      </c>
      <c r="D14" s="46">
        <f>'Error Matrix'!H105/'Error Matrix'!H108</f>
        <v>1</v>
      </c>
      <c r="E14" s="45">
        <f>'Error Matrix'!H105/'Error Matrix'!K105</f>
        <v>1</v>
      </c>
      <c r="F14" s="46">
        <f>'Error Matrix'!H117/'Error Matrix'!H120</f>
        <v>1</v>
      </c>
      <c r="G14" s="45">
        <f>'Error Matrix'!H117/'Error Matrix'!K117</f>
        <v>1</v>
      </c>
      <c r="I14" s="42" t="s">
        <v>39</v>
      </c>
      <c r="J14" s="214">
        <f>'AA L+J SetA 1995'!K39</f>
        <v>0.86032305701858669</v>
      </c>
      <c r="K14" s="45">
        <f>'AA L+J SetA 1995'!L39</f>
        <v>0.93478260869565211</v>
      </c>
      <c r="L14" s="45">
        <f>'AA L+P SetA 2015'!K39</f>
        <v>1</v>
      </c>
      <c r="M14" s="214">
        <f>'AA L+P SetA 2015'!L39</f>
        <v>1</v>
      </c>
      <c r="N14" s="45">
        <f>'AA L+P SetB 2015'!K39</f>
        <v>1</v>
      </c>
      <c r="O14" s="214">
        <f>'AA L+P SetB 2015'!L39</f>
        <v>1</v>
      </c>
    </row>
    <row r="15" spans="1:15" x14ac:dyDescent="0.2">
      <c r="A15" s="42" t="s">
        <v>40</v>
      </c>
      <c r="B15" s="46">
        <f>'Error Matrix'!I94/'Error Matrix'!I96</f>
        <v>0.92391304347826086</v>
      </c>
      <c r="C15" s="46">
        <f>'Error Matrix'!I94/'Error Matrix'!K94</f>
        <v>0.79439252336448596</v>
      </c>
      <c r="D15" s="46">
        <f>'Error Matrix'!I106/'Error Matrix'!I108</f>
        <v>0.95180722891566261</v>
      </c>
      <c r="E15" s="45">
        <f>'Error Matrix'!I106/'Error Matrix'!K106</f>
        <v>0.94047619047619047</v>
      </c>
      <c r="F15" s="46">
        <f>'Error Matrix'!I118/'Error Matrix'!I120</f>
        <v>0.96250000000000002</v>
      </c>
      <c r="G15" s="45">
        <f>'Error Matrix'!I118/'Error Matrix'!K118</f>
        <v>0.91666666666666663</v>
      </c>
      <c r="I15" s="42" t="s">
        <v>40</v>
      </c>
      <c r="J15" s="214">
        <f>'AA L+J SetA 1995'!K40</f>
        <v>0.69628468997055348</v>
      </c>
      <c r="K15" s="45">
        <f>'AA L+J SetA 1995'!L40</f>
        <v>0.92391304347826086</v>
      </c>
      <c r="L15" s="214">
        <f>'AA L+P SetA 2015'!K40</f>
        <v>0.87645931663419496</v>
      </c>
      <c r="M15" s="45">
        <f>'AA L+P SetA 2015'!L40</f>
        <v>0.95180722891566261</v>
      </c>
      <c r="N15" s="214">
        <f>'AA L+P SetB 2015'!K40</f>
        <v>0.94527068889827859</v>
      </c>
      <c r="O15" s="45">
        <f>'AA L+P SetB 2015'!L40</f>
        <v>0.96250000000000002</v>
      </c>
    </row>
    <row r="16" spans="1:15" x14ac:dyDescent="0.2">
      <c r="A16" s="42" t="s">
        <v>41</v>
      </c>
      <c r="B16" s="46">
        <f>'Error Matrix'!J95/'Error Matrix'!J96</f>
        <v>1</v>
      </c>
      <c r="C16" s="46">
        <f>'Error Matrix'!J95/'Error Matrix'!K95</f>
        <v>1</v>
      </c>
      <c r="D16" s="46">
        <f>'Error Matrix'!J107/'Error Matrix'!J108</f>
        <v>1</v>
      </c>
      <c r="E16" s="45">
        <f>'Error Matrix'!J107/'Error Matrix'!K107</f>
        <v>1</v>
      </c>
      <c r="F16" s="46">
        <f>'Error Matrix'!J119/'Error Matrix'!J120</f>
        <v>1</v>
      </c>
      <c r="G16" s="45">
        <f>'Error Matrix'!J119/'Error Matrix'!K119</f>
        <v>1</v>
      </c>
      <c r="I16" s="42" t="s">
        <v>41</v>
      </c>
      <c r="J16" s="45">
        <f>'AA L+J SetA 1995'!K41</f>
        <v>1</v>
      </c>
      <c r="K16" s="45">
        <f>'AA L+J SetA 1995'!L41</f>
        <v>1</v>
      </c>
      <c r="L16" s="45">
        <f>'AA L+P SetA 2015'!K41</f>
        <v>1</v>
      </c>
      <c r="M16" s="45">
        <f>'AA L+P SetA 2015'!L41</f>
        <v>1</v>
      </c>
      <c r="N16" s="45">
        <f>'AA L+P SetB 2015'!K41</f>
        <v>1</v>
      </c>
      <c r="O16" s="45">
        <f>'AA L+P SetB 2015'!L41</f>
        <v>1</v>
      </c>
    </row>
    <row r="17" spans="1:15" x14ac:dyDescent="0.2">
      <c r="A17" s="191" t="s">
        <v>42</v>
      </c>
      <c r="B17" s="191"/>
      <c r="C17" s="191"/>
      <c r="D17" s="191"/>
      <c r="E17" s="191"/>
      <c r="F17" s="191"/>
      <c r="G17" s="191"/>
      <c r="I17" s="191" t="s">
        <v>42</v>
      </c>
      <c r="J17" s="191"/>
      <c r="K17" s="191"/>
      <c r="L17" s="191"/>
      <c r="M17" s="191"/>
      <c r="N17" s="191"/>
      <c r="O17" s="191"/>
    </row>
    <row r="18" spans="1:15" x14ac:dyDescent="0.2">
      <c r="A18" s="47" t="s">
        <v>33</v>
      </c>
      <c r="B18" s="22">
        <f>'Error Matrix'!B7/'Error Matrix'!B16</f>
        <v>0.93442622950819676</v>
      </c>
      <c r="C18" s="22">
        <f>'Error Matrix'!B7/'Error Matrix'!K7</f>
        <v>0.890625</v>
      </c>
      <c r="D18" s="22">
        <f>'Error Matrix'!B19/'Error Matrix'!B28</f>
        <v>0.95833333333333337</v>
      </c>
      <c r="E18" s="22">
        <f>'Error Matrix'!B19/'Error Matrix'!K19</f>
        <v>1</v>
      </c>
      <c r="F18" s="22">
        <f>'Error Matrix'!B31/'Error Matrix'!B40</f>
        <v>0.95833333333333337</v>
      </c>
      <c r="G18" s="22">
        <f>'Error Matrix'!B31/'Error Matrix'!K31</f>
        <v>1</v>
      </c>
      <c r="I18" s="42" t="s">
        <v>33</v>
      </c>
      <c r="J18" s="118">
        <f>'AA L SetA 1995'!K33</f>
        <v>0.98920839071512223</v>
      </c>
      <c r="K18" s="118">
        <f>'AA L SetA 1995'!L33</f>
        <v>0.93442622950819676</v>
      </c>
      <c r="L18" s="118">
        <f>'AA L SetA 2015'!K33</f>
        <v>1</v>
      </c>
      <c r="M18" s="118">
        <f>'AA L SetA 2015'!L33</f>
        <v>0.95833333333333315</v>
      </c>
      <c r="N18" s="118">
        <f>'AA L SetB 2015'!K33</f>
        <v>1</v>
      </c>
      <c r="O18" s="118">
        <f>'AA L SetB 2015'!L33</f>
        <v>0.95833333333333315</v>
      </c>
    </row>
    <row r="19" spans="1:15" x14ac:dyDescent="0.2">
      <c r="A19" s="47" t="s">
        <v>34</v>
      </c>
      <c r="B19" s="22">
        <f>'Error Matrix'!C8/'Error Matrix'!C16</f>
        <v>1</v>
      </c>
      <c r="C19" s="22">
        <f>'Error Matrix'!C8/'Error Matrix'!K8</f>
        <v>0.95798319327731096</v>
      </c>
      <c r="D19" s="22">
        <f>'Error Matrix'!C20/'Error Matrix'!C28</f>
        <v>1</v>
      </c>
      <c r="E19" s="22">
        <f>'Error Matrix'!C20/'Error Matrix'!K20</f>
        <v>0.97222222222222221</v>
      </c>
      <c r="F19" s="22">
        <f>'Error Matrix'!C32/'Error Matrix'!C40</f>
        <v>1</v>
      </c>
      <c r="G19" s="22">
        <f>'Error Matrix'!C32/'Error Matrix'!K32</f>
        <v>0.97222222222222221</v>
      </c>
      <c r="I19" s="42" t="s">
        <v>34</v>
      </c>
      <c r="J19" s="118">
        <f>'AA L SetA 1995'!K34</f>
        <v>0.59341594811489617</v>
      </c>
      <c r="K19" s="118">
        <f>'AA L SetA 1995'!L34</f>
        <v>1</v>
      </c>
      <c r="L19" s="118">
        <f>'AA L SetA 2015'!K34</f>
        <v>0.94033273911113879</v>
      </c>
      <c r="M19" s="118">
        <f>'AA L SetA 2015'!L34</f>
        <v>1</v>
      </c>
      <c r="N19" s="118">
        <f>'AA L SetB 2015'!K34</f>
        <v>0.94033273911113879</v>
      </c>
      <c r="O19" s="118">
        <f>'AA L SetB 2015'!L34</f>
        <v>1</v>
      </c>
    </row>
    <row r="20" spans="1:15" x14ac:dyDescent="0.2">
      <c r="A20" s="47" t="s">
        <v>35</v>
      </c>
      <c r="B20" s="22">
        <f>'Error Matrix'!D9/'Error Matrix'!D16</f>
        <v>0.9135802469135802</v>
      </c>
      <c r="C20" s="22">
        <f>'Error Matrix'!D9/'Error Matrix'!K9</f>
        <v>1</v>
      </c>
      <c r="D20" s="22">
        <f>'Error Matrix'!D21/'Error Matrix'!D28</f>
        <v>0.83636363636363631</v>
      </c>
      <c r="E20" s="22">
        <f>'Error Matrix'!D21/'Error Matrix'!K21</f>
        <v>0.88461538461538458</v>
      </c>
      <c r="F20" s="22">
        <f>'Error Matrix'!D33/'Error Matrix'!D40</f>
        <v>0.83636363636363631</v>
      </c>
      <c r="G20" s="22">
        <f>'Error Matrix'!D33/'Error Matrix'!K33</f>
        <v>0.88461538461538458</v>
      </c>
      <c r="I20" s="42" t="s">
        <v>35</v>
      </c>
      <c r="J20" s="118">
        <f>'AA L SetA 1995'!K35</f>
        <v>1</v>
      </c>
      <c r="K20" s="118">
        <f>'AA L SetA 1995'!L35</f>
        <v>0.91358024691358031</v>
      </c>
      <c r="L20" s="118">
        <f>'AA L SetA 2015'!K35</f>
        <v>0.65521548190207002</v>
      </c>
      <c r="M20" s="118">
        <f>'AA L SetA 2015'!L35</f>
        <v>0.83636363636363631</v>
      </c>
      <c r="N20" s="118">
        <f>'AA L SetB 2015'!K35</f>
        <v>0.65521548190207002</v>
      </c>
      <c r="O20" s="118">
        <f>'AA L SetB 2015'!L35</f>
        <v>0.83636363636363631</v>
      </c>
    </row>
    <row r="21" spans="1:15" x14ac:dyDescent="0.2">
      <c r="A21" s="47" t="s">
        <v>36</v>
      </c>
      <c r="B21" s="22">
        <f>'Error Matrix'!E10/'Error Matrix'!E16</f>
        <v>1</v>
      </c>
      <c r="C21" s="22">
        <f>'Error Matrix'!E10/'Error Matrix'!K10</f>
        <v>1</v>
      </c>
      <c r="D21" s="22">
        <f>'Error Matrix'!E22/'Error Matrix'!E28</f>
        <v>0.90909090909090906</v>
      </c>
      <c r="E21" s="22">
        <f>'Error Matrix'!E22/'Error Matrix'!K22</f>
        <v>0.9375</v>
      </c>
      <c r="F21" s="22">
        <f>'Error Matrix'!E34/'Error Matrix'!E40</f>
        <v>0.90909090909090906</v>
      </c>
      <c r="G21" s="22">
        <f>'Error Matrix'!E34/'Error Matrix'!K34</f>
        <v>0.9375</v>
      </c>
      <c r="I21" s="42" t="s">
        <v>36</v>
      </c>
      <c r="J21" s="118">
        <f>'AA L SetA 1995'!K36</f>
        <v>1</v>
      </c>
      <c r="K21" s="118">
        <f>'AA L SetA 1995'!L36</f>
        <v>1</v>
      </c>
      <c r="L21" s="118">
        <f>'AA L SetA 2015'!K36</f>
        <v>0.67307357720547323</v>
      </c>
      <c r="M21" s="118">
        <f>'AA L SetA 2015'!L36</f>
        <v>0.90909090909090906</v>
      </c>
      <c r="N21" s="118">
        <f>'AA L SetB 2015'!K36</f>
        <v>0.67307357720547323</v>
      </c>
      <c r="O21" s="118">
        <f>'AA L SetB 2015'!L36</f>
        <v>0.90909090909090906</v>
      </c>
    </row>
    <row r="22" spans="1:15" x14ac:dyDescent="0.2">
      <c r="A22" s="47" t="s">
        <v>37</v>
      </c>
      <c r="B22" s="22">
        <f>'Error Matrix'!F11/'Error Matrix'!F16</f>
        <v>0.65217391304347827</v>
      </c>
      <c r="C22" s="22">
        <f>'Error Matrix'!F11/'Error Matrix'!K11</f>
        <v>0.88235294117647056</v>
      </c>
      <c r="D22" s="22">
        <f>'Error Matrix'!F23/'Error Matrix'!F28</f>
        <v>0.65217391304347827</v>
      </c>
      <c r="E22" s="22">
        <f>'Error Matrix'!F23/'Error Matrix'!K23</f>
        <v>0.35714285714285715</v>
      </c>
      <c r="F22" s="22">
        <f>'Error Matrix'!F35/'Error Matrix'!F40</f>
        <v>0.65217391304347827</v>
      </c>
      <c r="G22" s="22">
        <f>'Error Matrix'!F35/'Error Matrix'!K35</f>
        <v>0.35714285714285715</v>
      </c>
      <c r="I22" s="42" t="s">
        <v>37</v>
      </c>
      <c r="J22" s="118">
        <f>'AA L SetA 1995'!K37</f>
        <v>0.98794212450093744</v>
      </c>
      <c r="K22" s="118">
        <f>'AA L SetA 1995'!L37</f>
        <v>0.65217391304347838</v>
      </c>
      <c r="L22" s="118">
        <f>'AA L SetA 2015'!K37</f>
        <v>0.75933657174549951</v>
      </c>
      <c r="M22" s="118">
        <f>'AA L SetA 2015'!L37</f>
        <v>0.65217391304347827</v>
      </c>
      <c r="N22" s="118">
        <f>'AA L SetB 2015'!K37</f>
        <v>0.75933657174549951</v>
      </c>
      <c r="O22" s="118">
        <f>'AA L SetB 2015'!L37</f>
        <v>0.65217391304347827</v>
      </c>
    </row>
    <row r="23" spans="1:15" x14ac:dyDescent="0.2">
      <c r="A23" s="47" t="s">
        <v>38</v>
      </c>
      <c r="B23" s="22">
        <f>'Error Matrix'!G12/'Error Matrix'!G16</f>
        <v>0.78787878787878785</v>
      </c>
      <c r="C23" s="22">
        <f>'Error Matrix'!G12/'Error Matrix'!K12</f>
        <v>0.89655172413793105</v>
      </c>
      <c r="D23" s="22">
        <f>'Error Matrix'!G24/'Error Matrix'!G28</f>
        <v>0.80487804878048785</v>
      </c>
      <c r="E23" s="22">
        <f>'Error Matrix'!G24/'Error Matrix'!K24</f>
        <v>0.95652173913043481</v>
      </c>
      <c r="F23" s="22">
        <f>'Error Matrix'!G36/'Error Matrix'!G40</f>
        <v>0.80487804878048785</v>
      </c>
      <c r="G23" s="22">
        <f>'Error Matrix'!G36/'Error Matrix'!K36</f>
        <v>0.95652173913043481</v>
      </c>
      <c r="I23" s="42" t="s">
        <v>38</v>
      </c>
      <c r="J23" s="118">
        <f>'AA L SetA 1995'!K38</f>
        <v>0.62592114548021205</v>
      </c>
      <c r="K23" s="118">
        <f>'AA L SetA 1995'!L38</f>
        <v>0.78787878787878785</v>
      </c>
      <c r="L23" s="118">
        <f>'AA L SetA 2015'!K38</f>
        <v>0.99631138329882807</v>
      </c>
      <c r="M23" s="118">
        <f>'AA L SetA 2015'!L38</f>
        <v>0.80487804878048785</v>
      </c>
      <c r="N23" s="118">
        <f>'AA L SetB 2015'!K38</f>
        <v>0.99631138329882807</v>
      </c>
      <c r="O23" s="118">
        <f>'AA L SetB 2015'!L38</f>
        <v>0.80487804878048785</v>
      </c>
    </row>
    <row r="24" spans="1:15" x14ac:dyDescent="0.2">
      <c r="A24" s="47" t="s">
        <v>39</v>
      </c>
      <c r="B24" s="22">
        <f>'Error Matrix'!H13/'Error Matrix'!H16</f>
        <v>0.92500000000000004</v>
      </c>
      <c r="C24" s="22">
        <f>'Error Matrix'!H13/'Error Matrix'!K13</f>
        <v>0.82222222222222219</v>
      </c>
      <c r="D24" s="22">
        <f>'Error Matrix'!H25/'Error Matrix'!H28</f>
        <v>0.50793650793650791</v>
      </c>
      <c r="E24" s="22">
        <f>'Error Matrix'!H25/'Error Matrix'!K25</f>
        <v>0.96969696969696972</v>
      </c>
      <c r="F24" s="22">
        <f>'Error Matrix'!H37/'Error Matrix'!H40</f>
        <v>0.50793650793650791</v>
      </c>
      <c r="G24" s="22">
        <f>'Error Matrix'!H37/'Error Matrix'!K37</f>
        <v>0.96969696969696972</v>
      </c>
      <c r="I24" s="42" t="s">
        <v>39</v>
      </c>
      <c r="J24" s="118">
        <f>'AA L SetA 1995'!K39</f>
        <v>0.56162122241647772</v>
      </c>
      <c r="K24" s="118">
        <f>'AA L SetA 1995'!L39</f>
        <v>0.92499999999999993</v>
      </c>
      <c r="L24" s="118">
        <f>'AA L SetA 2015'!K39</f>
        <v>0.90048070827399984</v>
      </c>
      <c r="M24" s="118">
        <f>'AA L SetA 2015'!L39</f>
        <v>0.50793650793650791</v>
      </c>
      <c r="N24" s="118">
        <f>'AA L SetB 2015'!K39</f>
        <v>0.90048070827399984</v>
      </c>
      <c r="O24" s="118">
        <f>'AA L SetB 2015'!L39</f>
        <v>0.50793650793650791</v>
      </c>
    </row>
    <row r="25" spans="1:15" x14ac:dyDescent="0.2">
      <c r="A25" s="47" t="s">
        <v>40</v>
      </c>
      <c r="B25" s="22">
        <f>'Error Matrix'!I14/'Error Matrix'!I16</f>
        <v>0.86868686868686873</v>
      </c>
      <c r="C25" s="22">
        <f>'Error Matrix'!I14/'Error Matrix'!K14</f>
        <v>0.80373831775700932</v>
      </c>
      <c r="D25" s="22">
        <f>'Error Matrix'!I26/'Error Matrix'!I28</f>
        <v>0.96296296296296291</v>
      </c>
      <c r="E25" s="22">
        <f>'Error Matrix'!I26/'Error Matrix'!K26</f>
        <v>0.61904761904761907</v>
      </c>
      <c r="F25" s="22">
        <f>'Error Matrix'!I38/'Error Matrix'!I40</f>
        <v>0.96296296296296291</v>
      </c>
      <c r="G25" s="22">
        <f>'Error Matrix'!I38/'Error Matrix'!K38</f>
        <v>0.61904761904761907</v>
      </c>
      <c r="I25" s="42" t="s">
        <v>40</v>
      </c>
      <c r="J25" s="118">
        <f>'AA L SetA 1995'!K40</f>
        <v>0.58645357262663944</v>
      </c>
      <c r="K25" s="118">
        <f>'AA L SetA 1995'!L40</f>
        <v>0.86868686868686862</v>
      </c>
      <c r="L25" s="118">
        <f>'AA L SetA 2015'!K40</f>
        <v>0.70457316532483438</v>
      </c>
      <c r="M25" s="118">
        <f>'AA L SetA 2015'!L40</f>
        <v>0.96296296296296302</v>
      </c>
      <c r="N25" s="118">
        <f>'AA L SetB 2015'!K40</f>
        <v>0.70457316532483438</v>
      </c>
      <c r="O25" s="118">
        <f>'AA L SetB 2015'!L40</f>
        <v>0.96296296296296302</v>
      </c>
    </row>
    <row r="26" spans="1:15" x14ac:dyDescent="0.2">
      <c r="A26" s="47" t="s">
        <v>41</v>
      </c>
      <c r="B26" s="22">
        <f>'Error Matrix'!J15/'Error Matrix'!J16</f>
        <v>1</v>
      </c>
      <c r="C26" s="22">
        <f>'Error Matrix'!J15/'Error Matrix'!K15</f>
        <v>1</v>
      </c>
      <c r="D26" s="22">
        <f>'Error Matrix'!J27/'Error Matrix'!J28</f>
        <v>1</v>
      </c>
      <c r="E26" s="22">
        <f>'Error Matrix'!J27/'Error Matrix'!K27</f>
        <v>1</v>
      </c>
      <c r="F26" s="22">
        <f>'Error Matrix'!J39/'Error Matrix'!J40</f>
        <v>1</v>
      </c>
      <c r="G26" s="22">
        <f>'Error Matrix'!J39/'Error Matrix'!K39</f>
        <v>1</v>
      </c>
      <c r="I26" s="42" t="s">
        <v>41</v>
      </c>
      <c r="J26" s="118">
        <f>'AA L SetA 1995'!K41</f>
        <v>1</v>
      </c>
      <c r="K26" s="118">
        <f>'AA L SetA 1995'!L41</f>
        <v>1</v>
      </c>
      <c r="L26" s="118">
        <f>'AA L SetA 2015'!K41</f>
        <v>1</v>
      </c>
      <c r="M26" s="118">
        <f>'AA L SetA 2015'!L41</f>
        <v>1</v>
      </c>
      <c r="N26" s="118">
        <f>'AA L SetB 2015'!K41</f>
        <v>1</v>
      </c>
      <c r="O26" s="118">
        <f>'AA L SetB 2015'!L41</f>
        <v>1</v>
      </c>
    </row>
    <row r="27" spans="1:15" x14ac:dyDescent="0.2">
      <c r="A27" s="191" t="s">
        <v>43</v>
      </c>
      <c r="B27" s="191"/>
      <c r="C27" s="191"/>
      <c r="D27" s="191"/>
      <c r="E27" s="191"/>
      <c r="F27" s="191"/>
      <c r="G27" s="191"/>
      <c r="I27" s="191" t="s">
        <v>43</v>
      </c>
      <c r="J27" s="191"/>
      <c r="K27" s="191"/>
      <c r="L27" s="191"/>
      <c r="M27" s="191"/>
      <c r="N27" s="191"/>
      <c r="O27" s="191"/>
    </row>
    <row r="28" spans="1:15" x14ac:dyDescent="0.2">
      <c r="A28" s="47" t="s">
        <v>33</v>
      </c>
      <c r="B28" s="22">
        <f>'Error Matrix'!B47/'Error Matrix'!B56</f>
        <v>0.36507936507936506</v>
      </c>
      <c r="C28" s="22">
        <f>'Error Matrix'!B47/'Error Matrix'!K47</f>
        <v>0.27380952380952384</v>
      </c>
      <c r="D28" s="22">
        <f>'Error Matrix'!B59/'Error Matrix'!B68</f>
        <v>0.22727272727272727</v>
      </c>
      <c r="E28" s="22">
        <f>'Error Matrix'!B59/'Error Matrix'!K59</f>
        <v>0.125</v>
      </c>
      <c r="F28" s="22">
        <f>'Error Matrix'!B71/'Error Matrix'!B80</f>
        <v>0.56164383561643838</v>
      </c>
      <c r="G28" s="22">
        <f>'Error Matrix'!B71/'Error Matrix'!K71</f>
        <v>0.51249999999999996</v>
      </c>
      <c r="I28" s="42" t="s">
        <v>33</v>
      </c>
      <c r="J28" s="118">
        <f>'AA J SetA 1995'!K33</f>
        <v>0.65574958797362493</v>
      </c>
      <c r="K28" s="118">
        <f>'AA J SetA 1995'!L33</f>
        <v>0.36507936507936506</v>
      </c>
      <c r="L28" s="118">
        <f>'AA P SetA 2015'!K33</f>
        <v>0.34278827757064345</v>
      </c>
      <c r="M28" s="118">
        <f>'AA P SetA 2015'!L33</f>
        <v>0.22727272727272729</v>
      </c>
      <c r="N28" s="118">
        <f>'AA P SetB 2015'!K33</f>
        <v>0.77887532529802339</v>
      </c>
      <c r="O28" s="118">
        <f>'AA P SetB 2015'!L33</f>
        <v>0.56164383561643827</v>
      </c>
    </row>
    <row r="29" spans="1:15" x14ac:dyDescent="0.2">
      <c r="A29" s="47" t="s">
        <v>34</v>
      </c>
      <c r="B29" s="22">
        <f>'Error Matrix'!C48/'Error Matrix'!C56</f>
        <v>0.23529411764705882</v>
      </c>
      <c r="C29" s="22">
        <f>'Error Matrix'!C48/'Error Matrix'!K48</f>
        <v>2.4242424242424242E-2</v>
      </c>
      <c r="D29" s="22">
        <f>'Error Matrix'!C60/'Error Matrix'!C68</f>
        <v>0.67692307692307696</v>
      </c>
      <c r="E29" s="22">
        <f>'Error Matrix'!C60/'Error Matrix'!K60</f>
        <v>0.80733944954128445</v>
      </c>
      <c r="F29" s="22">
        <f>'Error Matrix'!C72/'Error Matrix'!C80</f>
        <v>0.67669172932330823</v>
      </c>
      <c r="G29" s="22">
        <f>'Error Matrix'!C72/'Error Matrix'!K72</f>
        <v>0.82568807339449546</v>
      </c>
      <c r="I29" s="42" t="s">
        <v>34</v>
      </c>
      <c r="J29" s="118">
        <f>'AA J SetA 1995'!K34</f>
        <v>6.1694483769619158E-3</v>
      </c>
      <c r="K29" s="118">
        <f>'AA J SetA 1995'!L34</f>
        <v>0.23529411764705885</v>
      </c>
      <c r="L29" s="118">
        <f>'AA P SetA 2015'!K34</f>
        <v>0.52862355333738309</v>
      </c>
      <c r="M29" s="118">
        <f>'AA P SetA 2015'!L34</f>
        <v>0.67692307692307696</v>
      </c>
      <c r="N29" s="118">
        <f>'AA P SetB 2015'!K34</f>
        <v>0.5801217558509153</v>
      </c>
      <c r="O29" s="118">
        <f>'AA P SetB 2015'!L34</f>
        <v>0.67669172932330834</v>
      </c>
    </row>
    <row r="30" spans="1:15" x14ac:dyDescent="0.2">
      <c r="A30" s="47" t="s">
        <v>35</v>
      </c>
      <c r="B30" s="22">
        <f>'Error Matrix'!D49/'Error Matrix'!D56</f>
        <v>0.26500000000000001</v>
      </c>
      <c r="C30" s="22">
        <f>'Error Matrix'!D49/'Error Matrix'!K49</f>
        <v>0.50961538461538458</v>
      </c>
      <c r="D30" s="22">
        <f>'Error Matrix'!D61/'Error Matrix'!D68</f>
        <v>0.375</v>
      </c>
      <c r="E30" s="22">
        <f>'Error Matrix'!D61/'Error Matrix'!K61</f>
        <v>0.59259259259259256</v>
      </c>
      <c r="F30" s="22">
        <f>'Error Matrix'!D73/'Error Matrix'!D80</f>
        <v>0.48305084745762711</v>
      </c>
      <c r="G30" s="22">
        <f>'Error Matrix'!D73/'Error Matrix'!K73</f>
        <v>0.70370370370370372</v>
      </c>
      <c r="I30" s="42" t="s">
        <v>35</v>
      </c>
      <c r="J30" s="118">
        <f>'AA J SetA 1995'!K35</f>
        <v>0.36803725416163591</v>
      </c>
      <c r="K30" s="118">
        <f>'AA J SetA 1995'!L35</f>
        <v>0.26499999999999996</v>
      </c>
      <c r="L30" s="118">
        <f>'AA P SetA 2015'!K35</f>
        <v>0.57396133619011858</v>
      </c>
      <c r="M30" s="118">
        <f>'AA P SetA 2015'!L35</f>
        <v>0.37499999999999994</v>
      </c>
      <c r="N30" s="118">
        <f>'AA P SetB 2015'!K35</f>
        <v>0.71972278906934573</v>
      </c>
      <c r="O30" s="118">
        <f>'AA P SetB 2015'!L35</f>
        <v>0.48305084745762716</v>
      </c>
    </row>
    <row r="31" spans="1:15" x14ac:dyDescent="0.2">
      <c r="A31" s="47" t="s">
        <v>36</v>
      </c>
      <c r="B31" s="22">
        <f>'Error Matrix'!E50/'Error Matrix'!E56</f>
        <v>0.23423423423423423</v>
      </c>
      <c r="C31" s="22">
        <f>'Error Matrix'!E50/'Error Matrix'!K50</f>
        <v>0.203125</v>
      </c>
      <c r="D31" s="22">
        <f>'Error Matrix'!E62/'Error Matrix'!E68</f>
        <v>0.6174496644295302</v>
      </c>
      <c r="E31" s="22">
        <f>'Error Matrix'!E62/'Error Matrix'!K62</f>
        <v>0.70229007633587781</v>
      </c>
      <c r="F31" s="22">
        <f>'Error Matrix'!E74/'Error Matrix'!E80</f>
        <v>0.76666666666666672</v>
      </c>
      <c r="G31" s="22">
        <f>'Error Matrix'!E74/'Error Matrix'!K74</f>
        <v>0.70229007633587781</v>
      </c>
      <c r="I31" s="42" t="s">
        <v>36</v>
      </c>
      <c r="J31" s="118">
        <f>'AA J SetA 1995'!K36</f>
        <v>0.15815019396955743</v>
      </c>
      <c r="K31" s="118">
        <f>'AA J SetA 1995'!L36</f>
        <v>0.23423423423423423</v>
      </c>
      <c r="L31" s="118">
        <f>'AA P SetA 2015'!K36</f>
        <v>0.62789973089017637</v>
      </c>
      <c r="M31" s="118">
        <f>'AA P SetA 2015'!L36</f>
        <v>0.61744966442953009</v>
      </c>
      <c r="N31" s="118">
        <f>'AA P SetB 2015'!K36</f>
        <v>0.61621405387802319</v>
      </c>
      <c r="O31" s="118">
        <f>'AA P SetB 2015'!L36</f>
        <v>0.76666666666666661</v>
      </c>
    </row>
    <row r="32" spans="1:15" x14ac:dyDescent="0.2">
      <c r="A32" s="47" t="s">
        <v>37</v>
      </c>
      <c r="B32" s="22">
        <f>'Error Matrix'!F51/'Error Matrix'!F56</f>
        <v>3.6363636363636362E-2</v>
      </c>
      <c r="C32" s="22">
        <f>'Error Matrix'!F51/'Error Matrix'!K51</f>
        <v>7.1428571428571425E-2</v>
      </c>
      <c r="D32" s="22">
        <f>'Error Matrix'!F63/'Error Matrix'!F68</f>
        <v>0.31818181818181818</v>
      </c>
      <c r="E32" s="22">
        <f>'Error Matrix'!F63/'Error Matrix'!K63</f>
        <v>0.11290322580645161</v>
      </c>
      <c r="F32" s="22">
        <f>'Error Matrix'!F75/'Error Matrix'!F80</f>
        <v>0</v>
      </c>
      <c r="G32" s="22">
        <f>'Error Matrix'!F75/'Error Matrix'!K75</f>
        <v>0</v>
      </c>
      <c r="I32" s="42" t="s">
        <v>37</v>
      </c>
      <c r="J32" s="118">
        <f>'AA J SetA 1995'!K37</f>
        <v>1.9569600875498923E-2</v>
      </c>
      <c r="K32" s="118">
        <f>'AA J SetA 1995'!L37</f>
        <v>3.6363636363636369E-2</v>
      </c>
      <c r="L32" s="118">
        <f>'AA P SetA 2015'!K37</f>
        <v>0.20386532434168975</v>
      </c>
      <c r="M32" s="118">
        <f>'AA P SetA 2015'!L37</f>
        <v>0.31818181818181818</v>
      </c>
      <c r="N32" s="118">
        <f>'AA P SetB 2015'!K37</f>
        <v>0</v>
      </c>
      <c r="O32" s="118">
        <f>'AA P SetB 2015'!L37</f>
        <v>0</v>
      </c>
    </row>
    <row r="33" spans="1:15" x14ac:dyDescent="0.2">
      <c r="A33" s="47" t="s">
        <v>38</v>
      </c>
      <c r="B33" s="22">
        <f>'Error Matrix'!G52/'Error Matrix'!G56</f>
        <v>0.29743589743589743</v>
      </c>
      <c r="C33" s="22">
        <f>'Error Matrix'!G52/'Error Matrix'!K52</f>
        <v>0.65909090909090906</v>
      </c>
      <c r="D33" s="22">
        <f>'Error Matrix'!G64/'Error Matrix'!G68</f>
        <v>0.45945945945945948</v>
      </c>
      <c r="E33" s="22">
        <f>'Error Matrix'!G64/'Error Matrix'!K64</f>
        <v>0.35416666666666669</v>
      </c>
      <c r="F33" s="22">
        <f>'Error Matrix'!G76/'Error Matrix'!G80</f>
        <v>0.53703703703703709</v>
      </c>
      <c r="G33" s="22">
        <f>'Error Matrix'!G76/'Error Matrix'!K76</f>
        <v>0.60416666666666663</v>
      </c>
      <c r="I33" s="42" t="s">
        <v>38</v>
      </c>
      <c r="J33" s="118">
        <f>'AA J SetA 1995'!K38</f>
        <v>0.70923436921575067</v>
      </c>
      <c r="K33" s="118">
        <f>'AA J SetA 1995'!L38</f>
        <v>0.29743589743589743</v>
      </c>
      <c r="L33" s="118">
        <f>'AA P SetA 2015'!K38</f>
        <v>0.1810234106517089</v>
      </c>
      <c r="M33" s="118">
        <f>'AA P SetA 2015'!L38</f>
        <v>0.45945945945945948</v>
      </c>
      <c r="N33" s="118">
        <f>'AA P SetB 2015'!K38</f>
        <v>0.13027299393191333</v>
      </c>
      <c r="O33" s="118">
        <f>'AA P SetB 2015'!L38</f>
        <v>0.53703703703703709</v>
      </c>
    </row>
    <row r="34" spans="1:15" x14ac:dyDescent="0.2">
      <c r="A34" s="47" t="s">
        <v>39</v>
      </c>
      <c r="B34" s="22">
        <f>'Error Matrix'!H53/'Error Matrix'!H56</f>
        <v>0.86764705882352944</v>
      </c>
      <c r="C34" s="22">
        <f>'Error Matrix'!H53/'Error Matrix'!K53</f>
        <v>0.95161290322580649</v>
      </c>
      <c r="D34" s="22">
        <f>'Error Matrix'!H65/'Error Matrix'!H68</f>
        <v>0.66666666666666663</v>
      </c>
      <c r="E34" s="22">
        <f>'Error Matrix'!H65/'Error Matrix'!K65</f>
        <v>0.90566037735849059</v>
      </c>
      <c r="F34" s="22">
        <f>'Error Matrix'!H77/'Error Matrix'!H80</f>
        <v>0.7</v>
      </c>
      <c r="G34" s="22">
        <f>'Error Matrix'!H77/'Error Matrix'!K77</f>
        <v>0.92452830188679247</v>
      </c>
      <c r="I34" s="42" t="s">
        <v>39</v>
      </c>
      <c r="J34" s="118">
        <f>'AA J SetA 1995'!K39</f>
        <v>0.77416207533512937</v>
      </c>
      <c r="K34" s="118">
        <f>'AA J SetA 1995'!L39</f>
        <v>0.86764705882352944</v>
      </c>
      <c r="L34" s="118">
        <f>'AA P SetA 2015'!K39</f>
        <v>0.91292208634784866</v>
      </c>
      <c r="M34" s="118">
        <f>'AA P SetA 2015'!L39</f>
        <v>0.66666666666666663</v>
      </c>
      <c r="N34" s="118">
        <f>'AA P SetB 2015'!K39</f>
        <v>0.926458874896541</v>
      </c>
      <c r="O34" s="118">
        <f>'AA P SetB 2015'!L39</f>
        <v>0.7</v>
      </c>
    </row>
    <row r="35" spans="1:15" x14ac:dyDescent="0.2">
      <c r="A35" s="47" t="s">
        <v>40</v>
      </c>
      <c r="B35" s="22">
        <f>'Error Matrix'!I54/'Error Matrix'!I56</f>
        <v>0.42372881355932202</v>
      </c>
      <c r="C35" s="22">
        <f>'Error Matrix'!I54/'Error Matrix'!K54</f>
        <v>0.3401360544217687</v>
      </c>
      <c r="D35" s="22">
        <f>'Error Matrix'!I66/'Error Matrix'!I68</f>
        <v>0.42592592592592593</v>
      </c>
      <c r="E35" s="22">
        <f>'Error Matrix'!I66/'Error Matrix'!K66</f>
        <v>0.21495327102803738</v>
      </c>
      <c r="F35" s="22">
        <f>'Error Matrix'!I78/'Error Matrix'!I80</f>
        <v>0.54411764705882348</v>
      </c>
      <c r="G35" s="22">
        <f>'Error Matrix'!I78/'Error Matrix'!K78</f>
        <v>0.34579439252336447</v>
      </c>
      <c r="I35" s="42" t="s">
        <v>40</v>
      </c>
      <c r="J35" s="118">
        <f>'AA J SetA 1995'!K40</f>
        <v>0.2072470625932748</v>
      </c>
      <c r="K35" s="118">
        <f>'AA J SetA 1995'!L40</f>
        <v>0.42372881355932207</v>
      </c>
      <c r="L35" s="118">
        <f>'AA P SetA 2015'!K40</f>
        <v>0.23551965308396627</v>
      </c>
      <c r="M35" s="118">
        <f>'AA P SetA 2015'!L40</f>
        <v>0.42592592592592593</v>
      </c>
      <c r="N35" s="118">
        <f>'AA P SetB 2015'!K40</f>
        <v>0.5219259443936054</v>
      </c>
      <c r="O35" s="118">
        <f>'AA P SetB 2015'!L40</f>
        <v>0.54411764705882348</v>
      </c>
    </row>
    <row r="36" spans="1:15" x14ac:dyDescent="0.2">
      <c r="A36" s="48" t="s">
        <v>41</v>
      </c>
      <c r="B36" s="49">
        <f>'Error Matrix'!J55/'Error Matrix'!J56</f>
        <v>0.93670886075949367</v>
      </c>
      <c r="C36" s="49">
        <f>'Error Matrix'!J55/'Error Matrix'!K55</f>
        <v>0.74</v>
      </c>
      <c r="D36" s="49">
        <f>'Error Matrix'!J67/'Error Matrix'!J68</f>
        <v>0.71794871794871795</v>
      </c>
      <c r="E36" s="49">
        <f>'Error Matrix'!J67/'Error Matrix'!K67</f>
        <v>0.93959731543624159</v>
      </c>
      <c r="F36" s="49">
        <f>'Error Matrix'!J79/'Error Matrix'!J80</f>
        <v>0.8554913294797688</v>
      </c>
      <c r="G36" s="49">
        <f>'Error Matrix'!J79/'Error Matrix'!K79</f>
        <v>0.99328859060402686</v>
      </c>
      <c r="I36" s="44" t="s">
        <v>41</v>
      </c>
      <c r="J36" s="119">
        <f>'AA J SetA 1995'!K41</f>
        <v>0.97457690398042973</v>
      </c>
      <c r="K36" s="119">
        <f>'AA J SetA 1995'!L41</f>
        <v>0.93670886075949378</v>
      </c>
      <c r="L36" s="119">
        <f>'AA P SetA 2015'!K41</f>
        <v>0.97743830144168364</v>
      </c>
      <c r="M36" s="119">
        <f>'AA P SetA 2015'!L41</f>
        <v>0.71794871794871795</v>
      </c>
      <c r="N36" s="119">
        <f>'AA P SetB 2015'!K41</f>
        <v>0.9995142167879274</v>
      </c>
      <c r="O36" s="119">
        <f>'AA P SetB 2015'!L41</f>
        <v>0.8554913294797688</v>
      </c>
    </row>
    <row r="38" spans="1:15" x14ac:dyDescent="0.2">
      <c r="A38" s="196" t="s">
        <v>44</v>
      </c>
      <c r="B38" s="196"/>
      <c r="C38" s="196"/>
      <c r="D38" s="196"/>
      <c r="E38" s="196"/>
      <c r="F38" s="196"/>
      <c r="G38" s="196"/>
      <c r="I38" s="196" t="s">
        <v>44</v>
      </c>
      <c r="J38" s="196"/>
      <c r="K38" s="196"/>
      <c r="L38" s="196"/>
      <c r="M38" s="196"/>
      <c r="N38" s="196"/>
      <c r="O38" s="196"/>
    </row>
    <row r="39" spans="1:15" x14ac:dyDescent="0.2">
      <c r="A39" s="42" t="s">
        <v>33</v>
      </c>
      <c r="B39" s="55">
        <f t="shared" ref="B39:G47" si="0">B8-B18</f>
        <v>3.1675465407057457E-2</v>
      </c>
      <c r="C39" s="22">
        <f t="shared" si="0"/>
        <v>0</v>
      </c>
      <c r="D39" s="57">
        <f t="shared" si="0"/>
        <v>-2.083333333333337E-2</v>
      </c>
      <c r="E39" s="57">
        <f t="shared" si="0"/>
        <v>-2.1739130434782594E-2</v>
      </c>
      <c r="F39" s="57">
        <f t="shared" si="0"/>
        <v>-5.8333333333333348E-2</v>
      </c>
      <c r="G39" s="57">
        <f t="shared" si="0"/>
        <v>-2.1739130434782594E-2</v>
      </c>
      <c r="I39" s="42" t="s">
        <v>33</v>
      </c>
      <c r="J39" s="55">
        <f t="shared" ref="J39:O39" si="1">J8-J18</f>
        <v>5.7916732086815692E-4</v>
      </c>
      <c r="K39" s="55">
        <f t="shared" si="1"/>
        <v>3.1675465407057568E-2</v>
      </c>
      <c r="L39" s="57">
        <f t="shared" si="1"/>
        <v>-9.0766849907809588E-3</v>
      </c>
      <c r="M39" s="57">
        <f t="shared" si="1"/>
        <v>-2.0833333333333037E-2</v>
      </c>
      <c r="N39" s="57">
        <f t="shared" si="1"/>
        <v>-7.2474515973478537E-3</v>
      </c>
      <c r="O39" s="57">
        <f t="shared" si="1"/>
        <v>-5.8333333333333237E-2</v>
      </c>
    </row>
    <row r="40" spans="1:15" x14ac:dyDescent="0.2">
      <c r="A40" s="42" t="s">
        <v>34</v>
      </c>
      <c r="B40" s="120">
        <f t="shared" si="0"/>
        <v>0</v>
      </c>
      <c r="C40" s="54">
        <f t="shared" si="0"/>
        <v>2.5210084033613356E-2</v>
      </c>
      <c r="D40" s="120">
        <f t="shared" si="0"/>
        <v>0</v>
      </c>
      <c r="E40" s="54">
        <f t="shared" si="0"/>
        <v>2.777777777777779E-2</v>
      </c>
      <c r="F40" s="120">
        <f t="shared" si="0"/>
        <v>0</v>
      </c>
      <c r="G40" s="54">
        <f t="shared" si="0"/>
        <v>2.777777777777779E-2</v>
      </c>
      <c r="I40" s="42" t="s">
        <v>34</v>
      </c>
      <c r="J40" s="54">
        <f t="shared" ref="J40:O40" si="2">J9-J19</f>
        <v>6.8184959792398914E-2</v>
      </c>
      <c r="K40" s="120">
        <f t="shared" si="2"/>
        <v>0</v>
      </c>
      <c r="L40" s="54">
        <f t="shared" si="2"/>
        <v>5.9667260888861207E-2</v>
      </c>
      <c r="M40" s="120">
        <f t="shared" si="2"/>
        <v>0</v>
      </c>
      <c r="N40" s="54">
        <f t="shared" si="2"/>
        <v>5.9667260888861207E-2</v>
      </c>
      <c r="O40" s="120">
        <f t="shared" si="2"/>
        <v>0</v>
      </c>
    </row>
    <row r="41" spans="1:15" x14ac:dyDescent="0.2">
      <c r="A41" s="42" t="s">
        <v>35</v>
      </c>
      <c r="B41" s="120">
        <f t="shared" si="0"/>
        <v>0</v>
      </c>
      <c r="C41" s="120">
        <f t="shared" si="0"/>
        <v>0</v>
      </c>
      <c r="D41" s="54">
        <f t="shared" si="0"/>
        <v>2.9220779220779924E-3</v>
      </c>
      <c r="E41" s="54">
        <f t="shared" si="0"/>
        <v>1.9230769230769273E-2</v>
      </c>
      <c r="F41" s="54">
        <f t="shared" si="0"/>
        <v>1.8181818181818188E-2</v>
      </c>
      <c r="G41" s="54">
        <f t="shared" si="0"/>
        <v>1.9230769230769273E-2</v>
      </c>
      <c r="I41" s="42" t="s">
        <v>35</v>
      </c>
      <c r="J41" s="120">
        <f t="shared" ref="J41:O41" si="3">J10-J20</f>
        <v>0</v>
      </c>
      <c r="K41" s="120">
        <f t="shared" si="3"/>
        <v>0</v>
      </c>
      <c r="L41" s="54">
        <f t="shared" si="3"/>
        <v>4.597859768214263E-2</v>
      </c>
      <c r="M41" s="54">
        <f t="shared" si="3"/>
        <v>2.9220779220779924E-3</v>
      </c>
      <c r="N41" s="54">
        <f t="shared" si="3"/>
        <v>2.9905276930015656E-2</v>
      </c>
      <c r="O41" s="54">
        <f t="shared" si="3"/>
        <v>1.8181818181818077E-2</v>
      </c>
    </row>
    <row r="42" spans="1:15" x14ac:dyDescent="0.2">
      <c r="A42" s="42" t="s">
        <v>36</v>
      </c>
      <c r="B42" s="120">
        <f t="shared" si="0"/>
        <v>0</v>
      </c>
      <c r="C42" s="120">
        <f t="shared" si="0"/>
        <v>0</v>
      </c>
      <c r="D42" s="54">
        <f t="shared" si="0"/>
        <v>9.27643784786647E-3</v>
      </c>
      <c r="E42" s="120">
        <f t="shared" si="0"/>
        <v>0</v>
      </c>
      <c r="F42" s="54">
        <f t="shared" si="0"/>
        <v>2.8409090909090939E-2</v>
      </c>
      <c r="G42" s="120">
        <f t="shared" si="0"/>
        <v>0</v>
      </c>
      <c r="I42" s="42" t="s">
        <v>36</v>
      </c>
      <c r="J42" s="120">
        <f t="shared" ref="J42:O42" si="4">J11-J21</f>
        <v>0</v>
      </c>
      <c r="K42" s="120">
        <f t="shared" si="4"/>
        <v>0</v>
      </c>
      <c r="L42" s="56">
        <f t="shared" si="4"/>
        <v>-1.3050304623543063E-2</v>
      </c>
      <c r="M42" s="54">
        <f t="shared" si="4"/>
        <v>9.27643784786647E-3</v>
      </c>
      <c r="N42" s="54">
        <f t="shared" si="4"/>
        <v>6.4835441679795824E-3</v>
      </c>
      <c r="O42" s="54">
        <f t="shared" si="4"/>
        <v>2.8409090909090939E-2</v>
      </c>
    </row>
    <row r="43" spans="1:15" x14ac:dyDescent="0.2">
      <c r="A43" s="42" t="s">
        <v>37</v>
      </c>
      <c r="B43" s="54">
        <f t="shared" si="0"/>
        <v>0.12560386473429952</v>
      </c>
      <c r="C43" s="56">
        <f t="shared" si="0"/>
        <v>-5.8823529411764719E-2</v>
      </c>
      <c r="D43" s="54">
        <f t="shared" si="0"/>
        <v>6.2111801242236031E-2</v>
      </c>
      <c r="E43" s="54">
        <f t="shared" si="0"/>
        <v>0.11904761904761901</v>
      </c>
      <c r="F43" s="54">
        <f t="shared" si="0"/>
        <v>0.11925465838509319</v>
      </c>
      <c r="G43" s="54">
        <f t="shared" si="0"/>
        <v>0.28571428571428575</v>
      </c>
      <c r="I43" s="42" t="s">
        <v>37</v>
      </c>
      <c r="J43" s="56">
        <f t="shared" ref="J43:O43" si="5">J12-J22</f>
        <v>-1.571289985443669E-2</v>
      </c>
      <c r="K43" s="213">
        <f t="shared" si="5"/>
        <v>0.12560386473429941</v>
      </c>
      <c r="L43" s="54">
        <f t="shared" si="5"/>
        <v>6.8865038271946122E-2</v>
      </c>
      <c r="M43" s="54">
        <f t="shared" si="5"/>
        <v>6.2111801242236031E-2</v>
      </c>
      <c r="N43" s="54">
        <f t="shared" si="5"/>
        <v>0.10249117192414148</v>
      </c>
      <c r="O43" s="54">
        <f t="shared" si="5"/>
        <v>0.11925465838509319</v>
      </c>
    </row>
    <row r="44" spans="1:15" x14ac:dyDescent="0.2">
      <c r="A44" s="42" t="s">
        <v>38</v>
      </c>
      <c r="B44" s="56">
        <f t="shared" si="0"/>
        <v>-4.1399914639351221E-2</v>
      </c>
      <c r="C44" s="54">
        <f t="shared" si="0"/>
        <v>1.7241379310344862E-2</v>
      </c>
      <c r="D44" s="54">
        <f t="shared" si="0"/>
        <v>5.0385109114248983E-2</v>
      </c>
      <c r="E44" s="56">
        <f t="shared" si="0"/>
        <v>-1.449275362318847E-2</v>
      </c>
      <c r="F44" s="54">
        <f t="shared" si="0"/>
        <v>9.9231540260607987E-2</v>
      </c>
      <c r="G44" s="120">
        <f t="shared" si="0"/>
        <v>0</v>
      </c>
      <c r="I44" s="42" t="s">
        <v>38</v>
      </c>
      <c r="J44" s="54">
        <f t="shared" ref="J44:O44" si="6">J13-J23</f>
        <v>6.4570290687821275E-2</v>
      </c>
      <c r="K44" s="56">
        <f t="shared" si="6"/>
        <v>-4.1399914639351221E-2</v>
      </c>
      <c r="L44" s="56">
        <f t="shared" si="6"/>
        <v>-2.3200325518727971E-2</v>
      </c>
      <c r="M44" s="54">
        <f t="shared" si="6"/>
        <v>5.0385109114248983E-2</v>
      </c>
      <c r="N44" s="56">
        <f t="shared" si="6"/>
        <v>-6.2927761874919219E-2</v>
      </c>
      <c r="O44" s="54">
        <f t="shared" si="6"/>
        <v>9.9231540260608098E-2</v>
      </c>
    </row>
    <row r="45" spans="1:15" x14ac:dyDescent="0.2">
      <c r="A45" s="42" t="s">
        <v>39</v>
      </c>
      <c r="B45" s="54">
        <f t="shared" si="0"/>
        <v>9.7826086956521729E-3</v>
      </c>
      <c r="C45" s="54">
        <f t="shared" si="0"/>
        <v>0.13333333333333341</v>
      </c>
      <c r="D45" s="54">
        <f t="shared" si="0"/>
        <v>0.49206349206349209</v>
      </c>
      <c r="E45" s="54">
        <f t="shared" si="0"/>
        <v>3.0303030303030276E-2</v>
      </c>
      <c r="F45" s="54">
        <f t="shared" si="0"/>
        <v>0.49206349206349209</v>
      </c>
      <c r="G45" s="54">
        <f t="shared" si="0"/>
        <v>3.0303030303030276E-2</v>
      </c>
      <c r="I45" s="42" t="s">
        <v>39</v>
      </c>
      <c r="J45" s="213">
        <f t="shared" ref="J45:O45" si="7">J14-J24</f>
        <v>0.29870183460210897</v>
      </c>
      <c r="K45" s="54">
        <f t="shared" si="7"/>
        <v>9.7826086956521729E-3</v>
      </c>
      <c r="L45" s="54">
        <f t="shared" si="7"/>
        <v>9.9519291726000159E-2</v>
      </c>
      <c r="M45" s="213">
        <f t="shared" si="7"/>
        <v>0.49206349206349209</v>
      </c>
      <c r="N45" s="54">
        <f t="shared" si="7"/>
        <v>9.9519291726000159E-2</v>
      </c>
      <c r="O45" s="213">
        <f t="shared" si="7"/>
        <v>0.49206349206349209</v>
      </c>
    </row>
    <row r="46" spans="1:15" x14ac:dyDescent="0.2">
      <c r="A46" s="42" t="s">
        <v>40</v>
      </c>
      <c r="B46" s="54">
        <f t="shared" si="0"/>
        <v>5.5226174791392135E-2</v>
      </c>
      <c r="C46" s="56">
        <f t="shared" si="0"/>
        <v>-9.3457943925233655E-3</v>
      </c>
      <c r="D46" s="56">
        <f t="shared" si="0"/>
        <v>-1.1155734047300303E-2</v>
      </c>
      <c r="E46" s="54">
        <f t="shared" si="0"/>
        <v>0.3214285714285714</v>
      </c>
      <c r="F46" s="56">
        <f t="shared" si="0"/>
        <v>-4.629629629628873E-4</v>
      </c>
      <c r="G46" s="54">
        <f t="shared" si="0"/>
        <v>0.29761904761904756</v>
      </c>
      <c r="I46" s="42" t="s">
        <v>40</v>
      </c>
      <c r="J46" s="213">
        <f t="shared" ref="J46:O46" si="8">J15-J25</f>
        <v>0.10983111734391404</v>
      </c>
      <c r="K46" s="54">
        <f t="shared" si="8"/>
        <v>5.5226174791392246E-2</v>
      </c>
      <c r="L46" s="213">
        <f t="shared" si="8"/>
        <v>0.17188615130936058</v>
      </c>
      <c r="M46" s="56">
        <f t="shared" si="8"/>
        <v>-1.1155734047300414E-2</v>
      </c>
      <c r="N46" s="213">
        <f t="shared" si="8"/>
        <v>0.24069752357344421</v>
      </c>
      <c r="O46" s="56">
        <f t="shared" si="8"/>
        <v>-4.6296296296299833E-4</v>
      </c>
    </row>
    <row r="47" spans="1:15" x14ac:dyDescent="0.2">
      <c r="A47" s="44" t="s">
        <v>41</v>
      </c>
      <c r="B47" s="121">
        <f t="shared" si="0"/>
        <v>0</v>
      </c>
      <c r="C47" s="121">
        <f t="shared" si="0"/>
        <v>0</v>
      </c>
      <c r="D47" s="121">
        <f t="shared" si="0"/>
        <v>0</v>
      </c>
      <c r="E47" s="121">
        <f t="shared" si="0"/>
        <v>0</v>
      </c>
      <c r="F47" s="121">
        <f t="shared" si="0"/>
        <v>0</v>
      </c>
      <c r="G47" s="121">
        <f t="shared" si="0"/>
        <v>0</v>
      </c>
      <c r="I47" s="44" t="s">
        <v>41</v>
      </c>
      <c r="J47" s="121">
        <f t="shared" ref="J47:O47" si="9">J16-J26</f>
        <v>0</v>
      </c>
      <c r="K47" s="121">
        <f t="shared" si="9"/>
        <v>0</v>
      </c>
      <c r="L47" s="121">
        <f t="shared" si="9"/>
        <v>0</v>
      </c>
      <c r="M47" s="121">
        <f t="shared" si="9"/>
        <v>0</v>
      </c>
      <c r="N47" s="121">
        <f t="shared" si="9"/>
        <v>0</v>
      </c>
      <c r="O47" s="121">
        <f t="shared" si="9"/>
        <v>0</v>
      </c>
    </row>
    <row r="48" spans="1:15" x14ac:dyDescent="0.2">
      <c r="D48" s="58"/>
    </row>
    <row r="49" spans="1:14" x14ac:dyDescent="0.2">
      <c r="A49" s="50" t="s">
        <v>45</v>
      </c>
      <c r="B49" s="52"/>
      <c r="C49" s="52"/>
      <c r="E49" t="s">
        <v>47</v>
      </c>
      <c r="F49" t="s">
        <v>48</v>
      </c>
      <c r="I49" s="50" t="s">
        <v>45</v>
      </c>
      <c r="J49" s="52"/>
      <c r="K49" s="52"/>
      <c r="M49" t="s">
        <v>47</v>
      </c>
      <c r="N49" t="s">
        <v>48</v>
      </c>
    </row>
    <row r="50" spans="1:14" x14ac:dyDescent="0.2">
      <c r="A50" s="51" t="s">
        <v>46</v>
      </c>
      <c r="B50" s="53"/>
      <c r="C50" s="53"/>
      <c r="E50" s="52">
        <v>27</v>
      </c>
      <c r="F50" s="4">
        <f>E50/$E$53</f>
        <v>0.5</v>
      </c>
      <c r="I50" s="51" t="s">
        <v>46</v>
      </c>
      <c r="J50" s="53"/>
      <c r="K50" s="53"/>
      <c r="M50" s="52">
        <v>30</v>
      </c>
      <c r="N50" s="4">
        <f>M50/$M$53</f>
        <v>0.55555555555555558</v>
      </c>
    </row>
    <row r="51" spans="1:14" x14ac:dyDescent="0.2">
      <c r="E51" s="53">
        <v>10</v>
      </c>
      <c r="F51" s="4">
        <f>E51/$E$53</f>
        <v>0.18518518518518517</v>
      </c>
      <c r="M51" s="53">
        <v>11</v>
      </c>
      <c r="N51" s="4">
        <f>M51/$M$53</f>
        <v>0.20370370370370369</v>
      </c>
    </row>
    <row r="52" spans="1:14" x14ac:dyDescent="0.2">
      <c r="E52">
        <v>17</v>
      </c>
      <c r="F52" s="4">
        <f>E52/$E$53</f>
        <v>0.31481481481481483</v>
      </c>
      <c r="M52">
        <v>13</v>
      </c>
      <c r="N52" s="4">
        <f>M52/$M$53</f>
        <v>0.24074074074074073</v>
      </c>
    </row>
    <row r="53" spans="1:14" x14ac:dyDescent="0.2">
      <c r="D53" s="59" t="s">
        <v>0</v>
      </c>
      <c r="E53">
        <f>SUM(E50:E52)</f>
        <v>54</v>
      </c>
      <c r="L53" s="59" t="s">
        <v>0</v>
      </c>
      <c r="M53">
        <f>SUM(M50:M52)</f>
        <v>54</v>
      </c>
    </row>
  </sheetData>
  <mergeCells count="20">
    <mergeCell ref="N5:O5"/>
    <mergeCell ref="F5:G5"/>
    <mergeCell ref="D5:E5"/>
    <mergeCell ref="B5:C5"/>
    <mergeCell ref="A4:A6"/>
    <mergeCell ref="B4:E4"/>
    <mergeCell ref="F4:G4"/>
    <mergeCell ref="J4:M4"/>
    <mergeCell ref="N4:O4"/>
    <mergeCell ref="I4:I6"/>
    <mergeCell ref="J5:K5"/>
    <mergeCell ref="L5:M5"/>
    <mergeCell ref="I17:O17"/>
    <mergeCell ref="I27:O27"/>
    <mergeCell ref="I38:O38"/>
    <mergeCell ref="I7:O7"/>
    <mergeCell ref="A17:G17"/>
    <mergeCell ref="A27:G27"/>
    <mergeCell ref="A7:G7"/>
    <mergeCell ref="A38:G38"/>
  </mergeCells>
  <pageMargins left="0.7" right="0.7" top="0.75" bottom="0.75" header="0.3" footer="0.3"/>
  <pageSetup orientation="portrait" horizontalDpi="0" verticalDpi="0"/>
  <ignoredErrors>
    <ignoredError sqref="N5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32"/>
  <sheetViews>
    <sheetView zoomScale="90" zoomScaleNormal="90" zoomScalePageLayoutView="125" workbookViewId="0"/>
  </sheetViews>
  <sheetFormatPr baseColWidth="10" defaultColWidth="10.83203125" defaultRowHeight="16" x14ac:dyDescent="0.2"/>
  <cols>
    <col min="1" max="1" width="15.83203125" style="72" customWidth="1"/>
    <col min="2" max="10" width="8.83203125" style="72" customWidth="1"/>
    <col min="11" max="11" width="10.83203125" style="72"/>
    <col min="12" max="12" width="15.83203125" style="72" customWidth="1"/>
    <col min="13" max="21" width="8.83203125" style="72" customWidth="1"/>
    <col min="22" max="16384" width="10.83203125" style="72"/>
  </cols>
  <sheetData>
    <row r="1" spans="1:21" ht="19" x14ac:dyDescent="0.25">
      <c r="A1" s="73" t="s">
        <v>66</v>
      </c>
    </row>
    <row r="3" spans="1:21" x14ac:dyDescent="0.2">
      <c r="A3" s="88" t="s">
        <v>68</v>
      </c>
      <c r="L3" s="218" t="s">
        <v>67</v>
      </c>
      <c r="M3" s="219"/>
      <c r="N3" s="219"/>
      <c r="O3" s="219"/>
      <c r="P3" s="219"/>
      <c r="Q3" s="219"/>
      <c r="R3" s="219"/>
      <c r="S3" s="219"/>
      <c r="T3" s="219"/>
      <c r="U3" s="219"/>
    </row>
    <row r="4" spans="1:21" x14ac:dyDescent="0.2">
      <c r="A4" s="80"/>
      <c r="B4" s="201" t="s">
        <v>30</v>
      </c>
      <c r="C4" s="201"/>
      <c r="D4" s="201"/>
      <c r="E4" s="201"/>
      <c r="F4" s="201"/>
      <c r="G4" s="201"/>
      <c r="H4" s="201" t="s">
        <v>31</v>
      </c>
      <c r="I4" s="201"/>
      <c r="J4" s="201"/>
      <c r="L4" s="80"/>
      <c r="M4" s="201" t="s">
        <v>30</v>
      </c>
      <c r="N4" s="201"/>
      <c r="O4" s="201"/>
      <c r="P4" s="201"/>
      <c r="Q4" s="201"/>
      <c r="R4" s="201"/>
      <c r="S4" s="201" t="s">
        <v>31</v>
      </c>
      <c r="T4" s="201"/>
      <c r="U4" s="201"/>
    </row>
    <row r="5" spans="1:21" x14ac:dyDescent="0.2">
      <c r="A5" s="81" t="s">
        <v>29</v>
      </c>
      <c r="B5" s="202">
        <v>1995</v>
      </c>
      <c r="C5" s="202"/>
      <c r="D5" s="202"/>
      <c r="E5" s="202">
        <v>2015</v>
      </c>
      <c r="F5" s="202"/>
      <c r="G5" s="202"/>
      <c r="H5" s="202">
        <v>2015</v>
      </c>
      <c r="I5" s="202"/>
      <c r="J5" s="202"/>
      <c r="L5" s="81" t="s">
        <v>29</v>
      </c>
      <c r="M5" s="202">
        <v>1995</v>
      </c>
      <c r="N5" s="202"/>
      <c r="O5" s="202"/>
      <c r="P5" s="202">
        <v>2015</v>
      </c>
      <c r="Q5" s="202"/>
      <c r="R5" s="202"/>
      <c r="S5" s="202">
        <v>2015</v>
      </c>
      <c r="T5" s="202"/>
      <c r="U5" s="202"/>
    </row>
    <row r="6" spans="1:21" x14ac:dyDescent="0.2">
      <c r="A6" s="82"/>
      <c r="B6" s="83" t="s">
        <v>59</v>
      </c>
      <c r="C6" s="83" t="s">
        <v>60</v>
      </c>
      <c r="D6" s="83" t="s">
        <v>61</v>
      </c>
      <c r="E6" s="83" t="s">
        <v>59</v>
      </c>
      <c r="F6" s="83" t="s">
        <v>62</v>
      </c>
      <c r="G6" s="83" t="s">
        <v>63</v>
      </c>
      <c r="H6" s="83" t="s">
        <v>59</v>
      </c>
      <c r="I6" s="83" t="s">
        <v>62</v>
      </c>
      <c r="J6" s="83" t="s">
        <v>63</v>
      </c>
      <c r="L6" s="82"/>
      <c r="M6" s="83" t="s">
        <v>59</v>
      </c>
      <c r="N6" s="83" t="s">
        <v>60</v>
      </c>
      <c r="O6" s="83" t="s">
        <v>61</v>
      </c>
      <c r="P6" s="83" t="s">
        <v>59</v>
      </c>
      <c r="Q6" s="83" t="s">
        <v>62</v>
      </c>
      <c r="R6" s="83" t="s">
        <v>63</v>
      </c>
      <c r="S6" s="83" t="s">
        <v>59</v>
      </c>
      <c r="T6" s="83" t="s">
        <v>62</v>
      </c>
      <c r="U6" s="83" t="s">
        <v>63</v>
      </c>
    </row>
    <row r="7" spans="1:21" x14ac:dyDescent="0.2">
      <c r="A7" s="74" t="s">
        <v>33</v>
      </c>
      <c r="B7" s="152">
        <f>(2*'UA PA'!B18*'UA PA'!C18)/('UA PA'!B18+'UA PA'!C18)</f>
        <v>0.91200000000000014</v>
      </c>
      <c r="C7" s="125">
        <f>(2*'UA PA'!B28*'UA PA'!C28)/('UA PA'!B28+'UA PA'!C28)</f>
        <v>0.31292517006802723</v>
      </c>
      <c r="D7" s="153">
        <f>(2*'UA PA'!B8*'UA PA'!C8)/('UA PA'!B8+'UA PA'!C8)</f>
        <v>0.92682926829268286</v>
      </c>
      <c r="E7" s="153">
        <f>(2*'UA PA'!D18*'UA PA'!E18)/('UA PA'!D18+'UA PA'!E18)</f>
        <v>0.97872340425531912</v>
      </c>
      <c r="F7" s="125">
        <f>(2*'UA PA'!D28*'UA PA'!E28)/('UA PA'!D28+'UA PA'!E28)</f>
        <v>0.16129032258064516</v>
      </c>
      <c r="G7" s="152">
        <f>(2*'UA PA'!D8*'UA PA'!E8)/('UA PA'!D8+'UA PA'!E8)</f>
        <v>0.95744680851063835</v>
      </c>
      <c r="H7" s="153">
        <f>(2*'UA PA'!F18*'UA PA'!G18)/('UA PA'!F18+'UA PA'!G18)</f>
        <v>0.97872340425531912</v>
      </c>
      <c r="I7" s="125">
        <f>(2*'UA PA'!F28*'UA PA'!G28)/('UA PA'!F28+'UA PA'!G28)</f>
        <v>0.53594771241830064</v>
      </c>
      <c r="J7" s="152">
        <f>(2*'UA PA'!F8*'UA PA'!G8)/('UA PA'!F8+'UA PA'!G8)</f>
        <v>0.9375</v>
      </c>
      <c r="L7" s="74" t="s">
        <v>33</v>
      </c>
      <c r="M7" s="152">
        <f>(2*'UA PA'!J18*'UA PA'!K18)/('UA PA'!J18+'UA PA'!K18)</f>
        <v>0.96103725418135166</v>
      </c>
      <c r="N7" s="125">
        <f>(2*'UA PA'!J28*'UA PA'!K28)/('UA PA'!J28+'UA PA'!K28)</f>
        <v>0.46903184419386124</v>
      </c>
      <c r="O7" s="152">
        <f>(2*'UA PA'!J8*'UA PA'!K8)/('UA PA'!J8+'UA PA'!K8)</f>
        <v>0.97780120830638606</v>
      </c>
      <c r="P7" s="153">
        <f>(2*'UA PA'!L18*'UA PA'!M18)/('UA PA'!L18+'UA PA'!M18)</f>
        <v>0.97872340425531912</v>
      </c>
      <c r="Q7" s="125">
        <f>(2*'UA PA'!L28*'UA PA'!M28)/('UA PA'!L28+'UA PA'!M28)</f>
        <v>0.27332663016305164</v>
      </c>
      <c r="R7" s="152">
        <f>(2*'UA PA'!L8*'UA PA'!M8)/('UA PA'!L8+'UA PA'!M8)</f>
        <v>0.96347166163224052</v>
      </c>
      <c r="S7" s="153">
        <f>(2*'UA PA'!N18*'UA PA'!O18)/('UA PA'!N18+'UA PA'!O18)</f>
        <v>0.97872340425531912</v>
      </c>
      <c r="T7" s="125">
        <f>(2*'UA PA'!N28*'UA PA'!O28)/('UA PA'!N28+'UA PA'!O28)</f>
        <v>0.65265836986465353</v>
      </c>
      <c r="U7" s="152">
        <f>(2*'UA PA'!N8*'UA PA'!O8)/('UA PA'!N8+'UA PA'!O8)</f>
        <v>0.94410364874839858</v>
      </c>
    </row>
    <row r="8" spans="1:21" x14ac:dyDescent="0.2">
      <c r="A8" s="74" t="s">
        <v>34</v>
      </c>
      <c r="B8" s="152">
        <f>(2*'UA PA'!B19*'UA PA'!C19)/('UA PA'!B19+'UA PA'!C19)</f>
        <v>0.97854077253218885</v>
      </c>
      <c r="C8" s="125">
        <f>(2*'UA PA'!B29*'UA PA'!C29)/('UA PA'!B29+'UA PA'!C29)</f>
        <v>4.3956043956043959E-2</v>
      </c>
      <c r="D8" s="153">
        <f>(2*'UA PA'!B9*'UA PA'!C9)/('UA PA'!B9+'UA PA'!C9)</f>
        <v>0.99152542372881347</v>
      </c>
      <c r="E8" s="152">
        <f>(2*'UA PA'!D19*'UA PA'!E19)/('UA PA'!D19+'UA PA'!E19)</f>
        <v>0.98591549295774639</v>
      </c>
      <c r="F8" s="125">
        <f>(2*'UA PA'!D29*'UA PA'!E29)/('UA PA'!D29+'UA PA'!E29)</f>
        <v>0.7364016736401674</v>
      </c>
      <c r="G8" s="153">
        <f>(2*'UA PA'!D9*'UA PA'!E9)/('UA PA'!D9+'UA PA'!E9)</f>
        <v>1</v>
      </c>
      <c r="H8" s="152">
        <f>(2*'UA PA'!F19*'UA PA'!G19)/('UA PA'!F19+'UA PA'!G19)</f>
        <v>0.98591549295774639</v>
      </c>
      <c r="I8" s="125">
        <f>(2*'UA PA'!F29*'UA PA'!G29)/('UA PA'!F29+'UA PA'!G29)</f>
        <v>0.74380165289256206</v>
      </c>
      <c r="J8" s="153">
        <f>(2*'UA PA'!F9*'UA PA'!G9)/('UA PA'!F9+'UA PA'!G9)</f>
        <v>1</v>
      </c>
      <c r="L8" s="74" t="s">
        <v>34</v>
      </c>
      <c r="M8" s="125">
        <f>(2*'UA PA'!J19*'UA PA'!K19)/('UA PA'!J19+'UA PA'!K19)</f>
        <v>0.74483495513766107</v>
      </c>
      <c r="N8" s="125">
        <f>(2*'UA PA'!J29*'UA PA'!K29)/('UA PA'!J29+'UA PA'!K29)</f>
        <v>1.2023635168892726E-2</v>
      </c>
      <c r="O8" s="125">
        <f>(2*'UA PA'!J9*'UA PA'!K9)/('UA PA'!J9+'UA PA'!K9)</f>
        <v>0.79634153394938745</v>
      </c>
      <c r="P8" s="152">
        <f>(2*'UA PA'!L19*'UA PA'!M19)/('UA PA'!L19+'UA PA'!M19)</f>
        <v>0.9692489542199888</v>
      </c>
      <c r="Q8" s="125">
        <f>(2*'UA PA'!L29*'UA PA'!M29)/('UA PA'!L29+'UA PA'!M29)</f>
        <v>0.59365183108983577</v>
      </c>
      <c r="R8" s="153">
        <f>(2*'UA PA'!L9*'UA PA'!M9)/('UA PA'!L9+'UA PA'!M9)</f>
        <v>1</v>
      </c>
      <c r="S8" s="152">
        <f>(2*'UA PA'!N19*'UA PA'!O19)/('UA PA'!N19+'UA PA'!O19)</f>
        <v>0.9692489542199888</v>
      </c>
      <c r="T8" s="125">
        <f>(2*'UA PA'!N29*'UA PA'!O29)/('UA PA'!N29+'UA PA'!O29)</f>
        <v>0.62469666154228365</v>
      </c>
      <c r="U8" s="153">
        <f>(2*'UA PA'!N9*'UA PA'!O9)/('UA PA'!N9+'UA PA'!O9)</f>
        <v>1</v>
      </c>
    </row>
    <row r="9" spans="1:21" x14ac:dyDescent="0.2">
      <c r="A9" s="74" t="s">
        <v>35</v>
      </c>
      <c r="B9" s="153">
        <f>(2*'UA PA'!B20*'UA PA'!C20)/('UA PA'!B20+'UA PA'!C20)</f>
        <v>0.95483870967741924</v>
      </c>
      <c r="C9" s="125">
        <f>(2*'UA PA'!B30*'UA PA'!C30)/('UA PA'!B30+'UA PA'!C30)</f>
        <v>0.34868421052631576</v>
      </c>
      <c r="D9" s="153">
        <f>(2*'UA PA'!B10*'UA PA'!C10)/('UA PA'!B10+'UA PA'!C10)</f>
        <v>0.95483870967741924</v>
      </c>
      <c r="E9" s="152">
        <f>(2*'UA PA'!D20*'UA PA'!E20)/('UA PA'!D20+'UA PA'!E20)</f>
        <v>0.85981308411214941</v>
      </c>
      <c r="F9" s="125">
        <f>(2*'UA PA'!D30*'UA PA'!E30)/('UA PA'!D30+'UA PA'!E30)</f>
        <v>0.45933014354066987</v>
      </c>
      <c r="G9" s="153">
        <f>(2*'UA PA'!D10*'UA PA'!E10)/('UA PA'!D10+'UA PA'!E10)</f>
        <v>0.87037037037037035</v>
      </c>
      <c r="H9" s="152">
        <f>(2*'UA PA'!F20*'UA PA'!G20)/('UA PA'!F20+'UA PA'!G20)</f>
        <v>0.85981308411214941</v>
      </c>
      <c r="I9" s="125">
        <f>(2*'UA PA'!F30*'UA PA'!G30)/('UA PA'!F30+'UA PA'!G30)</f>
        <v>0.57286432160804013</v>
      </c>
      <c r="J9" s="153">
        <f>(2*'UA PA'!F10*'UA PA'!G10)/('UA PA'!F10+'UA PA'!G10)</f>
        <v>0.87850467289719625</v>
      </c>
      <c r="L9" s="74" t="s">
        <v>35</v>
      </c>
      <c r="M9" s="153">
        <f>(2*'UA PA'!J20*'UA PA'!K20)/('UA PA'!J20+'UA PA'!K20)</f>
        <v>0.95483870967741935</v>
      </c>
      <c r="N9" s="125">
        <f>(2*'UA PA'!J30*'UA PA'!K30)/('UA PA'!J30+'UA PA'!K30)</f>
        <v>0.30813312079712396</v>
      </c>
      <c r="O9" s="153">
        <f>(2*'UA PA'!J10*'UA PA'!K10)/('UA PA'!J10+'UA PA'!K10)</f>
        <v>0.95483870967741935</v>
      </c>
      <c r="P9" s="125">
        <f>(2*'UA PA'!L20*'UA PA'!M20)/('UA PA'!L20+'UA PA'!M20)</f>
        <v>0.73478958820841911</v>
      </c>
      <c r="Q9" s="125">
        <f>(2*'UA PA'!L30*'UA PA'!M30)/('UA PA'!L30+'UA PA'!M30)</f>
        <v>0.45362333082066336</v>
      </c>
      <c r="R9" s="125">
        <f>(2*'UA PA'!L10*'UA PA'!M10)/('UA PA'!L10+'UA PA'!M10)</f>
        <v>0.76405049424029126</v>
      </c>
      <c r="S9" s="125">
        <f>(2*'UA PA'!N20*'UA PA'!O20)/('UA PA'!N20+'UA PA'!O20)</f>
        <v>0.73478958820841911</v>
      </c>
      <c r="T9" s="125">
        <f>(2*'UA PA'!N30*'UA PA'!O30)/('UA PA'!N30+'UA PA'!O30)</f>
        <v>0.57810163548046456</v>
      </c>
      <c r="U9" s="126">
        <f>(2*'UA PA'!N10*'UA PA'!O10)/('UA PA'!N10+'UA PA'!O10)</f>
        <v>0.76051136952646703</v>
      </c>
    </row>
    <row r="10" spans="1:21" x14ac:dyDescent="0.2">
      <c r="A10" s="74" t="s">
        <v>36</v>
      </c>
      <c r="B10" s="153">
        <f>(2*'UA PA'!B21*'UA PA'!C21)/('UA PA'!B21+'UA PA'!C21)</f>
        <v>1</v>
      </c>
      <c r="C10" s="125">
        <f>(2*'UA PA'!B31*'UA PA'!C31)/('UA PA'!B31+'UA PA'!C31)</f>
        <v>0.21757322175732219</v>
      </c>
      <c r="D10" s="153">
        <f>(2*'UA PA'!B11*'UA PA'!C11)/('UA PA'!B11+'UA PA'!C11)</f>
        <v>1</v>
      </c>
      <c r="E10" s="152">
        <f>(2*'UA PA'!D21*'UA PA'!E21)/('UA PA'!D21+'UA PA'!E21)</f>
        <v>0.92307692307692302</v>
      </c>
      <c r="F10" s="125">
        <f>(2*'UA PA'!D31*'UA PA'!E31)/('UA PA'!D31+'UA PA'!E31)</f>
        <v>0.65714285714285725</v>
      </c>
      <c r="G10" s="153">
        <f>(2*'UA PA'!D11*'UA PA'!E11)/('UA PA'!D11+'UA PA'!E11)</f>
        <v>0.92783505154639179</v>
      </c>
      <c r="H10" s="152">
        <f>(2*'UA PA'!F21*'UA PA'!G21)/('UA PA'!F21+'UA PA'!G21)</f>
        <v>0.92307692307692302</v>
      </c>
      <c r="I10" s="125">
        <f>(2*'UA PA'!F31*'UA PA'!G31)/('UA PA'!F31+'UA PA'!G31)</f>
        <v>0.73306772908366535</v>
      </c>
      <c r="J10" s="153">
        <f>(2*'UA PA'!F11*'UA PA'!G11)/('UA PA'!F11+'UA PA'!G11)</f>
        <v>0.9375</v>
      </c>
      <c r="L10" s="74" t="s">
        <v>36</v>
      </c>
      <c r="M10" s="153">
        <f>(2*'UA PA'!J21*'UA PA'!K21)/('UA PA'!J21+'UA PA'!K21)</f>
        <v>1</v>
      </c>
      <c r="N10" s="125">
        <f>(2*'UA PA'!J31*'UA PA'!K31)/('UA PA'!J31+'UA PA'!K31)</f>
        <v>0.1888157985679052</v>
      </c>
      <c r="O10" s="153">
        <f>(2*'UA PA'!J11*'UA PA'!K11)/('UA PA'!J11+'UA PA'!K11)</f>
        <v>1</v>
      </c>
      <c r="P10" s="125">
        <f>(2*'UA PA'!L21*'UA PA'!M21)/('UA PA'!L21+'UA PA'!M21)</f>
        <v>0.77347845370885304</v>
      </c>
      <c r="Q10" s="125">
        <f>(2*'UA PA'!L31*'UA PA'!M31)/('UA PA'!L31+'UA PA'!M31)</f>
        <v>0.62263085298082488</v>
      </c>
      <c r="R10" s="125">
        <f>(2*'UA PA'!L11*'UA PA'!M11)/('UA PA'!L11+'UA PA'!M11)</f>
        <v>0.7680529955797345</v>
      </c>
      <c r="S10" s="125">
        <f>(2*'UA PA'!N21*'UA PA'!O21)/('UA PA'!N21+'UA PA'!O21)</f>
        <v>0.77347845370885304</v>
      </c>
      <c r="T10" s="125">
        <f>(2*'UA PA'!N31*'UA PA'!O31)/('UA PA'!N31+'UA PA'!O31)</f>
        <v>0.68325599977087892</v>
      </c>
      <c r="U10" s="126">
        <f>(2*'UA PA'!N11*'UA PA'!O11)/('UA PA'!N11+'UA PA'!O11)</f>
        <v>0.78795584010848296</v>
      </c>
    </row>
    <row r="11" spans="1:21" x14ac:dyDescent="0.2">
      <c r="A11" s="74" t="s">
        <v>37</v>
      </c>
      <c r="B11" s="125">
        <f>(2*'UA PA'!B22*'UA PA'!C22)/('UA PA'!B22+'UA PA'!C22)</f>
        <v>0.75</v>
      </c>
      <c r="C11" s="125">
        <f>(2*'UA PA'!B32*'UA PA'!C32)/('UA PA'!B32+'UA PA'!C32)</f>
        <v>4.8192771084337345E-2</v>
      </c>
      <c r="D11" s="126">
        <f>(2*'UA PA'!B12*'UA PA'!C12)/('UA PA'!B12+'UA PA'!C12)</f>
        <v>0.79999999999999993</v>
      </c>
      <c r="E11" s="125">
        <f>(2*'UA PA'!D22*'UA PA'!E22)/('UA PA'!D22+'UA PA'!E22)</f>
        <v>0.46153846153846151</v>
      </c>
      <c r="F11" s="125">
        <f>(2*'UA PA'!D32*'UA PA'!E32)/('UA PA'!D32+'UA PA'!E32)</f>
        <v>0.16666666666666666</v>
      </c>
      <c r="G11" s="126">
        <f>(2*'UA PA'!D12*'UA PA'!E12)/('UA PA'!D12+'UA PA'!E12)</f>
        <v>0.5714285714285714</v>
      </c>
      <c r="H11" s="125">
        <f>(2*'UA PA'!F22*'UA PA'!G22)/('UA PA'!F22+'UA PA'!G22)</f>
        <v>0.46153846153846151</v>
      </c>
      <c r="I11" s="125" t="e">
        <f>(2*'UA PA'!F32*'UA PA'!G32)/('UA PA'!F32+'UA PA'!G32)</f>
        <v>#DIV/0!</v>
      </c>
      <c r="J11" s="126">
        <f>(2*'UA PA'!F12*'UA PA'!G12)/('UA PA'!F12+'UA PA'!G12)</f>
        <v>0.70129870129870131</v>
      </c>
      <c r="L11" s="74" t="s">
        <v>37</v>
      </c>
      <c r="M11" s="125">
        <f>(2*'UA PA'!J22*'UA PA'!K22)/('UA PA'!J22+'UA PA'!K22)</f>
        <v>0.78568841038945714</v>
      </c>
      <c r="N11" s="125">
        <f>(2*'UA PA'!J32*'UA PA'!K32)/('UA PA'!J32+'UA PA'!K32)</f>
        <v>2.5445401880663403E-2</v>
      </c>
      <c r="O11" s="153">
        <f>(2*'UA PA'!J12*'UA PA'!K12)/('UA PA'!J12+'UA PA'!K12)</f>
        <v>0.86420029724296665</v>
      </c>
      <c r="P11" s="125">
        <f>(2*'UA PA'!L22*'UA PA'!M22)/('UA PA'!L22+'UA PA'!M22)</f>
        <v>0.70168731815877117</v>
      </c>
      <c r="Q11" s="125">
        <f>(2*'UA PA'!L32*'UA PA'!M32)/('UA PA'!L32+'UA PA'!M32)</f>
        <v>0.24850721047800378</v>
      </c>
      <c r="R11" s="125">
        <f>(2*'UA PA'!L12*'UA PA'!M12)/('UA PA'!L12+'UA PA'!M12)</f>
        <v>0.76703719928608294</v>
      </c>
      <c r="S11" s="125">
        <f>(2*'UA PA'!N22*'UA PA'!O22)/('UA PA'!N22+'UA PA'!O22)</f>
        <v>0.70168731815877117</v>
      </c>
      <c r="T11" s="125" t="e">
        <f>(2*'UA PA'!N32*'UA PA'!O32)/('UA PA'!N32+'UA PA'!O32)</f>
        <v>#DIV/0!</v>
      </c>
      <c r="U11" s="153">
        <f>(2*'UA PA'!N12*'UA PA'!O12)/('UA PA'!N12+'UA PA'!O12)</f>
        <v>0.81412640376241441</v>
      </c>
    </row>
    <row r="12" spans="1:21" x14ac:dyDescent="0.2">
      <c r="A12" s="74" t="s">
        <v>38</v>
      </c>
      <c r="B12" s="126">
        <f>(2*'UA PA'!B23*'UA PA'!C23)/('UA PA'!B23+'UA PA'!C23)</f>
        <v>0.83870967741935487</v>
      </c>
      <c r="C12" s="125">
        <f>(2*'UA PA'!B33*'UA PA'!C33)/('UA PA'!B33+'UA PA'!C33)</f>
        <v>0.40989399293286222</v>
      </c>
      <c r="D12" s="125">
        <f>(2*'UA PA'!B13*'UA PA'!C13)/('UA PA'!B13+'UA PA'!C13)</f>
        <v>0.82170542635658916</v>
      </c>
      <c r="E12" s="152">
        <f>(2*'UA PA'!D23*'UA PA'!E23)/('UA PA'!D23+'UA PA'!E23)</f>
        <v>0.87417218543046371</v>
      </c>
      <c r="F12" s="125">
        <f>(2*'UA PA'!D33*'UA PA'!E33)/('UA PA'!D33+'UA PA'!E33)</f>
        <v>0.40000000000000008</v>
      </c>
      <c r="G12" s="153">
        <f>(2*'UA PA'!D13*'UA PA'!E13)/('UA PA'!D13+'UA PA'!E13)</f>
        <v>0.89655172413793094</v>
      </c>
      <c r="H12" s="152">
        <f>(2*'UA PA'!F23*'UA PA'!G23)/('UA PA'!F23+'UA PA'!G23)</f>
        <v>0.87417218543046371</v>
      </c>
      <c r="I12" s="125">
        <f>(2*'UA PA'!F33*'UA PA'!G33)/('UA PA'!F33+'UA PA'!G33)</f>
        <v>0.56862745098039225</v>
      </c>
      <c r="J12" s="153">
        <f>(2*'UA PA'!F13*'UA PA'!G13)/('UA PA'!F13+'UA PA'!G13)</f>
        <v>0.92957746478873249</v>
      </c>
      <c r="L12" s="74" t="s">
        <v>38</v>
      </c>
      <c r="M12" s="125">
        <f>(2*'UA PA'!J23*'UA PA'!K23)/('UA PA'!J23+'UA PA'!K23)</f>
        <v>0.69762344978612834</v>
      </c>
      <c r="N12" s="125">
        <f>(2*'UA PA'!J33*'UA PA'!K33)/('UA PA'!J33+'UA PA'!K33)</f>
        <v>0.41910796034878417</v>
      </c>
      <c r="O12" s="125">
        <f>(2*'UA PA'!J13*'UA PA'!K13)/('UA PA'!J13+'UA PA'!K13)</f>
        <v>0.71739445954834347</v>
      </c>
      <c r="P12" s="152">
        <f>(2*'UA PA'!L23*'UA PA'!M23)/('UA PA'!L23+'UA PA'!M23)</f>
        <v>0.89042179338307059</v>
      </c>
      <c r="Q12" s="125">
        <f>(2*'UA PA'!L33*'UA PA'!M33)/('UA PA'!L33+'UA PA'!M33)</f>
        <v>0.2597194157373971</v>
      </c>
      <c r="R12" s="153">
        <f>(2*'UA PA'!L13*'UA PA'!M13)/('UA PA'!L13+'UA PA'!M13)</f>
        <v>0.91038916336075559</v>
      </c>
      <c r="S12" s="152">
        <f>(2*'UA PA'!N23*'UA PA'!O23)/('UA PA'!N23+'UA PA'!O23)</f>
        <v>0.89042179338307059</v>
      </c>
      <c r="T12" s="125">
        <f>(2*'UA PA'!N33*'UA PA'!O33)/('UA PA'!N33+'UA PA'!O33)</f>
        <v>0.20968191521279236</v>
      </c>
      <c r="U12" s="153">
        <f>(2*'UA PA'!N13*'UA PA'!O13)/('UA PA'!N13+'UA PA'!O13)</f>
        <v>0.91851341553496524</v>
      </c>
    </row>
    <row r="13" spans="1:21" x14ac:dyDescent="0.2">
      <c r="A13" s="74" t="s">
        <v>39</v>
      </c>
      <c r="B13" s="152">
        <f>(2*'UA PA'!B24*'UA PA'!C24)/('UA PA'!B24+'UA PA'!C24)</f>
        <v>0.87058823529411766</v>
      </c>
      <c r="C13" s="152">
        <f>(2*'UA PA'!B34*'UA PA'!C34)/('UA PA'!B34+'UA PA'!C34)</f>
        <v>0.90769230769230769</v>
      </c>
      <c r="D13" s="153">
        <f>(2*'UA PA'!B14*'UA PA'!C14)/('UA PA'!B14+'UA PA'!C14)</f>
        <v>0.94505494505494503</v>
      </c>
      <c r="E13" s="125">
        <f>(2*'UA PA'!D24*'UA PA'!E24)/('UA PA'!D24+'UA PA'!E24)</f>
        <v>0.66666666666666663</v>
      </c>
      <c r="F13" s="125">
        <f>(2*'UA PA'!D34*'UA PA'!E34)/('UA PA'!D34+'UA PA'!E34)</f>
        <v>0.7679999999999999</v>
      </c>
      <c r="G13" s="153">
        <f>(2*'UA PA'!D14*'UA PA'!E14)/('UA PA'!D14+'UA PA'!E14)</f>
        <v>1</v>
      </c>
      <c r="H13" s="125">
        <f>(2*'UA PA'!F24*'UA PA'!G24)/('UA PA'!F24+'UA PA'!G24)</f>
        <v>0.66666666666666663</v>
      </c>
      <c r="I13" s="125">
        <f>(2*'UA PA'!F34*'UA PA'!G34)/('UA PA'!F34+'UA PA'!G34)</f>
        <v>0.7967479674796748</v>
      </c>
      <c r="J13" s="153">
        <f>(2*'UA PA'!F14*'UA PA'!G14)/('UA PA'!F14+'UA PA'!G14)</f>
        <v>1</v>
      </c>
      <c r="L13" s="74" t="s">
        <v>39</v>
      </c>
      <c r="M13" s="125">
        <f>(2*'UA PA'!J24*'UA PA'!K24)/('UA PA'!J24+'UA PA'!K24)</f>
        <v>0.69889979088392673</v>
      </c>
      <c r="N13" s="152">
        <f>(2*'UA PA'!J34*'UA PA'!K34)/('UA PA'!J34+'UA PA'!K34)</f>
        <v>0.81824303902591633</v>
      </c>
      <c r="O13" s="152">
        <f>(2*'UA PA'!J14*'UA PA'!K14)/('UA PA'!J14+'UA PA'!K14)</f>
        <v>0.8960085714406909</v>
      </c>
      <c r="P13" s="125">
        <f>(2*'UA PA'!L24*'UA PA'!M24)/('UA PA'!L24+'UA PA'!M24)</f>
        <v>0.64950502047331671</v>
      </c>
      <c r="Q13" s="125">
        <f>(2*'UA PA'!L34*'UA PA'!M34)/('UA PA'!L34+'UA PA'!M34)</f>
        <v>0.77059895883711238</v>
      </c>
      <c r="R13" s="153">
        <f>(2*'UA PA'!L14*'UA PA'!M14)/('UA PA'!L14+'UA PA'!M14)</f>
        <v>1</v>
      </c>
      <c r="S13" s="125">
        <f>(2*'UA PA'!N24*'UA PA'!O24)/('UA PA'!N24+'UA PA'!O24)</f>
        <v>0.64950502047331671</v>
      </c>
      <c r="T13" s="125">
        <f>(2*'UA PA'!N34*'UA PA'!O34)/('UA PA'!N34+'UA PA'!O34)</f>
        <v>0.79746401515234266</v>
      </c>
      <c r="U13" s="153">
        <f>(2*'UA PA'!N14*'UA PA'!O14)/('UA PA'!N14+'UA PA'!O14)</f>
        <v>1</v>
      </c>
    </row>
    <row r="14" spans="1:21" x14ac:dyDescent="0.2">
      <c r="A14" s="74" t="s">
        <v>40</v>
      </c>
      <c r="B14" s="125">
        <f>(2*'UA PA'!B25*'UA PA'!C25)/('UA PA'!B25+'UA PA'!C25)</f>
        <v>0.83495145631067957</v>
      </c>
      <c r="C14" s="125">
        <f>(2*'UA PA'!B35*'UA PA'!C35)/('UA PA'!B35+'UA PA'!C35)</f>
        <v>0.37735849056603776</v>
      </c>
      <c r="D14" s="153">
        <f>(2*'UA PA'!B15*'UA PA'!C15)/('UA PA'!B15+'UA PA'!C15)</f>
        <v>0.85427135678391952</v>
      </c>
      <c r="E14" s="125">
        <f>(2*'UA PA'!D25*'UA PA'!E25)/('UA PA'!D25+'UA PA'!E25)</f>
        <v>0.75362318840579712</v>
      </c>
      <c r="F14" s="125">
        <f>(2*'UA PA'!D35*'UA PA'!E35)/('UA PA'!D35+'UA PA'!E35)</f>
        <v>0.2857142857142857</v>
      </c>
      <c r="G14" s="153">
        <f>(2*'UA PA'!D15*'UA PA'!E15)/('UA PA'!D15+'UA PA'!E15)</f>
        <v>0.94610778443113763</v>
      </c>
      <c r="H14" s="125">
        <f>(2*'UA PA'!F25*'UA PA'!G25)/('UA PA'!F25+'UA PA'!G25)</f>
        <v>0.75362318840579712</v>
      </c>
      <c r="I14" s="125">
        <f>(2*'UA PA'!F35*'UA PA'!G35)/('UA PA'!F35+'UA PA'!G35)</f>
        <v>0.42285714285714282</v>
      </c>
      <c r="J14" s="153">
        <f>(2*'UA PA'!F15*'UA PA'!G15)/('UA PA'!F15+'UA PA'!G15)</f>
        <v>0.9390243902439025</v>
      </c>
      <c r="L14" s="74" t="s">
        <v>40</v>
      </c>
      <c r="M14" s="125">
        <f>(2*'UA PA'!J25*'UA PA'!K25)/('UA PA'!J25+'UA PA'!K25)</f>
        <v>0.70019979264050081</v>
      </c>
      <c r="N14" s="125">
        <f>(2*'UA PA'!J35*'UA PA'!K35)/('UA PA'!J35+'UA PA'!K35)</f>
        <v>0.27835153534480012</v>
      </c>
      <c r="O14" s="125">
        <f>(2*'UA PA'!J15*'UA PA'!K15)/('UA PA'!J15+'UA PA'!K15)</f>
        <v>0.79410863718299962</v>
      </c>
      <c r="P14" s="152">
        <f>(2*'UA PA'!L25*'UA PA'!M25)/('UA PA'!L25+'UA PA'!M25)</f>
        <v>0.81374892141263244</v>
      </c>
      <c r="Q14" s="125">
        <f>(2*'UA PA'!L35*'UA PA'!M35)/('UA PA'!L35+'UA PA'!M35)</f>
        <v>0.30331724784886938</v>
      </c>
      <c r="R14" s="153">
        <f>(2*'UA PA'!L15*'UA PA'!M15)/('UA PA'!L15+'UA PA'!M15)</f>
        <v>0.91258062502260984</v>
      </c>
      <c r="S14" s="152">
        <f>(2*'UA PA'!N25*'UA PA'!O25)/('UA PA'!N25+'UA PA'!O25)</f>
        <v>0.81374892141263244</v>
      </c>
      <c r="T14" s="125">
        <f>(2*'UA PA'!N35*'UA PA'!O35)/('UA PA'!N35+'UA PA'!O35)</f>
        <v>0.53279081470858525</v>
      </c>
      <c r="U14" s="153">
        <f>(2*'UA PA'!N15*'UA PA'!O15)/('UA PA'!N15+'UA PA'!O15)</f>
        <v>0.95380754443817173</v>
      </c>
    </row>
    <row r="15" spans="1:21" x14ac:dyDescent="0.2">
      <c r="A15" s="84" t="s">
        <v>41</v>
      </c>
      <c r="B15" s="154">
        <f>(2*'UA PA'!B26*'UA PA'!C26)/('UA PA'!B26+'UA PA'!C26)</f>
        <v>1</v>
      </c>
      <c r="C15" s="156">
        <f>(2*'UA PA'!B36*'UA PA'!C36)/('UA PA'!B36+'UA PA'!C36)</f>
        <v>0.82681564245810057</v>
      </c>
      <c r="D15" s="154">
        <f>(2*'UA PA'!B16*'UA PA'!C16)/('UA PA'!B16+'UA PA'!C16)</f>
        <v>1</v>
      </c>
      <c r="E15" s="154">
        <f>(2*'UA PA'!D26*'UA PA'!E26)/('UA PA'!D26+'UA PA'!E26)</f>
        <v>1</v>
      </c>
      <c r="F15" s="156">
        <f>(2*'UA PA'!D36*'UA PA'!E36)/('UA PA'!D36+'UA PA'!E36)</f>
        <v>0.81395348837209303</v>
      </c>
      <c r="G15" s="154">
        <f>(2*'UA PA'!D16*'UA PA'!E16)/('UA PA'!D16+'UA PA'!E16)</f>
        <v>1</v>
      </c>
      <c r="H15" s="154">
        <f>(2*'UA PA'!F26*'UA PA'!G26)/('UA PA'!F26+'UA PA'!G26)</f>
        <v>1</v>
      </c>
      <c r="I15" s="155">
        <f>(2*'UA PA'!F36*'UA PA'!G36)/('UA PA'!F36+'UA PA'!G36)</f>
        <v>0.91925465838509313</v>
      </c>
      <c r="J15" s="154">
        <f>(2*'UA PA'!F16*'UA PA'!G16)/('UA PA'!F16+'UA PA'!G16)</f>
        <v>1</v>
      </c>
      <c r="L15" s="84" t="s">
        <v>41</v>
      </c>
      <c r="M15" s="154">
        <f>(2*'UA PA'!J26*'UA PA'!K26)/('UA PA'!J26+'UA PA'!K26)</f>
        <v>1</v>
      </c>
      <c r="N15" s="155">
        <f>(2*'UA PA'!J36*'UA PA'!K36)/('UA PA'!J36+'UA PA'!K36)</f>
        <v>0.95526774519167124</v>
      </c>
      <c r="O15" s="154">
        <f>(2*'UA PA'!J16*'UA PA'!K16)/('UA PA'!J16+'UA PA'!K16)</f>
        <v>1</v>
      </c>
      <c r="P15" s="154">
        <f>(2*'UA PA'!L26*'UA PA'!M26)/('UA PA'!L26+'UA PA'!M26)</f>
        <v>1</v>
      </c>
      <c r="Q15" s="155">
        <f>(2*'UA PA'!L36*'UA PA'!M36)/('UA PA'!L36+'UA PA'!M36)</f>
        <v>0.82783525810685143</v>
      </c>
      <c r="R15" s="154">
        <f>(2*'UA PA'!L16*'UA PA'!M16)/('UA PA'!L16+'UA PA'!M16)</f>
        <v>1</v>
      </c>
      <c r="S15" s="154">
        <f>(2*'UA PA'!N26*'UA PA'!O26)/('UA PA'!N26+'UA PA'!O26)</f>
        <v>1</v>
      </c>
      <c r="T15" s="155">
        <f>(2*'UA PA'!N36*'UA PA'!O36)/('UA PA'!N36+'UA PA'!O36)</f>
        <v>0.92191179468359141</v>
      </c>
      <c r="U15" s="154">
        <f>(2*'UA PA'!N16*'UA PA'!O16)/('UA PA'!N16+'UA PA'!O16)</f>
        <v>1</v>
      </c>
    </row>
    <row r="16" spans="1:21" x14ac:dyDescent="0.2">
      <c r="A16" s="122"/>
      <c r="B16" s="78" t="s">
        <v>86</v>
      </c>
      <c r="C16" s="124"/>
      <c r="D16" s="123"/>
      <c r="E16" s="123"/>
      <c r="F16" s="124"/>
      <c r="G16" s="123"/>
      <c r="H16" s="123"/>
      <c r="I16" s="124"/>
      <c r="J16" s="123"/>
      <c r="L16" s="122"/>
      <c r="M16" s="78" t="s">
        <v>190</v>
      </c>
      <c r="N16" s="124"/>
      <c r="O16" s="124"/>
      <c r="P16" s="124"/>
      <c r="Q16" s="124"/>
      <c r="R16" s="124"/>
      <c r="S16" s="124"/>
      <c r="T16" s="124"/>
      <c r="U16" s="124"/>
    </row>
    <row r="17" spans="1:21" x14ac:dyDescent="0.2">
      <c r="A17" s="122"/>
      <c r="B17" s="123" t="s">
        <v>87</v>
      </c>
      <c r="C17" s="124"/>
      <c r="D17" s="123"/>
      <c r="E17" s="123"/>
      <c r="F17" s="124"/>
      <c r="G17" s="123"/>
      <c r="H17" s="123"/>
      <c r="I17" s="124"/>
      <c r="J17" s="123"/>
      <c r="L17" s="122"/>
      <c r="M17" s="123" t="s">
        <v>87</v>
      </c>
      <c r="N17" s="124"/>
      <c r="O17" s="124"/>
      <c r="P17" s="124"/>
      <c r="Q17" s="124"/>
      <c r="R17" s="124"/>
      <c r="S17" s="124"/>
      <c r="T17" s="124"/>
      <c r="U17" s="124"/>
    </row>
    <row r="18" spans="1:21" x14ac:dyDescent="0.2">
      <c r="A18" s="122"/>
      <c r="B18" s="123"/>
      <c r="C18" s="124"/>
      <c r="D18" s="123"/>
      <c r="E18" s="123"/>
      <c r="F18" s="124"/>
      <c r="G18" s="123"/>
      <c r="H18" s="123"/>
      <c r="I18" s="124"/>
      <c r="J18" s="123"/>
      <c r="L18" s="122"/>
      <c r="M18" s="123"/>
      <c r="N18" s="124"/>
      <c r="O18" s="124"/>
      <c r="P18" s="124"/>
      <c r="Q18" s="124"/>
      <c r="R18" s="124"/>
      <c r="S18" s="124"/>
      <c r="T18" s="124"/>
      <c r="U18" s="124"/>
    </row>
    <row r="19" spans="1:21" x14ac:dyDescent="0.2">
      <c r="A19" s="75"/>
      <c r="B19" s="75"/>
      <c r="C19" s="75"/>
      <c r="D19" s="75"/>
      <c r="E19" s="75"/>
      <c r="F19" s="75"/>
      <c r="G19" s="75"/>
      <c r="H19" s="75"/>
      <c r="I19" s="75"/>
      <c r="J19" s="75"/>
      <c r="L19" s="75"/>
      <c r="M19" s="75"/>
      <c r="N19" s="75"/>
      <c r="O19" s="75"/>
      <c r="P19" s="75"/>
      <c r="Q19" s="75"/>
      <c r="R19" s="75"/>
      <c r="S19" s="75"/>
      <c r="T19" s="75"/>
      <c r="U19" s="75"/>
    </row>
    <row r="20" spans="1:21" x14ac:dyDescent="0.2">
      <c r="A20" s="76" t="s">
        <v>64</v>
      </c>
      <c r="B20" s="75"/>
      <c r="C20" s="75"/>
      <c r="D20" s="75"/>
      <c r="E20" s="75"/>
      <c r="F20" s="75"/>
      <c r="G20" s="75"/>
      <c r="H20" s="75"/>
      <c r="I20" s="75"/>
      <c r="J20" s="75"/>
      <c r="L20" s="76" t="s">
        <v>64</v>
      </c>
      <c r="M20" s="75"/>
      <c r="N20" s="75"/>
      <c r="O20" s="75"/>
      <c r="P20" s="75"/>
      <c r="Q20" s="75"/>
      <c r="R20" s="75"/>
      <c r="S20" s="75"/>
      <c r="T20" s="75"/>
      <c r="U20" s="75"/>
    </row>
    <row r="21" spans="1:21" x14ac:dyDescent="0.2">
      <c r="A21" s="85"/>
      <c r="B21" s="86" t="s">
        <v>14</v>
      </c>
      <c r="C21" s="86" t="s">
        <v>15</v>
      </c>
      <c r="D21" s="86" t="s">
        <v>16</v>
      </c>
      <c r="E21" s="75"/>
      <c r="F21" s="75"/>
      <c r="G21" s="75"/>
      <c r="H21" s="75"/>
      <c r="I21" s="75"/>
      <c r="J21" s="75"/>
      <c r="L21" s="85"/>
      <c r="M21" s="86" t="s">
        <v>14</v>
      </c>
      <c r="N21" s="86" t="s">
        <v>15</v>
      </c>
      <c r="O21" s="86" t="s">
        <v>16</v>
      </c>
      <c r="P21" s="75"/>
      <c r="Q21" s="75"/>
      <c r="R21" s="75"/>
      <c r="S21" s="75"/>
      <c r="T21" s="75"/>
      <c r="U21" s="75"/>
    </row>
    <row r="22" spans="1:21" x14ac:dyDescent="0.2">
      <c r="A22" s="74" t="s">
        <v>33</v>
      </c>
      <c r="B22" s="77">
        <f>D7-B7</f>
        <v>1.4829268292682718E-2</v>
      </c>
      <c r="C22" s="77">
        <f t="shared" ref="C22:C30" si="0">G7-E7</f>
        <v>-2.1276595744680771E-2</v>
      </c>
      <c r="D22" s="77">
        <f t="shared" ref="D22:D30" si="1">J7-H7</f>
        <v>-4.1223404255319118E-2</v>
      </c>
      <c r="F22" s="77"/>
      <c r="G22" s="77"/>
      <c r="I22" s="75"/>
      <c r="J22" s="75"/>
      <c r="L22" s="74" t="s">
        <v>33</v>
      </c>
      <c r="M22" s="77">
        <f>O7-M7</f>
        <v>1.6763954125034397E-2</v>
      </c>
      <c r="N22" s="77">
        <f t="shared" ref="N22:N30" si="2">R7-P7</f>
        <v>-1.5251742623078601E-2</v>
      </c>
      <c r="O22" s="77">
        <f t="shared" ref="O22:O30" si="3">U7-S7</f>
        <v>-3.4619755506920535E-2</v>
      </c>
      <c r="Q22" s="77"/>
      <c r="R22" s="77"/>
      <c r="T22" s="75"/>
      <c r="U22" s="75"/>
    </row>
    <row r="23" spans="1:21" x14ac:dyDescent="0.2">
      <c r="A23" s="74" t="s">
        <v>34</v>
      </c>
      <c r="B23" s="77">
        <f t="shared" ref="B23:B30" si="4">D8-B8</f>
        <v>1.2984651196624619E-2</v>
      </c>
      <c r="C23" s="77">
        <f t="shared" si="0"/>
        <v>1.4084507042253613E-2</v>
      </c>
      <c r="D23" s="77">
        <f t="shared" si="1"/>
        <v>1.4084507042253613E-2</v>
      </c>
      <c r="F23" s="77"/>
      <c r="G23" s="77"/>
      <c r="I23" s="75"/>
      <c r="J23" s="75"/>
      <c r="L23" s="74" t="s">
        <v>34</v>
      </c>
      <c r="M23" s="77">
        <f t="shared" ref="M23:M30" si="5">O8-M8</f>
        <v>5.1506578811726378E-2</v>
      </c>
      <c r="N23" s="77">
        <f t="shared" si="2"/>
        <v>3.0751045780011199E-2</v>
      </c>
      <c r="O23" s="77">
        <f t="shared" si="3"/>
        <v>3.0751045780011199E-2</v>
      </c>
      <c r="Q23" s="77"/>
      <c r="R23" s="77"/>
      <c r="T23" s="75"/>
      <c r="U23" s="75"/>
    </row>
    <row r="24" spans="1:21" x14ac:dyDescent="0.2">
      <c r="A24" s="74" t="s">
        <v>35</v>
      </c>
      <c r="B24" s="77">
        <f t="shared" si="4"/>
        <v>0</v>
      </c>
      <c r="C24" s="77">
        <f t="shared" si="0"/>
        <v>1.0557286258220944E-2</v>
      </c>
      <c r="D24" s="77">
        <f t="shared" si="1"/>
        <v>1.8691588785046842E-2</v>
      </c>
      <c r="F24" s="77"/>
      <c r="G24" s="77"/>
      <c r="I24" s="75"/>
      <c r="J24" s="75"/>
      <c r="L24" s="74" t="s">
        <v>35</v>
      </c>
      <c r="M24" s="77">
        <f t="shared" si="5"/>
        <v>0</v>
      </c>
      <c r="N24" s="77">
        <f t="shared" si="2"/>
        <v>2.9260906031872147E-2</v>
      </c>
      <c r="O24" s="77">
        <f t="shared" si="3"/>
        <v>2.572178131804792E-2</v>
      </c>
      <c r="Q24" s="77"/>
      <c r="R24" s="77"/>
      <c r="T24" s="75"/>
      <c r="U24" s="75"/>
    </row>
    <row r="25" spans="1:21" x14ac:dyDescent="0.2">
      <c r="A25" s="74" t="s">
        <v>36</v>
      </c>
      <c r="B25" s="77">
        <f t="shared" si="4"/>
        <v>0</v>
      </c>
      <c r="C25" s="77">
        <f t="shared" si="0"/>
        <v>4.7581284694687698E-3</v>
      </c>
      <c r="D25" s="77">
        <f t="shared" si="1"/>
        <v>1.4423076923076983E-2</v>
      </c>
      <c r="F25" s="77"/>
      <c r="G25" s="77"/>
      <c r="I25" s="75"/>
      <c r="J25" s="75"/>
      <c r="L25" s="74" t="s">
        <v>36</v>
      </c>
      <c r="M25" s="77">
        <f t="shared" si="5"/>
        <v>0</v>
      </c>
      <c r="N25" s="77">
        <f t="shared" si="2"/>
        <v>-5.4254581291185433E-3</v>
      </c>
      <c r="O25" s="77">
        <f t="shared" si="3"/>
        <v>1.4477386399629921E-2</v>
      </c>
      <c r="Q25" s="77"/>
      <c r="R25" s="77"/>
      <c r="T25" s="75"/>
      <c r="U25" s="75"/>
    </row>
    <row r="26" spans="1:21" x14ac:dyDescent="0.2">
      <c r="A26" s="74" t="s">
        <v>37</v>
      </c>
      <c r="B26" s="77">
        <f t="shared" si="4"/>
        <v>4.9999999999999933E-2</v>
      </c>
      <c r="C26" s="77">
        <f t="shared" si="0"/>
        <v>0.10989010989010989</v>
      </c>
      <c r="D26" s="77">
        <f t="shared" si="1"/>
        <v>0.2397602397602398</v>
      </c>
      <c r="F26" s="77"/>
      <c r="G26" s="77"/>
      <c r="I26" s="75"/>
      <c r="J26" s="75"/>
      <c r="L26" s="74" t="s">
        <v>37</v>
      </c>
      <c r="M26" s="77">
        <f t="shared" si="5"/>
        <v>7.8511886853509516E-2</v>
      </c>
      <c r="N26" s="77">
        <f t="shared" si="2"/>
        <v>6.5349881127311771E-2</v>
      </c>
      <c r="O26" s="77">
        <f t="shared" si="3"/>
        <v>0.11243908560364324</v>
      </c>
      <c r="Q26" s="77"/>
      <c r="R26" s="77"/>
      <c r="T26" s="75"/>
      <c r="U26" s="75"/>
    </row>
    <row r="27" spans="1:21" x14ac:dyDescent="0.2">
      <c r="A27" s="74" t="s">
        <v>38</v>
      </c>
      <c r="B27" s="77">
        <f t="shared" si="4"/>
        <v>-1.7004251062765707E-2</v>
      </c>
      <c r="C27" s="77">
        <f t="shared" si="0"/>
        <v>2.2379538707467228E-2</v>
      </c>
      <c r="D27" s="77">
        <f t="shared" si="1"/>
        <v>5.5405279358268777E-2</v>
      </c>
      <c r="F27" s="77"/>
      <c r="G27" s="77"/>
      <c r="I27" s="75"/>
      <c r="J27" s="75"/>
      <c r="L27" s="74" t="s">
        <v>38</v>
      </c>
      <c r="M27" s="77">
        <f t="shared" si="5"/>
        <v>1.977100976221513E-2</v>
      </c>
      <c r="N27" s="77">
        <f t="shared" si="2"/>
        <v>1.9967369977685001E-2</v>
      </c>
      <c r="O27" s="77">
        <f t="shared" si="3"/>
        <v>2.8091622151894646E-2</v>
      </c>
      <c r="Q27" s="77"/>
      <c r="R27" s="77"/>
      <c r="T27" s="75"/>
      <c r="U27" s="75"/>
    </row>
    <row r="28" spans="1:21" x14ac:dyDescent="0.2">
      <c r="A28" s="74" t="s">
        <v>39</v>
      </c>
      <c r="B28" s="77">
        <f t="shared" si="4"/>
        <v>7.4466709760827365E-2</v>
      </c>
      <c r="C28" s="77">
        <f t="shared" si="0"/>
        <v>0.33333333333333337</v>
      </c>
      <c r="D28" s="77">
        <f t="shared" si="1"/>
        <v>0.33333333333333337</v>
      </c>
      <c r="F28" s="77"/>
      <c r="G28" s="77"/>
      <c r="I28" s="75"/>
      <c r="J28" s="75"/>
      <c r="L28" s="74" t="s">
        <v>39</v>
      </c>
      <c r="M28" s="77">
        <f t="shared" si="5"/>
        <v>0.19710878055676417</v>
      </c>
      <c r="N28" s="77">
        <f t="shared" si="2"/>
        <v>0.35049497952668329</v>
      </c>
      <c r="O28" s="77">
        <f t="shared" si="3"/>
        <v>0.35049497952668329</v>
      </c>
      <c r="Q28" s="77"/>
      <c r="R28" s="77"/>
      <c r="T28" s="75"/>
      <c r="U28" s="75"/>
    </row>
    <row r="29" spans="1:21" x14ac:dyDescent="0.2">
      <c r="A29" s="74" t="s">
        <v>40</v>
      </c>
      <c r="B29" s="77">
        <f t="shared" si="4"/>
        <v>1.9319900473239948E-2</v>
      </c>
      <c r="C29" s="77">
        <f t="shared" si="0"/>
        <v>0.19248459602534052</v>
      </c>
      <c r="D29" s="77">
        <f t="shared" si="1"/>
        <v>0.18540120183810538</v>
      </c>
      <c r="F29" s="77"/>
      <c r="G29" s="77"/>
      <c r="I29" s="75"/>
      <c r="J29" s="75"/>
      <c r="L29" s="74" t="s">
        <v>40</v>
      </c>
      <c r="M29" s="77">
        <f t="shared" si="5"/>
        <v>9.3908844542498815E-2</v>
      </c>
      <c r="N29" s="77">
        <f t="shared" si="2"/>
        <v>9.8831703609977395E-2</v>
      </c>
      <c r="O29" s="77">
        <f t="shared" si="3"/>
        <v>0.14005862302553929</v>
      </c>
      <c r="Q29" s="77"/>
      <c r="R29" s="77"/>
      <c r="T29" s="75"/>
      <c r="U29" s="75"/>
    </row>
    <row r="30" spans="1:21" x14ac:dyDescent="0.2">
      <c r="A30" s="84" t="s">
        <v>41</v>
      </c>
      <c r="B30" s="87">
        <f t="shared" si="4"/>
        <v>0</v>
      </c>
      <c r="C30" s="87">
        <f t="shared" si="0"/>
        <v>0</v>
      </c>
      <c r="D30" s="87">
        <f t="shared" si="1"/>
        <v>0</v>
      </c>
      <c r="F30" s="77"/>
      <c r="G30" s="77"/>
      <c r="I30" s="75"/>
      <c r="J30" s="75"/>
      <c r="L30" s="84" t="s">
        <v>41</v>
      </c>
      <c r="M30" s="87">
        <f t="shared" si="5"/>
        <v>0</v>
      </c>
      <c r="N30" s="87">
        <f t="shared" si="2"/>
        <v>0</v>
      </c>
      <c r="O30" s="87">
        <f t="shared" si="3"/>
        <v>0</v>
      </c>
      <c r="Q30" s="77"/>
      <c r="R30" s="77"/>
      <c r="T30" s="75"/>
      <c r="U30" s="75"/>
    </row>
    <row r="31" spans="1:21" x14ac:dyDescent="0.2">
      <c r="A31" s="75"/>
      <c r="B31" s="75"/>
      <c r="C31" s="75"/>
      <c r="D31" s="75"/>
      <c r="E31" s="75"/>
      <c r="F31" s="75"/>
      <c r="G31" s="75"/>
      <c r="H31" s="75"/>
      <c r="I31" s="75"/>
      <c r="J31" s="75"/>
    </row>
    <row r="32" spans="1:21" x14ac:dyDescent="0.2">
      <c r="A32" s="75"/>
      <c r="B32" s="78" t="s">
        <v>65</v>
      </c>
      <c r="C32" s="75"/>
      <c r="D32" s="75"/>
      <c r="E32" s="75"/>
      <c r="F32" s="75"/>
      <c r="G32" s="75"/>
      <c r="H32" s="75"/>
      <c r="I32" s="75"/>
      <c r="J32" s="75"/>
      <c r="M32" s="78" t="s">
        <v>65</v>
      </c>
    </row>
  </sheetData>
  <mergeCells count="10">
    <mergeCell ref="S4:U4"/>
    <mergeCell ref="M5:O5"/>
    <mergeCell ref="P5:R5"/>
    <mergeCell ref="S5:U5"/>
    <mergeCell ref="B5:D5"/>
    <mergeCell ref="E5:G5"/>
    <mergeCell ref="H5:J5"/>
    <mergeCell ref="B4:G4"/>
    <mergeCell ref="H4:J4"/>
    <mergeCell ref="M4:R4"/>
  </mergeCell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7861-0E11-C14A-82B6-794E6EA28BE2}">
  <sheetPr>
    <tabColor rgb="FFFF0000"/>
  </sheetPr>
  <dimension ref="A1:H83"/>
  <sheetViews>
    <sheetView workbookViewId="0"/>
  </sheetViews>
  <sheetFormatPr baseColWidth="10" defaultRowHeight="15" x14ac:dyDescent="0.2"/>
  <cols>
    <col min="1" max="16384" width="10.83203125" style="215"/>
  </cols>
  <sheetData>
    <row r="1" spans="1:8" ht="19" x14ac:dyDescent="0.25">
      <c r="A1" s="73" t="s">
        <v>151</v>
      </c>
    </row>
    <row r="2" spans="1:8" s="1" customFormat="1" x14ac:dyDescent="0.2">
      <c r="A2" s="1" t="s">
        <v>152</v>
      </c>
    </row>
    <row r="3" spans="1:8" s="1" customFormat="1" x14ac:dyDescent="0.2"/>
    <row r="4" spans="1:8" s="1" customFormat="1" x14ac:dyDescent="0.2">
      <c r="A4" s="2" t="s">
        <v>14</v>
      </c>
      <c r="B4" s="2"/>
      <c r="C4" s="2"/>
      <c r="D4" s="2" t="s">
        <v>15</v>
      </c>
      <c r="E4" s="2"/>
      <c r="F4" s="2"/>
      <c r="G4" s="2" t="s">
        <v>16</v>
      </c>
    </row>
    <row r="5" spans="1:8" s="1" customFormat="1" x14ac:dyDescent="0.2"/>
    <row r="6" spans="1:8" s="1" customFormat="1" x14ac:dyDescent="0.2">
      <c r="A6" s="2" t="s">
        <v>42</v>
      </c>
      <c r="B6" s="2"/>
      <c r="C6" s="2"/>
      <c r="D6" s="2" t="s">
        <v>42</v>
      </c>
      <c r="E6" s="2"/>
      <c r="F6" s="2"/>
      <c r="G6" s="2" t="s">
        <v>42</v>
      </c>
    </row>
    <row r="7" spans="1:8" s="1" customFormat="1" x14ac:dyDescent="0.2">
      <c r="A7" s="1" t="s">
        <v>164</v>
      </c>
      <c r="B7" s="216">
        <v>17.085360000000001</v>
      </c>
      <c r="D7" s="1" t="s">
        <v>164</v>
      </c>
      <c r="E7" s="216">
        <v>15.747310000000001</v>
      </c>
      <c r="G7" s="1" t="s">
        <v>164</v>
      </c>
      <c r="H7" s="216">
        <v>16.184488000000002</v>
      </c>
    </row>
    <row r="8" spans="1:8" s="1" customFormat="1" x14ac:dyDescent="0.2">
      <c r="A8" s="1" t="s">
        <v>156</v>
      </c>
      <c r="B8" s="216">
        <v>16.76661</v>
      </c>
      <c r="D8" s="1" t="s">
        <v>174</v>
      </c>
      <c r="E8" s="216">
        <v>15.275575999999999</v>
      </c>
      <c r="G8" s="1" t="s">
        <v>174</v>
      </c>
      <c r="H8" s="216">
        <v>13.807332000000001</v>
      </c>
    </row>
    <row r="9" spans="1:8" s="1" customFormat="1" x14ac:dyDescent="0.2">
      <c r="A9" s="1" t="s">
        <v>158</v>
      </c>
      <c r="B9" s="216">
        <v>15.790459999999999</v>
      </c>
      <c r="D9" s="1" t="s">
        <v>160</v>
      </c>
      <c r="E9" s="216">
        <v>13.394707</v>
      </c>
      <c r="G9" s="1" t="s">
        <v>163</v>
      </c>
      <c r="H9" s="216">
        <v>13.785030000000001</v>
      </c>
    </row>
    <row r="10" spans="1:8" s="1" customFormat="1" x14ac:dyDescent="0.2">
      <c r="A10" s="1" t="s">
        <v>160</v>
      </c>
      <c r="B10" s="216">
        <v>14.97908</v>
      </c>
      <c r="D10" s="1" t="s">
        <v>163</v>
      </c>
      <c r="E10" s="216">
        <v>13.200303</v>
      </c>
      <c r="G10" s="1" t="s">
        <v>160</v>
      </c>
      <c r="H10" s="216">
        <v>13.734559000000001</v>
      </c>
    </row>
    <row r="11" spans="1:8" s="1" customFormat="1" x14ac:dyDescent="0.2">
      <c r="A11" s="1" t="s">
        <v>157</v>
      </c>
      <c r="B11" s="216">
        <v>14.88251</v>
      </c>
      <c r="D11" s="1" t="s">
        <v>155</v>
      </c>
      <c r="E11" s="216">
        <v>12.298140999999999</v>
      </c>
      <c r="G11" s="1" t="s">
        <v>155</v>
      </c>
      <c r="H11" s="216">
        <v>12.885286000000001</v>
      </c>
    </row>
    <row r="12" spans="1:8" s="1" customFormat="1" x14ac:dyDescent="0.2">
      <c r="A12" s="1" t="s">
        <v>163</v>
      </c>
      <c r="B12" s="216">
        <v>14.28138</v>
      </c>
      <c r="D12" s="1" t="s">
        <v>158</v>
      </c>
      <c r="E12" s="216">
        <v>11.961293</v>
      </c>
      <c r="G12" s="1" t="s">
        <v>157</v>
      </c>
      <c r="H12" s="216">
        <v>12.009606</v>
      </c>
    </row>
    <row r="13" spans="1:8" s="1" customFormat="1" x14ac:dyDescent="0.2">
      <c r="A13" s="1" t="s">
        <v>159</v>
      </c>
      <c r="B13" s="216">
        <v>11.81048</v>
      </c>
      <c r="D13" s="1" t="s">
        <v>161</v>
      </c>
      <c r="E13" s="216">
        <v>11.849439</v>
      </c>
      <c r="G13" s="1" t="s">
        <v>158</v>
      </c>
      <c r="H13" s="216">
        <v>11.389640999999999</v>
      </c>
    </row>
    <row r="14" spans="1:8" s="1" customFormat="1" x14ac:dyDescent="0.2">
      <c r="A14" s="1" t="s">
        <v>153</v>
      </c>
      <c r="B14" s="216">
        <v>11.66681</v>
      </c>
      <c r="D14" s="1" t="s">
        <v>162</v>
      </c>
      <c r="E14" s="216">
        <v>10.781580999999999</v>
      </c>
      <c r="G14" s="1" t="s">
        <v>159</v>
      </c>
      <c r="H14" s="216">
        <v>11.032360000000001</v>
      </c>
    </row>
    <row r="15" spans="1:8" s="1" customFormat="1" x14ac:dyDescent="0.2">
      <c r="A15" s="1" t="s">
        <v>161</v>
      </c>
      <c r="B15" s="216">
        <v>11.218120000000001</v>
      </c>
      <c r="D15" s="1" t="s">
        <v>159</v>
      </c>
      <c r="E15" s="216">
        <v>10.420360000000001</v>
      </c>
      <c r="G15" s="1" t="s">
        <v>162</v>
      </c>
      <c r="H15" s="216">
        <v>10.424334</v>
      </c>
    </row>
    <row r="16" spans="1:8" s="1" customFormat="1" x14ac:dyDescent="0.2">
      <c r="A16" s="1" t="s">
        <v>154</v>
      </c>
      <c r="B16" s="216">
        <v>10.702489999999999</v>
      </c>
      <c r="D16" s="1" t="s">
        <v>157</v>
      </c>
      <c r="E16" s="216">
        <v>9.7853390000000005</v>
      </c>
      <c r="G16" s="1" t="s">
        <v>161</v>
      </c>
      <c r="H16" s="216">
        <v>10.186983</v>
      </c>
    </row>
    <row r="17" spans="1:8" s="1" customFormat="1" x14ac:dyDescent="0.2">
      <c r="A17" s="1" t="s">
        <v>155</v>
      </c>
      <c r="B17" s="216">
        <v>10.67005</v>
      </c>
      <c r="D17" s="1" t="s">
        <v>154</v>
      </c>
      <c r="E17" s="216">
        <v>9.6694230000000001</v>
      </c>
      <c r="G17" s="1" t="s">
        <v>154</v>
      </c>
      <c r="H17" s="216">
        <v>9.6241029999999999</v>
      </c>
    </row>
    <row r="18" spans="1:8" s="1" customFormat="1" x14ac:dyDescent="0.2">
      <c r="A18" s="1" t="s">
        <v>162</v>
      </c>
      <c r="B18" s="216">
        <v>10.60962</v>
      </c>
      <c r="D18" s="1" t="s">
        <v>156</v>
      </c>
      <c r="E18" s="216">
        <v>8.6861920000000001</v>
      </c>
      <c r="G18" s="1" t="s">
        <v>156</v>
      </c>
      <c r="H18" s="216">
        <v>9.3341460000000005</v>
      </c>
    </row>
    <row r="19" spans="1:8" s="1" customFormat="1" x14ac:dyDescent="0.2">
      <c r="B19" s="216"/>
      <c r="E19" s="216"/>
      <c r="H19" s="216"/>
    </row>
    <row r="20" spans="1:8" s="1" customFormat="1" x14ac:dyDescent="0.2">
      <c r="A20" s="2" t="s">
        <v>43</v>
      </c>
      <c r="B20" s="217"/>
      <c r="C20" s="2"/>
      <c r="D20" s="2" t="s">
        <v>43</v>
      </c>
      <c r="E20" s="217"/>
      <c r="F20" s="2"/>
      <c r="G20" s="2" t="s">
        <v>43</v>
      </c>
      <c r="H20" s="216"/>
    </row>
    <row r="21" spans="1:8" s="1" customFormat="1" x14ac:dyDescent="0.2">
      <c r="A21" s="1" t="s">
        <v>172</v>
      </c>
      <c r="B21" s="216">
        <v>38.627453799999998</v>
      </c>
      <c r="D21" s="1" t="s">
        <v>172</v>
      </c>
      <c r="E21" s="216">
        <v>40.31094358</v>
      </c>
      <c r="G21" s="1" t="s">
        <v>177</v>
      </c>
      <c r="H21" s="216">
        <v>21.011634999999998</v>
      </c>
    </row>
    <row r="22" spans="1:8" s="1" customFormat="1" x14ac:dyDescent="0.2">
      <c r="A22" s="1" t="s">
        <v>165</v>
      </c>
      <c r="B22" s="216">
        <v>22.570917000000001</v>
      </c>
      <c r="D22" s="1" t="s">
        <v>165</v>
      </c>
      <c r="E22" s="216">
        <v>21.27972707</v>
      </c>
      <c r="G22" s="1" t="s">
        <v>172</v>
      </c>
      <c r="H22" s="216">
        <v>15.473611999999999</v>
      </c>
    </row>
    <row r="23" spans="1:8" s="1" customFormat="1" x14ac:dyDescent="0.2">
      <c r="A23" s="1" t="s">
        <v>173</v>
      </c>
      <c r="B23" s="216">
        <v>15.247550800000001</v>
      </c>
      <c r="D23" s="1" t="s">
        <v>173</v>
      </c>
      <c r="E23" s="216">
        <v>19.2830683</v>
      </c>
      <c r="G23" s="1" t="s">
        <v>184</v>
      </c>
      <c r="H23" s="216">
        <v>14.591621999999999</v>
      </c>
    </row>
    <row r="24" spans="1:8" s="1" customFormat="1" x14ac:dyDescent="0.2">
      <c r="A24" s="1" t="s">
        <v>169</v>
      </c>
      <c r="B24" s="216">
        <v>13.8253021</v>
      </c>
      <c r="D24" s="1" t="s">
        <v>169</v>
      </c>
      <c r="E24" s="216">
        <v>15.61774189</v>
      </c>
      <c r="G24" s="1" t="s">
        <v>185</v>
      </c>
      <c r="H24" s="216">
        <v>13.394166999999999</v>
      </c>
    </row>
    <row r="25" spans="1:8" s="1" customFormat="1" x14ac:dyDescent="0.2">
      <c r="A25" s="1" t="s">
        <v>171</v>
      </c>
      <c r="B25" s="216">
        <v>13.580063900000001</v>
      </c>
      <c r="D25" s="1" t="s">
        <v>167</v>
      </c>
      <c r="E25" s="216">
        <v>15.313069779999999</v>
      </c>
      <c r="G25" s="1" t="s">
        <v>187</v>
      </c>
      <c r="H25" s="216">
        <v>13.28158</v>
      </c>
    </row>
    <row r="26" spans="1:8" s="1" customFormat="1" x14ac:dyDescent="0.2">
      <c r="A26" s="1" t="s">
        <v>167</v>
      </c>
      <c r="B26" s="216">
        <v>13.326120299999999</v>
      </c>
      <c r="D26" s="1" t="s">
        <v>171</v>
      </c>
      <c r="E26" s="216">
        <v>11.84539846</v>
      </c>
      <c r="G26" s="1" t="s">
        <v>175</v>
      </c>
      <c r="H26" s="216">
        <v>12.840688999999999</v>
      </c>
    </row>
    <row r="27" spans="1:8" s="1" customFormat="1" x14ac:dyDescent="0.2">
      <c r="A27" s="1" t="s">
        <v>168</v>
      </c>
      <c r="B27" s="216">
        <v>6.4834202999999997</v>
      </c>
      <c r="D27" s="1" t="s">
        <v>168</v>
      </c>
      <c r="E27" s="216">
        <v>6.7053395699999996</v>
      </c>
      <c r="G27" s="1" t="s">
        <v>186</v>
      </c>
      <c r="H27" s="216">
        <v>12.754046000000001</v>
      </c>
    </row>
    <row r="28" spans="1:8" s="1" customFormat="1" x14ac:dyDescent="0.2">
      <c r="A28" s="1" t="s">
        <v>170</v>
      </c>
      <c r="B28" s="216">
        <v>1.8722117</v>
      </c>
      <c r="D28" s="1" t="s">
        <v>170</v>
      </c>
      <c r="E28" s="216">
        <v>4.2176619999999998E-2</v>
      </c>
      <c r="G28" s="1" t="s">
        <v>165</v>
      </c>
      <c r="H28" s="216">
        <v>12.538982000000001</v>
      </c>
    </row>
    <row r="29" spans="1:8" s="1" customFormat="1" x14ac:dyDescent="0.2">
      <c r="A29" s="1" t="s">
        <v>166</v>
      </c>
      <c r="B29" s="216">
        <v>0.5217695</v>
      </c>
      <c r="D29" s="1" t="s">
        <v>166</v>
      </c>
      <c r="E29" s="216">
        <v>0</v>
      </c>
      <c r="G29" s="1" t="s">
        <v>176</v>
      </c>
      <c r="H29" s="216">
        <v>11.684797</v>
      </c>
    </row>
    <row r="30" spans="1:8" s="1" customFormat="1" x14ac:dyDescent="0.2">
      <c r="B30" s="216"/>
      <c r="E30" s="216"/>
      <c r="G30" s="1" t="s">
        <v>173</v>
      </c>
      <c r="H30" s="216">
        <v>11.630674000000001</v>
      </c>
    </row>
    <row r="31" spans="1:8" s="1" customFormat="1" x14ac:dyDescent="0.2">
      <c r="A31" s="2" t="s">
        <v>32</v>
      </c>
      <c r="B31" s="217"/>
      <c r="C31" s="2"/>
      <c r="D31" s="2" t="s">
        <v>32</v>
      </c>
      <c r="E31" s="216"/>
      <c r="G31" s="1" t="s">
        <v>189</v>
      </c>
      <c r="H31" s="216">
        <v>11.514495</v>
      </c>
    </row>
    <row r="32" spans="1:8" s="1" customFormat="1" x14ac:dyDescent="0.2">
      <c r="A32" s="1" t="s">
        <v>172</v>
      </c>
      <c r="B32" s="216">
        <v>18.049689000000001</v>
      </c>
      <c r="D32" s="1" t="s">
        <v>164</v>
      </c>
      <c r="E32" s="216">
        <v>13.848414999999999</v>
      </c>
      <c r="G32" s="1" t="s">
        <v>188</v>
      </c>
      <c r="H32" s="216">
        <v>11.390907</v>
      </c>
    </row>
    <row r="33" spans="1:8" s="1" customFormat="1" x14ac:dyDescent="0.2">
      <c r="A33" s="1" t="s">
        <v>156</v>
      </c>
      <c r="B33" s="216">
        <v>13.176905</v>
      </c>
      <c r="D33" s="1" t="s">
        <v>155</v>
      </c>
      <c r="E33" s="216">
        <v>13.815223</v>
      </c>
      <c r="G33" s="1" t="s">
        <v>179</v>
      </c>
      <c r="H33" s="216">
        <v>10.990034</v>
      </c>
    </row>
    <row r="34" spans="1:8" s="1" customFormat="1" x14ac:dyDescent="0.2">
      <c r="A34" s="1" t="s">
        <v>160</v>
      </c>
      <c r="B34" s="216">
        <v>12.419513</v>
      </c>
      <c r="D34" s="1" t="s">
        <v>172</v>
      </c>
      <c r="E34" s="216">
        <v>12.534560000000001</v>
      </c>
      <c r="G34" s="1" t="s">
        <v>167</v>
      </c>
      <c r="H34" s="216">
        <v>10.220727999999999</v>
      </c>
    </row>
    <row r="35" spans="1:8" s="1" customFormat="1" x14ac:dyDescent="0.2">
      <c r="A35" s="1" t="s">
        <v>164</v>
      </c>
      <c r="B35" s="216">
        <v>12.414355</v>
      </c>
      <c r="D35" s="1" t="s">
        <v>158</v>
      </c>
      <c r="E35" s="216">
        <v>11.712286000000001</v>
      </c>
      <c r="G35" s="1" t="s">
        <v>169</v>
      </c>
      <c r="H35" s="216">
        <v>9.5324439999999999</v>
      </c>
    </row>
    <row r="36" spans="1:8" s="1" customFormat="1" x14ac:dyDescent="0.2">
      <c r="A36" s="1" t="s">
        <v>157</v>
      </c>
      <c r="B36" s="216">
        <v>11.459448999999999</v>
      </c>
      <c r="D36" s="1" t="s">
        <v>160</v>
      </c>
      <c r="E36" s="216">
        <v>11.280571</v>
      </c>
      <c r="G36" s="1" t="s">
        <v>181</v>
      </c>
      <c r="H36" s="216">
        <v>9.2237089999999995</v>
      </c>
    </row>
    <row r="37" spans="1:8" s="1" customFormat="1" x14ac:dyDescent="0.2">
      <c r="A37" s="1" t="s">
        <v>165</v>
      </c>
      <c r="B37" s="216">
        <v>11.174419</v>
      </c>
      <c r="D37" s="1" t="s">
        <v>163</v>
      </c>
      <c r="E37" s="216">
        <v>10.630834</v>
      </c>
      <c r="G37" s="1" t="s">
        <v>183</v>
      </c>
      <c r="H37" s="216">
        <v>7.1874840000000004</v>
      </c>
    </row>
    <row r="38" spans="1:8" s="1" customFormat="1" x14ac:dyDescent="0.2">
      <c r="A38" s="1" t="s">
        <v>167</v>
      </c>
      <c r="B38" s="216">
        <v>10.966573</v>
      </c>
      <c r="D38" s="1" t="s">
        <v>174</v>
      </c>
      <c r="E38" s="216">
        <v>10.591837</v>
      </c>
      <c r="G38" s="1" t="s">
        <v>171</v>
      </c>
      <c r="H38" s="216">
        <v>6.566109</v>
      </c>
    </row>
    <row r="39" spans="1:8" s="1" customFormat="1" x14ac:dyDescent="0.2">
      <c r="A39" s="1" t="s">
        <v>163</v>
      </c>
      <c r="B39" s="216">
        <v>10.590714999999999</v>
      </c>
      <c r="D39" s="1" t="s">
        <v>159</v>
      </c>
      <c r="E39" s="216">
        <v>10.388246000000001</v>
      </c>
      <c r="G39" s="1" t="s">
        <v>168</v>
      </c>
      <c r="H39" s="216">
        <v>3.4573010000000002</v>
      </c>
    </row>
    <row r="40" spans="1:8" s="1" customFormat="1" x14ac:dyDescent="0.2">
      <c r="A40" s="1" t="s">
        <v>161</v>
      </c>
      <c r="B40" s="216">
        <v>10.003693</v>
      </c>
      <c r="D40" s="1" t="s">
        <v>161</v>
      </c>
      <c r="E40" s="216">
        <v>10.08145</v>
      </c>
      <c r="G40" s="1" t="s">
        <v>180</v>
      </c>
      <c r="H40" s="216">
        <v>3.1895699999999998</v>
      </c>
    </row>
    <row r="41" spans="1:8" s="1" customFormat="1" x14ac:dyDescent="0.2">
      <c r="A41" s="1" t="s">
        <v>159</v>
      </c>
      <c r="B41" s="216">
        <v>9.8947120000000002</v>
      </c>
      <c r="D41" s="1" t="s">
        <v>157</v>
      </c>
      <c r="E41" s="216">
        <v>9.7681419999999992</v>
      </c>
      <c r="G41" s="1" t="s">
        <v>170</v>
      </c>
      <c r="H41" s="216">
        <v>1.0050380000000001</v>
      </c>
    </row>
    <row r="42" spans="1:8" s="1" customFormat="1" x14ac:dyDescent="0.2">
      <c r="A42" s="1" t="s">
        <v>158</v>
      </c>
      <c r="B42" s="216">
        <v>9.2790429999999997</v>
      </c>
      <c r="D42" s="1" t="s">
        <v>162</v>
      </c>
      <c r="E42" s="216">
        <v>9.7502530000000007</v>
      </c>
      <c r="G42" s="1" t="s">
        <v>166</v>
      </c>
      <c r="H42" s="216">
        <v>0</v>
      </c>
    </row>
    <row r="43" spans="1:8" s="1" customFormat="1" x14ac:dyDescent="0.2">
      <c r="A43" s="1" t="s">
        <v>155</v>
      </c>
      <c r="B43" s="216">
        <v>9.0974649999999997</v>
      </c>
      <c r="D43" s="1" t="s">
        <v>165</v>
      </c>
      <c r="E43" s="216">
        <v>8.960934</v>
      </c>
      <c r="G43" s="1" t="s">
        <v>178</v>
      </c>
      <c r="H43" s="216">
        <v>0</v>
      </c>
    </row>
    <row r="44" spans="1:8" s="1" customFormat="1" x14ac:dyDescent="0.2">
      <c r="A44" s="1" t="s">
        <v>154</v>
      </c>
      <c r="B44" s="216">
        <v>8.8401700000000005</v>
      </c>
      <c r="D44" s="1" t="s">
        <v>173</v>
      </c>
      <c r="E44" s="216">
        <v>8.0531640000000007</v>
      </c>
      <c r="G44" s="1" t="s">
        <v>182</v>
      </c>
      <c r="H44" s="216">
        <v>0</v>
      </c>
    </row>
    <row r="45" spans="1:8" s="1" customFormat="1" x14ac:dyDescent="0.2">
      <c r="A45" s="1" t="s">
        <v>169</v>
      </c>
      <c r="B45" s="216">
        <v>8.3913489999999999</v>
      </c>
      <c r="D45" s="1" t="s">
        <v>156</v>
      </c>
      <c r="E45" s="216">
        <v>7.7764100000000003</v>
      </c>
      <c r="H45" s="216"/>
    </row>
    <row r="46" spans="1:8" s="1" customFormat="1" x14ac:dyDescent="0.2">
      <c r="A46" s="1" t="s">
        <v>173</v>
      </c>
      <c r="B46" s="216">
        <v>7.7918500000000002</v>
      </c>
      <c r="D46" s="1" t="s">
        <v>167</v>
      </c>
      <c r="E46" s="216">
        <v>7.7185259999999998</v>
      </c>
      <c r="G46" s="2" t="s">
        <v>32</v>
      </c>
      <c r="H46" s="216"/>
    </row>
    <row r="47" spans="1:8" s="1" customFormat="1" x14ac:dyDescent="0.2">
      <c r="A47" s="1" t="s">
        <v>153</v>
      </c>
      <c r="B47" s="216">
        <v>7.0242079999999998</v>
      </c>
      <c r="D47" s="1" t="s">
        <v>169</v>
      </c>
      <c r="E47" s="216">
        <v>7.4842870000000001</v>
      </c>
      <c r="G47" s="1" t="s">
        <v>158</v>
      </c>
      <c r="H47" s="216">
        <v>12.933446099999999</v>
      </c>
    </row>
    <row r="48" spans="1:8" s="1" customFormat="1" x14ac:dyDescent="0.2">
      <c r="A48" s="1" t="s">
        <v>162</v>
      </c>
      <c r="B48" s="216">
        <v>6.9622089999999996</v>
      </c>
      <c r="D48" s="1" t="s">
        <v>154</v>
      </c>
      <c r="E48" s="216">
        <v>7.407648</v>
      </c>
      <c r="G48" s="1" t="s">
        <v>155</v>
      </c>
      <c r="H48" s="216">
        <v>10.7929263</v>
      </c>
    </row>
    <row r="49" spans="1:8" s="1" customFormat="1" x14ac:dyDescent="0.2">
      <c r="A49" s="1" t="s">
        <v>171</v>
      </c>
      <c r="B49" s="216">
        <v>3.8776600000000001</v>
      </c>
      <c r="D49" s="1" t="s">
        <v>171</v>
      </c>
      <c r="E49" s="216">
        <v>5.3282400000000001</v>
      </c>
      <c r="G49" s="1" t="s">
        <v>174</v>
      </c>
      <c r="H49" s="216">
        <v>10.573959</v>
      </c>
    </row>
    <row r="50" spans="1:8" s="1" customFormat="1" x14ac:dyDescent="0.2">
      <c r="A50" s="1" t="s">
        <v>166</v>
      </c>
      <c r="B50" s="216">
        <v>2.9279039999999998</v>
      </c>
      <c r="D50" s="1" t="s">
        <v>168</v>
      </c>
      <c r="E50" s="216">
        <v>1.1266700000000001</v>
      </c>
      <c r="G50" s="1" t="s">
        <v>164</v>
      </c>
      <c r="H50" s="216">
        <v>10.0464176</v>
      </c>
    </row>
    <row r="51" spans="1:8" s="1" customFormat="1" x14ac:dyDescent="0.2">
      <c r="A51" s="1" t="s">
        <v>170</v>
      </c>
      <c r="B51" s="216">
        <v>1.934342</v>
      </c>
      <c r="D51" s="1" t="s">
        <v>166</v>
      </c>
      <c r="E51" s="216">
        <v>0</v>
      </c>
      <c r="G51" s="1" t="s">
        <v>159</v>
      </c>
      <c r="H51" s="216">
        <v>9.7382639999999991</v>
      </c>
    </row>
    <row r="52" spans="1:8" s="1" customFormat="1" x14ac:dyDescent="0.2">
      <c r="A52" s="1" t="s">
        <v>168</v>
      </c>
      <c r="B52" s="216">
        <v>1.316354</v>
      </c>
      <c r="D52" s="1" t="s">
        <v>170</v>
      </c>
      <c r="E52" s="216">
        <v>0</v>
      </c>
      <c r="G52" s="1" t="s">
        <v>163</v>
      </c>
      <c r="H52" s="216">
        <v>9.6258266999999993</v>
      </c>
    </row>
    <row r="53" spans="1:8" s="1" customFormat="1" x14ac:dyDescent="0.2">
      <c r="G53" s="1" t="s">
        <v>184</v>
      </c>
      <c r="H53" s="216">
        <v>9.0659898000000005</v>
      </c>
    </row>
    <row r="54" spans="1:8" s="1" customFormat="1" x14ac:dyDescent="0.2">
      <c r="G54" s="1" t="s">
        <v>160</v>
      </c>
      <c r="H54" s="216">
        <v>9.0423101999999993</v>
      </c>
    </row>
    <row r="55" spans="1:8" s="1" customFormat="1" x14ac:dyDescent="0.2">
      <c r="G55" s="1" t="s">
        <v>162</v>
      </c>
      <c r="H55" s="216">
        <v>8.4076193000000004</v>
      </c>
    </row>
    <row r="56" spans="1:8" s="1" customFormat="1" x14ac:dyDescent="0.2">
      <c r="G56" s="1" t="s">
        <v>157</v>
      </c>
      <c r="H56" s="216">
        <v>8.3761182000000005</v>
      </c>
    </row>
    <row r="57" spans="1:8" s="1" customFormat="1" x14ac:dyDescent="0.2">
      <c r="G57" s="1" t="s">
        <v>187</v>
      </c>
      <c r="H57" s="216">
        <v>8.3071108000000002</v>
      </c>
    </row>
    <row r="58" spans="1:8" s="1" customFormat="1" x14ac:dyDescent="0.2">
      <c r="G58" s="1" t="s">
        <v>172</v>
      </c>
      <c r="H58" s="216">
        <v>8.2081657999999997</v>
      </c>
    </row>
    <row r="59" spans="1:8" s="1" customFormat="1" x14ac:dyDescent="0.2">
      <c r="G59" s="1" t="s">
        <v>177</v>
      </c>
      <c r="H59" s="216">
        <v>7.9893907000000004</v>
      </c>
    </row>
    <row r="60" spans="1:8" s="1" customFormat="1" x14ac:dyDescent="0.2">
      <c r="G60" s="1" t="s">
        <v>161</v>
      </c>
      <c r="H60" s="216">
        <v>7.9786839000000001</v>
      </c>
    </row>
    <row r="61" spans="1:8" s="1" customFormat="1" x14ac:dyDescent="0.2">
      <c r="G61" s="1" t="s">
        <v>175</v>
      </c>
      <c r="H61" s="216">
        <v>7.7602038000000002</v>
      </c>
    </row>
    <row r="62" spans="1:8" s="1" customFormat="1" x14ac:dyDescent="0.2">
      <c r="G62" s="1" t="s">
        <v>156</v>
      </c>
      <c r="H62" s="216">
        <v>6.9726659</v>
      </c>
    </row>
    <row r="63" spans="1:8" s="1" customFormat="1" x14ac:dyDescent="0.2">
      <c r="G63" s="1" t="s">
        <v>154</v>
      </c>
      <c r="H63" s="216">
        <v>6.7778957000000002</v>
      </c>
    </row>
    <row r="64" spans="1:8" s="1" customFormat="1" x14ac:dyDescent="0.2">
      <c r="G64" s="1" t="s">
        <v>181</v>
      </c>
      <c r="H64" s="216">
        <v>6.5549229999999996</v>
      </c>
    </row>
    <row r="65" spans="7:8" s="1" customFormat="1" x14ac:dyDescent="0.2">
      <c r="G65" s="1" t="s">
        <v>169</v>
      </c>
      <c r="H65" s="216">
        <v>6.0080041</v>
      </c>
    </row>
    <row r="66" spans="7:8" s="1" customFormat="1" x14ac:dyDescent="0.2">
      <c r="G66" s="1" t="s">
        <v>167</v>
      </c>
      <c r="H66" s="216">
        <v>5.9767954000000003</v>
      </c>
    </row>
    <row r="67" spans="7:8" s="1" customFormat="1" x14ac:dyDescent="0.2">
      <c r="G67" s="1" t="s">
        <v>165</v>
      </c>
      <c r="H67" s="216">
        <v>5.8363671000000004</v>
      </c>
    </row>
    <row r="68" spans="7:8" s="1" customFormat="1" x14ac:dyDescent="0.2">
      <c r="G68" s="1" t="s">
        <v>179</v>
      </c>
      <c r="H68" s="216">
        <v>5.8313455000000003</v>
      </c>
    </row>
    <row r="69" spans="7:8" s="1" customFormat="1" x14ac:dyDescent="0.2">
      <c r="G69" s="1" t="s">
        <v>173</v>
      </c>
      <c r="H69" s="216">
        <v>5.3924767999999998</v>
      </c>
    </row>
    <row r="70" spans="7:8" s="1" customFormat="1" x14ac:dyDescent="0.2">
      <c r="G70" s="1" t="s">
        <v>176</v>
      </c>
      <c r="H70" s="216">
        <v>5.1330134000000003</v>
      </c>
    </row>
    <row r="71" spans="7:8" s="1" customFormat="1" x14ac:dyDescent="0.2">
      <c r="G71" s="1" t="s">
        <v>185</v>
      </c>
      <c r="H71" s="216">
        <v>4.9239844000000002</v>
      </c>
    </row>
    <row r="72" spans="7:8" s="1" customFormat="1" x14ac:dyDescent="0.2">
      <c r="G72" s="1" t="s">
        <v>188</v>
      </c>
      <c r="H72" s="216">
        <v>4.8529027999999998</v>
      </c>
    </row>
    <row r="73" spans="7:8" s="1" customFormat="1" x14ac:dyDescent="0.2">
      <c r="G73" s="1" t="s">
        <v>189</v>
      </c>
      <c r="H73" s="216">
        <v>4.5255850999999998</v>
      </c>
    </row>
    <row r="74" spans="7:8" s="1" customFormat="1" x14ac:dyDescent="0.2">
      <c r="G74" s="1" t="s">
        <v>183</v>
      </c>
      <c r="H74" s="216">
        <v>4.2783579999999999</v>
      </c>
    </row>
    <row r="75" spans="7:8" s="1" customFormat="1" x14ac:dyDescent="0.2">
      <c r="G75" s="1" t="s">
        <v>186</v>
      </c>
      <c r="H75" s="216">
        <v>4.2414081000000001</v>
      </c>
    </row>
    <row r="76" spans="7:8" s="1" customFormat="1" x14ac:dyDescent="0.2">
      <c r="G76" s="1" t="s">
        <v>171</v>
      </c>
      <c r="H76" s="216">
        <v>3.0222479999999998</v>
      </c>
    </row>
    <row r="77" spans="7:8" s="1" customFormat="1" x14ac:dyDescent="0.2">
      <c r="G77" s="1" t="s">
        <v>180</v>
      </c>
      <c r="H77" s="216">
        <v>1.6517596999999999</v>
      </c>
    </row>
    <row r="78" spans="7:8" s="1" customFormat="1" x14ac:dyDescent="0.2">
      <c r="G78" s="1" t="s">
        <v>168</v>
      </c>
      <c r="H78" s="216">
        <v>0.82783030000000002</v>
      </c>
    </row>
    <row r="79" spans="7:8" s="1" customFormat="1" x14ac:dyDescent="0.2">
      <c r="G79" s="1" t="s">
        <v>166</v>
      </c>
      <c r="H79" s="216">
        <v>0</v>
      </c>
    </row>
    <row r="80" spans="7:8" s="1" customFormat="1" x14ac:dyDescent="0.2">
      <c r="G80" s="1" t="s">
        <v>170</v>
      </c>
      <c r="H80" s="216">
        <v>0</v>
      </c>
    </row>
    <row r="81" spans="7:8" s="1" customFormat="1" x14ac:dyDescent="0.2">
      <c r="G81" s="1" t="s">
        <v>178</v>
      </c>
      <c r="H81" s="216">
        <v>0</v>
      </c>
    </row>
    <row r="82" spans="7:8" s="1" customFormat="1" x14ac:dyDescent="0.2">
      <c r="G82" s="1" t="s">
        <v>182</v>
      </c>
      <c r="H82" s="216">
        <v>0</v>
      </c>
    </row>
    <row r="83" spans="7:8" s="1" customFormat="1" x14ac:dyDescent="0.2"/>
  </sheetData>
  <sortState ref="G47:H82">
    <sortCondition descending="1" ref="H47:H8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Y42"/>
  <sheetViews>
    <sheetView zoomScale="90" zoomScaleNormal="90" workbookViewId="0">
      <selection activeCell="P21" sqref="P21"/>
    </sheetView>
  </sheetViews>
  <sheetFormatPr baseColWidth="10" defaultRowHeight="15" x14ac:dyDescent="0.2"/>
  <cols>
    <col min="1" max="12" width="10.83203125" style="1" customWidth="1"/>
    <col min="13" max="14" width="10.83203125" style="1"/>
    <col min="15" max="21" width="12.83203125" style="1" customWidth="1"/>
    <col min="22" max="22" width="10.83203125" style="1"/>
    <col min="23" max="23" width="12.6640625" style="1" bestFit="1" customWidth="1"/>
    <col min="24" max="16384" width="10.83203125" style="1"/>
  </cols>
  <sheetData>
    <row r="1" spans="1:25" ht="19" x14ac:dyDescent="0.25">
      <c r="A1" s="3" t="s">
        <v>17</v>
      </c>
    </row>
    <row r="3" spans="1:25" ht="16" x14ac:dyDescent="0.2">
      <c r="A3" s="19" t="s">
        <v>14</v>
      </c>
    </row>
    <row r="5" spans="1:25" ht="15" customHeight="1" x14ac:dyDescent="0.2">
      <c r="A5" s="32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4"/>
      <c r="O5" s="32" t="s">
        <v>125</v>
      </c>
      <c r="W5" s="164" t="s">
        <v>145</v>
      </c>
      <c r="X5" s="28"/>
      <c r="Y5" s="28"/>
    </row>
    <row r="6" spans="1:25" ht="15" customHeight="1" x14ac:dyDescent="0.2">
      <c r="A6" s="10"/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0</v>
      </c>
      <c r="L6" s="11" t="s">
        <v>18</v>
      </c>
      <c r="M6" s="11" t="s">
        <v>19</v>
      </c>
      <c r="O6" s="10"/>
      <c r="P6" s="11" t="s">
        <v>23</v>
      </c>
      <c r="Q6" s="11" t="s">
        <v>24</v>
      </c>
      <c r="R6" s="11" t="s">
        <v>25</v>
      </c>
      <c r="S6" s="173"/>
      <c r="W6" s="1" t="s">
        <v>25</v>
      </c>
      <c r="X6" s="30">
        <f>(0.17*(0.3-0.17)/(0.3*434)+0.324*(0.4-0.324)/(0.4*434)+(0.074*(0.1-0.074)/(0.1-434)+0.173*(0.2-0.173)/(0.2*434)))</f>
        <v>3.6096134388599951E-4</v>
      </c>
    </row>
    <row r="7" spans="1:25" x14ac:dyDescent="0.2">
      <c r="A7" s="15" t="s">
        <v>2</v>
      </c>
      <c r="B7" s="1">
        <f t="array" ref="B7:J15">TRANSPOSE('Error Matrix'!B87:J95)</f>
        <v>57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4">
        <f>SUM(B7:J7)</f>
        <v>59</v>
      </c>
      <c r="L7" s="1">
        <f>Sampling!N6</f>
        <v>38358504</v>
      </c>
      <c r="M7" s="18">
        <f>L7/$L$16</f>
        <v>0.13255577149120071</v>
      </c>
      <c r="O7" s="15" t="s">
        <v>2</v>
      </c>
      <c r="P7" s="135">
        <f>B20*(B29^-4)*(B20*((B21*(M21-B21)/(M21*$L$29))+(B22*(M22-B22)/(M22*$L$29))+(B23*(M23-B23)/(M23*$L$29))+(B24*(M24-B24)/(M24*$L$29))+(B25*(M25-B25)/(M25*$L$29))+(B26*(M26-B26)/(M26*$L$29))+(B27*(M27-B27)/(M27*$L$29))+(B28*(M28-B28)/(M28*$L$29)))+(M20-B20)*((B29-B20)^2)/(M20*$L$29))</f>
        <v>2.4422156061427299E-10</v>
      </c>
      <c r="Q7" s="1">
        <f>(B20*(M20-B20))/((M20^2)*$L$29)</f>
        <v>1.1317169191208694E-10</v>
      </c>
      <c r="W7" s="1" t="s">
        <v>23</v>
      </c>
      <c r="X7" s="182">
        <f>0.17*(0.202^-4)*(0.17*(0.024*(0.4-0.024)/(0.4*434)+0.008*(0.2-0.008)/(0.2*434))+(0.3-0.17)*(0.202-0.17)^2/(0.3*434))</f>
        <v>1.3138343178214487E-3</v>
      </c>
    </row>
    <row r="8" spans="1:25" x14ac:dyDescent="0.2">
      <c r="A8" s="15" t="s">
        <v>3</v>
      </c>
      <c r="B8" s="1">
        <v>0</v>
      </c>
      <c r="C8" s="1">
        <v>117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4">
        <f t="shared" ref="K8:K15" si="0">SUM(B8:J8)</f>
        <v>117</v>
      </c>
      <c r="L8" s="1">
        <f>Sampling!N7</f>
        <v>6321300</v>
      </c>
      <c r="M8" s="18">
        <f t="shared" ref="M8:M15" si="1">L8/$L$16</f>
        <v>2.1844564071824255E-2</v>
      </c>
      <c r="O8" s="15" t="s">
        <v>3</v>
      </c>
      <c r="P8" s="1">
        <f>C21*(C29^-4)*(C21*((C20*(M20-C20)/(M20*$L$29))+(C22*(M22-C22)/(M22*$L$29))+(C23*(M23-C23)/(M23*$L$29))+(C24*(M24-C24)/(M24*$L$29))+(C25*(M25-C25)/(M25*$L$29))+(C26*(M26-C26)/(M26*$L$29))+(C27*(M27-C27)/(M27*$L$29))+(C28*(M28-C28)/(M28*$L$29)))+(M21-C21)*((C29-C21)^2)/(M21*$L$29))</f>
        <v>1.4761912836466261E-8</v>
      </c>
      <c r="Q8" s="1">
        <f>(C21*(M20-C21))/((M21^2)*$L$29)</f>
        <v>1.7513993548696698E-8</v>
      </c>
      <c r="W8" s="1" t="s">
        <v>24</v>
      </c>
      <c r="X8" s="182">
        <f>(0.17*(0.3-0.17))/((0.3^2)*434)</f>
        <v>5.6579621095750128E-4</v>
      </c>
    </row>
    <row r="9" spans="1:25" x14ac:dyDescent="0.2">
      <c r="A9" s="15" t="s">
        <v>4</v>
      </c>
      <c r="B9" s="1">
        <v>7</v>
      </c>
      <c r="C9" s="1">
        <v>0</v>
      </c>
      <c r="D9" s="1">
        <v>74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4">
        <f t="shared" si="0"/>
        <v>81</v>
      </c>
      <c r="L9" s="1">
        <f>Sampling!N8</f>
        <v>4424448</v>
      </c>
      <c r="M9" s="18">
        <f t="shared" si="1"/>
        <v>1.5289598313393556E-2</v>
      </c>
      <c r="O9" s="15" t="s">
        <v>4</v>
      </c>
      <c r="P9" s="1">
        <f>D22*(D29^-4)*(D22*((D20*(M20-D20)/(M20*$L$29))+(D21*(M21-D21)/(M21*$L$29))+(D23*(M23-D23)/(M23*$L$29))+(D24*(M24-D24)/(M24*$L$29))+(D25*(M25-D25)/(M25*$L$29))+(D26*(M26-D26)/(M26*$L$29))+(D27*(M27-D27)/(M27*$L$29))+(D28*(M28-D28)/(M28*$L$29)))+(M22-D22)*((D29-D22)^2)/(M22*$L$29))</f>
        <v>0</v>
      </c>
      <c r="Q9" s="1">
        <f>(D22*(M22-D22))/((M22^2)*$L$29)</f>
        <v>2.7283287694806686E-10</v>
      </c>
    </row>
    <row r="10" spans="1:25" x14ac:dyDescent="0.2">
      <c r="A10" s="15" t="s">
        <v>5</v>
      </c>
      <c r="B10" s="1">
        <v>0</v>
      </c>
      <c r="C10" s="1">
        <v>0</v>
      </c>
      <c r="D10" s="1">
        <v>0</v>
      </c>
      <c r="E10" s="1">
        <v>75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4">
        <f t="shared" si="0"/>
        <v>75</v>
      </c>
      <c r="L10" s="1">
        <f>Sampling!N9</f>
        <v>7531073</v>
      </c>
      <c r="M10" s="18">
        <f t="shared" si="1"/>
        <v>2.6025185749463831E-2</v>
      </c>
      <c r="O10" s="15" t="s">
        <v>5</v>
      </c>
      <c r="P10" s="1">
        <f>E23*(E29^-4)*(E23*(0)+(M23-E23)*((E29-E23)^2)/(M23*$L$29))</f>
        <v>0</v>
      </c>
      <c r="Q10" s="183">
        <f>(E23*(M23-E23))/((M23^2)*$L$29)</f>
        <v>0</v>
      </c>
    </row>
    <row r="11" spans="1:25" x14ac:dyDescent="0.2">
      <c r="A11" s="15" t="s">
        <v>6</v>
      </c>
      <c r="B11" s="1">
        <v>0</v>
      </c>
      <c r="C11" s="1">
        <v>1</v>
      </c>
      <c r="D11" s="1">
        <v>0</v>
      </c>
      <c r="E11" s="1">
        <v>0</v>
      </c>
      <c r="F11" s="1">
        <v>14</v>
      </c>
      <c r="G11" s="1">
        <v>2</v>
      </c>
      <c r="H11" s="1">
        <v>0</v>
      </c>
      <c r="I11" s="1">
        <v>1</v>
      </c>
      <c r="J11" s="1">
        <v>0</v>
      </c>
      <c r="K11" s="14">
        <f t="shared" si="0"/>
        <v>18</v>
      </c>
      <c r="L11" s="1">
        <f>Sampling!N10</f>
        <v>46495934</v>
      </c>
      <c r="M11" s="18">
        <f t="shared" si="1"/>
        <v>0.1606763496974217</v>
      </c>
      <c r="O11" s="15" t="s">
        <v>6</v>
      </c>
      <c r="P11" s="1">
        <f>F24*(F29^-4)*(F24*((F20*(M20-F20)/(M20*$L$29))+(F21*(M21-F21)/(M21*$L$29))+(F22*(M22-F22)/(M22*$L$29))+(F23*(M23-F23)/(M23*$L$29))+(F25*(M25-F25)/(M25*$L$29))+(F26*(M26-F26)/(M26*$L$29))+(F27*(M27-F27)/(M27*$L$29))+(F28*(M28-F28)/(M28*$L$29)))+(M24-F24)*((F29-F24)^2)/(M24*$L$29))</f>
        <v>6.9697113756067202E-10</v>
      </c>
      <c r="Q11" s="1">
        <f>(F24*(M24-F24))/((M24^2)*$L$29)</f>
        <v>5.9728278467009269E-10</v>
      </c>
    </row>
    <row r="12" spans="1:25" x14ac:dyDescent="0.2">
      <c r="A12" s="15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53</v>
      </c>
      <c r="H12" s="1">
        <v>0</v>
      </c>
      <c r="I12" s="1">
        <v>18</v>
      </c>
      <c r="J12" s="1">
        <v>0</v>
      </c>
      <c r="K12" s="14">
        <f t="shared" si="0"/>
        <v>71</v>
      </c>
      <c r="L12" s="1">
        <f>Sampling!N11</f>
        <v>17155955</v>
      </c>
      <c r="M12" s="18">
        <f t="shared" si="1"/>
        <v>5.9285963047289905E-2</v>
      </c>
      <c r="O12" s="15" t="s">
        <v>7</v>
      </c>
      <c r="P12" s="1">
        <f>G25*(G29^-4)*(G25*((G20*(M20-G20)/(M20*$L$29))+(G21*(M21-G21)/(M21*$L$29))+(G22*(M22-G22)/(M22*$L$29))+(G23*(M23-G23)/(M23*$L$29))+(G24*(M24-G24)/(M24*$L$29))+(G26*(M26-G26)/(M26*$L$29))+(G27*(M27-G27)/(M27*$L$29))+(G28*(M28-G28)/(M28*$L$29)))+(M25-G25)*((G29-G25)^2)/(M25*$L$29))</f>
        <v>8.0389695173082947E-9</v>
      </c>
      <c r="Q12" s="1">
        <f>(G25*(M25-G25))/((M25^2)*$L$29)</f>
        <v>6.5398631085947719E-10</v>
      </c>
    </row>
    <row r="13" spans="1:25" x14ac:dyDescent="0.2">
      <c r="A13" s="15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43</v>
      </c>
      <c r="I13" s="1">
        <v>3</v>
      </c>
      <c r="J13" s="1">
        <v>0</v>
      </c>
      <c r="K13" s="14">
        <f t="shared" si="0"/>
        <v>46</v>
      </c>
      <c r="L13" s="1">
        <f>Sampling!N12</f>
        <v>2522512</v>
      </c>
      <c r="M13" s="18">
        <f t="shared" si="1"/>
        <v>8.7170637378301205E-3</v>
      </c>
      <c r="O13" s="15" t="s">
        <v>8</v>
      </c>
      <c r="P13" s="1">
        <f>H26*(H29^-4)*(H26*((H20*(M20-H20)/(M20*$L$29))+(H21*(M21-H21)/(M21*$L$29))+(H22*(M22-H22)/(M22*$L$29))+(H23*(M23-H23)/(M23*$L$29))+(H24*(M24-H24)/(M24*$L$29))+(H25*(M25-H25)/(M25*$L$29))+(H27*(M27-H27)/(M27*$L$29))+(H28*(M28-H28)/(M28*$L$29)))+(M26-H26)*((H29-H26)^2)/(M26*$L$29))</f>
        <v>3.7298863615097924E-8</v>
      </c>
      <c r="Q13" s="1">
        <f>(H26*(M26-H26))/((M26^2)*$L$29)</f>
        <v>2.1067404189231029E-10</v>
      </c>
    </row>
    <row r="14" spans="1:25" x14ac:dyDescent="0.2">
      <c r="A14" s="15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2</v>
      </c>
      <c r="G14" s="1">
        <v>3</v>
      </c>
      <c r="H14" s="1">
        <v>2</v>
      </c>
      <c r="I14" s="1">
        <v>85</v>
      </c>
      <c r="J14" s="1">
        <v>0</v>
      </c>
      <c r="K14" s="14">
        <f t="shared" si="0"/>
        <v>92</v>
      </c>
      <c r="L14" s="1">
        <f>Sampling!N13</f>
        <v>17610223</v>
      </c>
      <c r="M14" s="18">
        <f t="shared" si="1"/>
        <v>6.0855780400014735E-2</v>
      </c>
      <c r="O14" s="15" t="s">
        <v>9</v>
      </c>
      <c r="P14" s="1">
        <f>I27*(I29^-4)*(I27*((I20*(M20-I20)/(M20*$L$29))+(I21*(M21-I21)/(M21*$L$29))+(I22*(M22-I22)/(M22*$L$29))+(I23*(M23-I23)/(M23*$L$29))+(I24*(M24-I24)/(M24*$L$29))+(I25*(M25-I25)/(M25*$L$29))+(I26*(M26-I26)/(M26*$L$29))+(I28*(M28-I28)/(M28*$L$29)))+(M27-I27)*((I29-I27)^2)/(M27*$L$29))</f>
        <v>5.3944699379672694E-9</v>
      </c>
      <c r="Q14" s="1">
        <f>(I27*(M27-I27))/((M27^2)*$L$29)</f>
        <v>2.4292840101923361E-10</v>
      </c>
    </row>
    <row r="15" spans="1:25" x14ac:dyDescent="0.2">
      <c r="A15" s="15" t="s">
        <v>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73</v>
      </c>
      <c r="K15" s="14">
        <f t="shared" si="0"/>
        <v>73</v>
      </c>
      <c r="L15" s="1">
        <f>Sampling!N14</f>
        <v>148956391</v>
      </c>
      <c r="M15" s="18">
        <f t="shared" si="1"/>
        <v>0.51474972349156123</v>
      </c>
      <c r="O15" s="12" t="s">
        <v>10</v>
      </c>
      <c r="P15" s="28">
        <f>J28*(J29^-4)*(J28*((J20*(M20-J20)/(M20*$L$29))+(J21*(M21-J21)/(M21*$L$29))+(J22*(M22-J22)/(M22*$L$29))+(J23*(M23-J23)/(M23*$L$29))+(J24*(M24-J24)/(M24*$L$29))+(J25*(M25-J25)/(M25*$L$29))+(J26*(M26-J26)/(M26*$L$29))+(J27*(M27-J27)/(M27*$L$29)))+(M28-J28)*((J29-J28)^2)/(M28*$L$29))</f>
        <v>0</v>
      </c>
      <c r="Q15" s="28">
        <f>(J28*(M28-J28))/((M28^2)*$L$29)</f>
        <v>0</v>
      </c>
      <c r="R15" s="28"/>
      <c r="S15" s="14"/>
    </row>
    <row r="16" spans="1:25" ht="15" customHeight="1" x14ac:dyDescent="0.2">
      <c r="A16" s="23" t="s">
        <v>0</v>
      </c>
      <c r="B16" s="24">
        <f>SUM(B7:B15)</f>
        <v>64</v>
      </c>
      <c r="C16" s="24">
        <f t="shared" ref="C16:J16" si="2">SUM(C7:C15)</f>
        <v>119</v>
      </c>
      <c r="D16" s="24">
        <f t="shared" si="2"/>
        <v>74</v>
      </c>
      <c r="E16" s="24">
        <f t="shared" si="2"/>
        <v>75</v>
      </c>
      <c r="F16" s="24">
        <f t="shared" si="2"/>
        <v>17</v>
      </c>
      <c r="G16" s="24">
        <f t="shared" si="2"/>
        <v>58</v>
      </c>
      <c r="H16" s="24">
        <f t="shared" si="2"/>
        <v>45</v>
      </c>
      <c r="I16" s="24">
        <f t="shared" si="2"/>
        <v>107</v>
      </c>
      <c r="J16" s="24">
        <f t="shared" si="2"/>
        <v>73</v>
      </c>
      <c r="K16" s="24">
        <f>SUM(K7:K15)</f>
        <v>632</v>
      </c>
      <c r="L16" s="25">
        <f>SUM(L7:L15)</f>
        <v>289376340</v>
      </c>
      <c r="M16" s="26">
        <f>SUM(M7:M15)</f>
        <v>1</v>
      </c>
      <c r="R16" s="1">
        <f>((B20*((M20-B20)/(M20*L29)))+(C21*((M21-C21)/(M21*L29)))+(D22*((M22-D22)/(M22*L29)))+(E23*((M23-E23)/(M23*L29)))+(F24*((M24-F24)/(M24*L29)))+(G25*((M25-G25)/(M25*L29)))+(H26*((M26-H26)/(M26*L29)))+(I27*((M27-I27)/(M27*L29)))+(J28*((M28-J28)/(M28*L29))))</f>
        <v>1.7053454834097945E-10</v>
      </c>
    </row>
    <row r="18" spans="1:21" x14ac:dyDescent="0.2">
      <c r="A18" s="32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4"/>
      <c r="O18" s="32" t="s">
        <v>126</v>
      </c>
    </row>
    <row r="19" spans="1:21" x14ac:dyDescent="0.2">
      <c r="A19" s="10"/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  <c r="J19" s="11" t="s">
        <v>10</v>
      </c>
      <c r="K19" s="11" t="s">
        <v>0</v>
      </c>
      <c r="L19" s="11" t="s">
        <v>18</v>
      </c>
      <c r="M19" s="11" t="s">
        <v>19</v>
      </c>
      <c r="O19" s="151"/>
      <c r="P19" s="203" t="s">
        <v>23</v>
      </c>
      <c r="Q19" s="203"/>
      <c r="R19" s="203"/>
      <c r="S19" s="203" t="s">
        <v>24</v>
      </c>
      <c r="T19" s="203"/>
      <c r="U19" s="203"/>
    </row>
    <row r="20" spans="1:21" x14ac:dyDescent="0.2">
      <c r="A20" s="15" t="s">
        <v>2</v>
      </c>
      <c r="B20" s="20">
        <f>$M7*B7/$K7</f>
        <v>0.12806235550844813</v>
      </c>
      <c r="C20" s="20">
        <f t="shared" ref="C20:J21" si="3">$M7*C7/$K7</f>
        <v>2.2467079913762833E-3</v>
      </c>
      <c r="D20" s="20">
        <f t="shared" si="3"/>
        <v>0</v>
      </c>
      <c r="E20" s="20">
        <f t="shared" si="3"/>
        <v>0</v>
      </c>
      <c r="F20" s="20">
        <f t="shared" si="3"/>
        <v>2.2467079913762833E-3</v>
      </c>
      <c r="G20" s="20">
        <f t="shared" si="3"/>
        <v>0</v>
      </c>
      <c r="H20" s="20">
        <f t="shared" si="3"/>
        <v>0</v>
      </c>
      <c r="I20" s="20">
        <f t="shared" si="3"/>
        <v>0</v>
      </c>
      <c r="J20" s="20">
        <f t="shared" si="3"/>
        <v>0</v>
      </c>
      <c r="K20" s="21">
        <f>SUM(B20:J20)</f>
        <v>0.13255577149120068</v>
      </c>
      <c r="L20" s="1">
        <f>L7</f>
        <v>38358504</v>
      </c>
      <c r="M20" s="18">
        <f>L20/$L$29</f>
        <v>0.13255577149120071</v>
      </c>
      <c r="O20" s="174"/>
      <c r="P20" s="11" t="s">
        <v>127</v>
      </c>
      <c r="Q20" s="11" t="s">
        <v>129</v>
      </c>
      <c r="R20" s="11" t="s">
        <v>128</v>
      </c>
      <c r="S20" s="11" t="s">
        <v>127</v>
      </c>
      <c r="T20" s="11" t="s">
        <v>129</v>
      </c>
      <c r="U20" s="11" t="s">
        <v>128</v>
      </c>
    </row>
    <row r="21" spans="1:21" x14ac:dyDescent="0.2">
      <c r="A21" s="15" t="s">
        <v>3</v>
      </c>
      <c r="B21" s="20">
        <f>$M8*B8/$K8</f>
        <v>0</v>
      </c>
      <c r="C21" s="20">
        <f>$M8*C8/$K8</f>
        <v>2.1844564071824252E-2</v>
      </c>
      <c r="D21" s="20">
        <f t="shared" si="3"/>
        <v>0</v>
      </c>
      <c r="E21" s="20">
        <f t="shared" si="3"/>
        <v>0</v>
      </c>
      <c r="F21" s="20">
        <f t="shared" si="3"/>
        <v>0</v>
      </c>
      <c r="G21" s="20">
        <f t="shared" si="3"/>
        <v>0</v>
      </c>
      <c r="H21" s="20">
        <f t="shared" si="3"/>
        <v>0</v>
      </c>
      <c r="I21" s="20">
        <f t="shared" si="3"/>
        <v>0</v>
      </c>
      <c r="J21" s="20">
        <f t="shared" si="3"/>
        <v>0</v>
      </c>
      <c r="K21" s="21">
        <f t="shared" ref="K21:K28" si="4">SUM(B21:J21)</f>
        <v>2.1844564071824252E-2</v>
      </c>
      <c r="L21" s="1">
        <f t="shared" ref="L21:L28" si="5">L8</f>
        <v>6321300</v>
      </c>
      <c r="M21" s="18">
        <f t="shared" ref="M21:M28" si="6">L21/$L$29</f>
        <v>2.1844564071824255E-2</v>
      </c>
      <c r="O21" s="15" t="s">
        <v>2</v>
      </c>
      <c r="P21" s="1">
        <f>2*(P7^0.5)</f>
        <v>3.1255179450086218E-5</v>
      </c>
      <c r="Q21" s="30">
        <f>K33-P21</f>
        <v>0.98975630285654026</v>
      </c>
      <c r="R21" s="30">
        <f>K33+P21</f>
        <v>0.98981881321544052</v>
      </c>
      <c r="S21" s="1">
        <f t="shared" ref="S21:S29" si="7">2*(Q7^0.5)</f>
        <v>2.1276436911483739E-5</v>
      </c>
      <c r="T21" s="30">
        <f>L33-S21</f>
        <v>0.96608041847834281</v>
      </c>
      <c r="U21" s="30">
        <f>L33+S21</f>
        <v>0.96612297135216585</v>
      </c>
    </row>
    <row r="22" spans="1:21" x14ac:dyDescent="0.2">
      <c r="A22" s="15" t="s">
        <v>4</v>
      </c>
      <c r="B22" s="20">
        <f t="shared" ref="B22:J28" si="8">$M9*B9/$K9</f>
        <v>1.3213233110340112E-3</v>
      </c>
      <c r="C22" s="20">
        <f t="shared" si="8"/>
        <v>0</v>
      </c>
      <c r="D22" s="20">
        <f t="shared" si="8"/>
        <v>1.3968275002359545E-2</v>
      </c>
      <c r="E22" s="20">
        <f t="shared" si="8"/>
        <v>0</v>
      </c>
      <c r="F22" s="20">
        <f t="shared" si="8"/>
        <v>0</v>
      </c>
      <c r="G22" s="20">
        <f t="shared" si="8"/>
        <v>0</v>
      </c>
      <c r="H22" s="20">
        <f t="shared" si="8"/>
        <v>0</v>
      </c>
      <c r="I22" s="20">
        <f t="shared" si="8"/>
        <v>0</v>
      </c>
      <c r="J22" s="20">
        <f t="shared" si="8"/>
        <v>0</v>
      </c>
      <c r="K22" s="21">
        <f t="shared" si="4"/>
        <v>1.5289598313393556E-2</v>
      </c>
      <c r="L22" s="1">
        <f t="shared" si="5"/>
        <v>4424448</v>
      </c>
      <c r="M22" s="18">
        <f t="shared" si="6"/>
        <v>1.5289598313393556E-2</v>
      </c>
      <c r="O22" s="15" t="s">
        <v>3</v>
      </c>
      <c r="P22" s="1">
        <f t="shared" ref="P22:P29" si="9">2*(P8^0.5)</f>
        <v>2.4299722497564668E-4</v>
      </c>
      <c r="Q22" s="30">
        <f t="shared" ref="Q22:Q29" si="10">K34-P22</f>
        <v>0.66135791068231942</v>
      </c>
      <c r="R22" s="30">
        <f t="shared" ref="R22:R29" si="11">K34+P22</f>
        <v>0.66184390513227076</v>
      </c>
      <c r="S22" s="1">
        <f t="shared" si="7"/>
        <v>2.64680891253575E-4</v>
      </c>
      <c r="T22" s="30">
        <f t="shared" ref="T22:T29" si="12">L34-S22</f>
        <v>0.99973531910874647</v>
      </c>
      <c r="U22" s="30">
        <f t="shared" ref="U22:U29" si="13">L34+S22</f>
        <v>1.0002646808912536</v>
      </c>
    </row>
    <row r="23" spans="1:21" x14ac:dyDescent="0.2">
      <c r="A23" s="15" t="s">
        <v>5</v>
      </c>
      <c r="B23" s="20">
        <f t="shared" si="8"/>
        <v>0</v>
      </c>
      <c r="C23" s="20">
        <f t="shared" si="8"/>
        <v>0</v>
      </c>
      <c r="D23" s="20">
        <f t="shared" si="8"/>
        <v>0</v>
      </c>
      <c r="E23" s="20">
        <f t="shared" si="8"/>
        <v>2.6025185749463831E-2</v>
      </c>
      <c r="F23" s="20">
        <f t="shared" si="8"/>
        <v>0</v>
      </c>
      <c r="G23" s="20">
        <f t="shared" si="8"/>
        <v>0</v>
      </c>
      <c r="H23" s="20">
        <f t="shared" si="8"/>
        <v>0</v>
      </c>
      <c r="I23" s="20">
        <f t="shared" si="8"/>
        <v>0</v>
      </c>
      <c r="J23" s="20">
        <f t="shared" si="8"/>
        <v>0</v>
      </c>
      <c r="K23" s="21">
        <f t="shared" si="4"/>
        <v>2.6025185749463831E-2</v>
      </c>
      <c r="L23" s="1">
        <f t="shared" si="5"/>
        <v>7531073</v>
      </c>
      <c r="M23" s="18">
        <f t="shared" si="6"/>
        <v>2.6025185749463831E-2</v>
      </c>
      <c r="O23" s="15" t="s">
        <v>4</v>
      </c>
      <c r="P23" s="1">
        <f t="shared" si="9"/>
        <v>0</v>
      </c>
      <c r="Q23" s="30">
        <f t="shared" si="10"/>
        <v>1</v>
      </c>
      <c r="R23" s="30">
        <f t="shared" si="11"/>
        <v>1</v>
      </c>
      <c r="S23" s="1">
        <f t="shared" si="7"/>
        <v>3.3035306988013106E-5</v>
      </c>
      <c r="T23" s="30">
        <f t="shared" si="12"/>
        <v>0.91354721160659225</v>
      </c>
      <c r="U23" s="30">
        <f t="shared" si="13"/>
        <v>0.91361328222056837</v>
      </c>
    </row>
    <row r="24" spans="1:21" x14ac:dyDescent="0.2">
      <c r="A24" s="15" t="s">
        <v>6</v>
      </c>
      <c r="B24" s="20">
        <f t="shared" si="8"/>
        <v>0</v>
      </c>
      <c r="C24" s="20">
        <f t="shared" si="8"/>
        <v>8.9264638720789827E-3</v>
      </c>
      <c r="D24" s="20">
        <f t="shared" si="8"/>
        <v>0</v>
      </c>
      <c r="E24" s="20">
        <f t="shared" si="8"/>
        <v>0</v>
      </c>
      <c r="F24" s="20">
        <f t="shared" si="8"/>
        <v>0.12497049420910576</v>
      </c>
      <c r="G24" s="20">
        <f t="shared" si="8"/>
        <v>1.7852927744157965E-2</v>
      </c>
      <c r="H24" s="20">
        <f t="shared" si="8"/>
        <v>0</v>
      </c>
      <c r="I24" s="20">
        <f t="shared" si="8"/>
        <v>8.9264638720789827E-3</v>
      </c>
      <c r="J24" s="20">
        <f t="shared" si="8"/>
        <v>0</v>
      </c>
      <c r="K24" s="21">
        <f t="shared" si="4"/>
        <v>0.1606763496974217</v>
      </c>
      <c r="L24" s="1">
        <f t="shared" si="5"/>
        <v>46495934</v>
      </c>
      <c r="M24" s="18">
        <f t="shared" si="6"/>
        <v>0.1606763496974217</v>
      </c>
      <c r="O24" s="15" t="s">
        <v>5</v>
      </c>
      <c r="P24" s="1">
        <f t="shared" si="9"/>
        <v>0</v>
      </c>
      <c r="Q24" s="30">
        <f t="shared" si="10"/>
        <v>1</v>
      </c>
      <c r="R24" s="30">
        <f t="shared" si="11"/>
        <v>1</v>
      </c>
      <c r="S24" s="1">
        <f t="shared" si="7"/>
        <v>0</v>
      </c>
      <c r="T24" s="30">
        <f t="shared" si="12"/>
        <v>1</v>
      </c>
      <c r="U24" s="30">
        <f t="shared" si="13"/>
        <v>1</v>
      </c>
    </row>
    <row r="25" spans="1:21" x14ac:dyDescent="0.2">
      <c r="A25" s="15" t="s">
        <v>7</v>
      </c>
      <c r="B25" s="20">
        <f t="shared" si="8"/>
        <v>0</v>
      </c>
      <c r="C25" s="20">
        <f t="shared" si="8"/>
        <v>0</v>
      </c>
      <c r="D25" s="20">
        <f t="shared" si="8"/>
        <v>0</v>
      </c>
      <c r="E25" s="20">
        <f t="shared" si="8"/>
        <v>0</v>
      </c>
      <c r="F25" s="20">
        <f t="shared" si="8"/>
        <v>0</v>
      </c>
      <c r="G25" s="20">
        <f t="shared" si="8"/>
        <v>4.4255718894455842E-2</v>
      </c>
      <c r="H25" s="20">
        <f t="shared" si="8"/>
        <v>0</v>
      </c>
      <c r="I25" s="20">
        <f t="shared" si="8"/>
        <v>1.5030244152834061E-2</v>
      </c>
      <c r="J25" s="20">
        <f t="shared" si="8"/>
        <v>0</v>
      </c>
      <c r="K25" s="21">
        <f t="shared" si="4"/>
        <v>5.9285963047289905E-2</v>
      </c>
      <c r="L25" s="1">
        <f t="shared" si="5"/>
        <v>17155955</v>
      </c>
      <c r="M25" s="18">
        <f t="shared" si="6"/>
        <v>5.9285963047289905E-2</v>
      </c>
      <c r="O25" s="15" t="s">
        <v>6</v>
      </c>
      <c r="P25" s="1">
        <f t="shared" si="9"/>
        <v>5.2800421875612775E-5</v>
      </c>
      <c r="Q25" s="30">
        <f t="shared" si="10"/>
        <v>0.97217642422462514</v>
      </c>
      <c r="R25" s="30">
        <f t="shared" si="11"/>
        <v>0.97228202506837635</v>
      </c>
      <c r="S25" s="1">
        <f t="shared" si="7"/>
        <v>4.8878739127358543E-5</v>
      </c>
      <c r="T25" s="30">
        <f t="shared" si="12"/>
        <v>0.77772889903865039</v>
      </c>
      <c r="U25" s="30">
        <f t="shared" si="13"/>
        <v>0.77782665651690519</v>
      </c>
    </row>
    <row r="26" spans="1:21" ht="15" customHeight="1" x14ac:dyDescent="0.2">
      <c r="A26" s="15" t="s">
        <v>8</v>
      </c>
      <c r="B26" s="20">
        <f t="shared" si="8"/>
        <v>0</v>
      </c>
      <c r="C26" s="20">
        <f t="shared" si="8"/>
        <v>0</v>
      </c>
      <c r="D26" s="20">
        <f t="shared" si="8"/>
        <v>0</v>
      </c>
      <c r="E26" s="20">
        <f t="shared" si="8"/>
        <v>0</v>
      </c>
      <c r="F26" s="20">
        <f t="shared" si="8"/>
        <v>0</v>
      </c>
      <c r="G26" s="20">
        <f t="shared" si="8"/>
        <v>0</v>
      </c>
      <c r="H26" s="20">
        <f t="shared" si="8"/>
        <v>8.1485595810151124E-3</v>
      </c>
      <c r="I26" s="20">
        <f t="shared" si="8"/>
        <v>5.6850415681500787E-4</v>
      </c>
      <c r="J26" s="20">
        <f t="shared" si="8"/>
        <v>0</v>
      </c>
      <c r="K26" s="21">
        <f t="shared" si="4"/>
        <v>8.7170637378301205E-3</v>
      </c>
      <c r="L26" s="1">
        <f t="shared" si="5"/>
        <v>2522512</v>
      </c>
      <c r="M26" s="18">
        <f t="shared" si="6"/>
        <v>8.7170637378301205E-3</v>
      </c>
      <c r="O26" s="15" t="s">
        <v>7</v>
      </c>
      <c r="P26" s="1">
        <f t="shared" si="9"/>
        <v>1.7932060135197289E-4</v>
      </c>
      <c r="Q26" s="30">
        <f t="shared" si="10"/>
        <v>0.69031211556668137</v>
      </c>
      <c r="R26" s="30">
        <f t="shared" si="11"/>
        <v>0.69067075676938527</v>
      </c>
      <c r="S26" s="1">
        <f t="shared" si="7"/>
        <v>5.1146312119623137E-5</v>
      </c>
      <c r="T26" s="30">
        <f t="shared" si="12"/>
        <v>0.74642772692731696</v>
      </c>
      <c r="U26" s="30">
        <f t="shared" si="13"/>
        <v>0.74653001955155629</v>
      </c>
    </row>
    <row r="27" spans="1:21" x14ac:dyDescent="0.2">
      <c r="A27" s="15" t="s">
        <v>9</v>
      </c>
      <c r="B27" s="20">
        <f t="shared" si="8"/>
        <v>0</v>
      </c>
      <c r="C27" s="20">
        <f t="shared" si="8"/>
        <v>0</v>
      </c>
      <c r="D27" s="20">
        <f t="shared" si="8"/>
        <v>0</v>
      </c>
      <c r="E27" s="20">
        <f t="shared" si="8"/>
        <v>0</v>
      </c>
      <c r="F27" s="20">
        <f t="shared" si="8"/>
        <v>1.3229517478264073E-3</v>
      </c>
      <c r="G27" s="20">
        <f t="shared" si="8"/>
        <v>1.9844276217396107E-3</v>
      </c>
      <c r="H27" s="20">
        <f t="shared" si="8"/>
        <v>1.3229517478264073E-3</v>
      </c>
      <c r="I27" s="20">
        <f t="shared" si="8"/>
        <v>5.6225449282622311E-2</v>
      </c>
      <c r="J27" s="20">
        <f t="shared" si="8"/>
        <v>0</v>
      </c>
      <c r="K27" s="21">
        <f t="shared" si="4"/>
        <v>6.0855780400014735E-2</v>
      </c>
      <c r="L27" s="1">
        <f t="shared" si="5"/>
        <v>17610223</v>
      </c>
      <c r="M27" s="18">
        <f t="shared" si="6"/>
        <v>6.0855780400014735E-2</v>
      </c>
      <c r="O27" s="15" t="s">
        <v>8</v>
      </c>
      <c r="P27" s="1">
        <f t="shared" si="9"/>
        <v>3.8625827429375763E-4</v>
      </c>
      <c r="Q27" s="30">
        <f t="shared" si="10"/>
        <v>0.85993679874429296</v>
      </c>
      <c r="R27" s="30">
        <f t="shared" si="11"/>
        <v>0.86070931529288042</v>
      </c>
      <c r="S27" s="1">
        <f t="shared" si="7"/>
        <v>2.9029229537988795E-5</v>
      </c>
      <c r="T27" s="30">
        <f t="shared" si="12"/>
        <v>0.93475357946611415</v>
      </c>
      <c r="U27" s="30">
        <f t="shared" si="13"/>
        <v>0.93481163792519006</v>
      </c>
    </row>
    <row r="28" spans="1:21" x14ac:dyDescent="0.2">
      <c r="A28" s="15" t="s">
        <v>10</v>
      </c>
      <c r="B28" s="20">
        <f t="shared" si="8"/>
        <v>0</v>
      </c>
      <c r="C28" s="20">
        <f t="shared" si="8"/>
        <v>0</v>
      </c>
      <c r="D28" s="20">
        <f t="shared" si="8"/>
        <v>0</v>
      </c>
      <c r="E28" s="20">
        <f t="shared" si="8"/>
        <v>0</v>
      </c>
      <c r="F28" s="20">
        <f t="shared" si="8"/>
        <v>0</v>
      </c>
      <c r="G28" s="20">
        <f t="shared" si="8"/>
        <v>0</v>
      </c>
      <c r="H28" s="20">
        <f t="shared" si="8"/>
        <v>0</v>
      </c>
      <c r="I28" s="20">
        <f t="shared" si="8"/>
        <v>0</v>
      </c>
      <c r="J28" s="20">
        <f t="shared" si="8"/>
        <v>0.51474972349156123</v>
      </c>
      <c r="K28" s="21">
        <f t="shared" si="4"/>
        <v>0.51474972349156123</v>
      </c>
      <c r="L28" s="1">
        <f t="shared" si="5"/>
        <v>148956391</v>
      </c>
      <c r="M28" s="18">
        <f t="shared" si="6"/>
        <v>0.51474972349156123</v>
      </c>
      <c r="O28" s="15" t="s">
        <v>9</v>
      </c>
      <c r="P28" s="1">
        <f t="shared" si="9"/>
        <v>1.4689411067796108E-4</v>
      </c>
      <c r="Q28" s="30">
        <f t="shared" si="10"/>
        <v>0.69613779585987556</v>
      </c>
      <c r="R28" s="30">
        <f t="shared" si="11"/>
        <v>0.6964315840812314</v>
      </c>
      <c r="S28" s="1">
        <f t="shared" si="7"/>
        <v>3.1172321121099315E-5</v>
      </c>
      <c r="T28" s="30">
        <f t="shared" si="12"/>
        <v>0.92388187115713971</v>
      </c>
      <c r="U28" s="30">
        <f t="shared" si="13"/>
        <v>0.92394421579938202</v>
      </c>
    </row>
    <row r="29" spans="1:21" x14ac:dyDescent="0.2">
      <c r="A29" s="23" t="s">
        <v>0</v>
      </c>
      <c r="B29" s="27">
        <f>SUM(B20:B28)</f>
        <v>0.12938367881948215</v>
      </c>
      <c r="C29" s="27">
        <f t="shared" ref="C29:J29" si="14">SUM(C20:C28)</f>
        <v>3.301773593527952E-2</v>
      </c>
      <c r="D29" s="27">
        <f t="shared" si="14"/>
        <v>1.3968275002359545E-2</v>
      </c>
      <c r="E29" s="27">
        <f t="shared" si="14"/>
        <v>2.6025185749463831E-2</v>
      </c>
      <c r="F29" s="27">
        <f t="shared" si="14"/>
        <v>0.12854015394830845</v>
      </c>
      <c r="G29" s="27">
        <f t="shared" si="14"/>
        <v>6.4093074260353419E-2</v>
      </c>
      <c r="H29" s="27">
        <f t="shared" si="14"/>
        <v>9.4715113288415202E-3</v>
      </c>
      <c r="I29" s="27">
        <f t="shared" si="14"/>
        <v>8.0750661464350365E-2</v>
      </c>
      <c r="J29" s="27">
        <f t="shared" si="14"/>
        <v>0.51474972349156123</v>
      </c>
      <c r="K29" s="27">
        <f>SUM(K20:K28)</f>
        <v>1</v>
      </c>
      <c r="L29" s="24">
        <f>L16</f>
        <v>289376340</v>
      </c>
      <c r="M29" s="26">
        <f>SUM(M20:M28)</f>
        <v>1</v>
      </c>
      <c r="O29" s="12" t="s">
        <v>10</v>
      </c>
      <c r="P29" s="28">
        <f t="shared" si="9"/>
        <v>0</v>
      </c>
      <c r="Q29" s="40">
        <f t="shared" si="10"/>
        <v>1</v>
      </c>
      <c r="R29" s="40">
        <f t="shared" si="11"/>
        <v>1</v>
      </c>
      <c r="S29" s="28">
        <f t="shared" si="7"/>
        <v>0</v>
      </c>
      <c r="T29" s="40">
        <f t="shared" si="12"/>
        <v>1</v>
      </c>
      <c r="U29" s="40">
        <f t="shared" si="13"/>
        <v>1</v>
      </c>
    </row>
    <row r="31" spans="1:21" x14ac:dyDescent="0.2">
      <c r="E31" s="33" t="s">
        <v>49</v>
      </c>
      <c r="J31" s="33" t="s">
        <v>22</v>
      </c>
    </row>
    <row r="32" spans="1:21" x14ac:dyDescent="0.2">
      <c r="E32" s="24"/>
      <c r="F32" s="38" t="s">
        <v>24</v>
      </c>
      <c r="G32" s="38" t="s">
        <v>23</v>
      </c>
      <c r="H32" s="38" t="s">
        <v>25</v>
      </c>
      <c r="J32" s="24"/>
      <c r="K32" s="38" t="s">
        <v>23</v>
      </c>
      <c r="L32" s="38" t="s">
        <v>24</v>
      </c>
      <c r="M32" s="38" t="s">
        <v>25</v>
      </c>
      <c r="O32" s="24"/>
      <c r="P32" s="38" t="s">
        <v>127</v>
      </c>
      <c r="Q32" s="11" t="s">
        <v>129</v>
      </c>
      <c r="R32" s="11" t="s">
        <v>128</v>
      </c>
      <c r="S32" s="173"/>
    </row>
    <row r="33" spans="5:19" x14ac:dyDescent="0.2">
      <c r="E33" s="36" t="s">
        <v>2</v>
      </c>
      <c r="F33" s="30">
        <f>'UA PA'!B8</f>
        <v>0.96610169491525422</v>
      </c>
      <c r="G33" s="30">
        <f>'UA PA'!C8</f>
        <v>0.890625</v>
      </c>
      <c r="J33" s="36" t="s">
        <v>2</v>
      </c>
      <c r="K33" s="30">
        <f>B20/B29</f>
        <v>0.98978755803599039</v>
      </c>
      <c r="L33" s="30">
        <f>B20/K20</f>
        <v>0.96610169491525433</v>
      </c>
      <c r="M33" s="30"/>
      <c r="O33" s="15" t="s">
        <v>25</v>
      </c>
      <c r="P33" s="1">
        <f>2*(R16)^0.5</f>
        <v>2.6117775429081203E-5</v>
      </c>
      <c r="Q33" s="30">
        <f>M42-P33</f>
        <v>0.93822420801542705</v>
      </c>
      <c r="R33" s="30">
        <f>M42+P33</f>
        <v>0.93827644356628515</v>
      </c>
      <c r="S33" s="30"/>
    </row>
    <row r="34" spans="5:19" x14ac:dyDescent="0.2">
      <c r="E34" s="36" t="s">
        <v>3</v>
      </c>
      <c r="F34" s="30">
        <f>'UA PA'!B9</f>
        <v>1</v>
      </c>
      <c r="G34" s="30">
        <f>'UA PA'!C9</f>
        <v>0.98319327731092432</v>
      </c>
      <c r="J34" s="36" t="s">
        <v>3</v>
      </c>
      <c r="K34" s="30">
        <f>C21/C29</f>
        <v>0.66160090790729509</v>
      </c>
      <c r="L34" s="30">
        <f>C21/K21</f>
        <v>1</v>
      </c>
      <c r="M34" s="30"/>
    </row>
    <row r="35" spans="5:19" x14ac:dyDescent="0.2">
      <c r="E35" s="36" t="s">
        <v>4</v>
      </c>
      <c r="F35" s="30">
        <f>'UA PA'!B10</f>
        <v>0.9135802469135802</v>
      </c>
      <c r="G35" s="30">
        <f>'UA PA'!C10</f>
        <v>1</v>
      </c>
      <c r="J35" s="36" t="s">
        <v>4</v>
      </c>
      <c r="K35" s="30">
        <f>D22/D29</f>
        <v>1</v>
      </c>
      <c r="L35" s="30">
        <f>D22/K22</f>
        <v>0.91358024691358031</v>
      </c>
      <c r="M35" s="30"/>
    </row>
    <row r="36" spans="5:19" x14ac:dyDescent="0.2">
      <c r="E36" s="36" t="s">
        <v>5</v>
      </c>
      <c r="F36" s="30">
        <f>'UA PA'!B11</f>
        <v>1</v>
      </c>
      <c r="G36" s="30">
        <f>'UA PA'!C11</f>
        <v>1</v>
      </c>
      <c r="J36" s="36" t="s">
        <v>5</v>
      </c>
      <c r="K36" s="30">
        <f>E23/E29</f>
        <v>1</v>
      </c>
      <c r="L36" s="30">
        <f>E23/K23</f>
        <v>1</v>
      </c>
      <c r="M36" s="30"/>
    </row>
    <row r="37" spans="5:19" x14ac:dyDescent="0.2">
      <c r="E37" s="37" t="s">
        <v>6</v>
      </c>
      <c r="F37" s="30">
        <f>'UA PA'!B12</f>
        <v>0.77777777777777779</v>
      </c>
      <c r="G37" s="30">
        <f>'UA PA'!C12</f>
        <v>0.82352941176470584</v>
      </c>
      <c r="J37" s="37" t="s">
        <v>6</v>
      </c>
      <c r="K37" s="30">
        <f>F24/F29</f>
        <v>0.97222922464650074</v>
      </c>
      <c r="L37" s="30">
        <f>F24/K24</f>
        <v>0.77777777777777779</v>
      </c>
      <c r="M37" s="30"/>
    </row>
    <row r="38" spans="5:19" x14ac:dyDescent="0.2">
      <c r="E38" s="36" t="s">
        <v>7</v>
      </c>
      <c r="F38" s="30">
        <f>'UA PA'!B13</f>
        <v>0.74647887323943662</v>
      </c>
      <c r="G38" s="30">
        <f>'UA PA'!C13</f>
        <v>0.91379310344827591</v>
      </c>
      <c r="J38" s="36" t="s">
        <v>7</v>
      </c>
      <c r="K38" s="30">
        <f>G25/G29</f>
        <v>0.69049143616803332</v>
      </c>
      <c r="L38" s="30">
        <f>G25/K25</f>
        <v>0.74647887323943662</v>
      </c>
      <c r="M38" s="30"/>
    </row>
    <row r="39" spans="5:19" x14ac:dyDescent="0.2">
      <c r="E39" s="36" t="s">
        <v>8</v>
      </c>
      <c r="F39" s="30">
        <f>'UA PA'!B14</f>
        <v>0.93478260869565222</v>
      </c>
      <c r="G39" s="30">
        <f>'UA PA'!C14</f>
        <v>0.9555555555555556</v>
      </c>
      <c r="J39" s="36" t="s">
        <v>8</v>
      </c>
      <c r="K39" s="30">
        <f>H26/H29</f>
        <v>0.86032305701858669</v>
      </c>
      <c r="L39" s="30">
        <f>H26/K26</f>
        <v>0.93478260869565211</v>
      </c>
      <c r="M39" s="30"/>
    </row>
    <row r="40" spans="5:19" x14ac:dyDescent="0.2">
      <c r="E40" s="36" t="s">
        <v>9</v>
      </c>
      <c r="F40" s="30">
        <f>'UA PA'!B15</f>
        <v>0.92391304347826086</v>
      </c>
      <c r="G40" s="30">
        <f>'UA PA'!C15</f>
        <v>0.79439252336448596</v>
      </c>
      <c r="J40" s="36" t="s">
        <v>9</v>
      </c>
      <c r="K40" s="30">
        <f>I27/I29</f>
        <v>0.69628468997055348</v>
      </c>
      <c r="L40" s="30">
        <f>I27/K27</f>
        <v>0.92391304347826086</v>
      </c>
      <c r="M40" s="30"/>
    </row>
    <row r="41" spans="5:19" x14ac:dyDescent="0.2">
      <c r="E41" s="39" t="s">
        <v>10</v>
      </c>
      <c r="F41" s="40">
        <f>'UA PA'!B16</f>
        <v>1</v>
      </c>
      <c r="G41" s="40">
        <f>'UA PA'!C16</f>
        <v>1</v>
      </c>
      <c r="H41" s="28"/>
      <c r="J41" s="39" t="s">
        <v>10</v>
      </c>
      <c r="K41" s="40">
        <f>J28/J29</f>
        <v>1</v>
      </c>
      <c r="L41" s="40">
        <f>J28/K28</f>
        <v>1</v>
      </c>
      <c r="M41" s="40"/>
    </row>
    <row r="42" spans="5:19" x14ac:dyDescent="0.2">
      <c r="H42" s="30">
        <f>OA!B9</f>
        <v>0.935126582278481</v>
      </c>
      <c r="M42" s="30">
        <f>B20+C21+D22+E23+F24+G25+H26+I27+J28</f>
        <v>0.9382503257908561</v>
      </c>
    </row>
  </sheetData>
  <mergeCells count="2">
    <mergeCell ref="P19:R19"/>
    <mergeCell ref="S19:U19"/>
  </mergeCells>
  <pageMargins left="0.7" right="0.7" top="0.75" bottom="0.75" header="0.3" footer="0.3"/>
  <pageSetup orientation="portrait" horizontalDpi="0" verticalDpi="0"/>
  <ignoredErrors>
    <ignoredError sqref="L2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U42"/>
  <sheetViews>
    <sheetView zoomScale="90" zoomScaleNormal="90" workbookViewId="0"/>
  </sheetViews>
  <sheetFormatPr baseColWidth="10" defaultRowHeight="15" x14ac:dyDescent="0.2"/>
  <cols>
    <col min="1" max="12" width="10.83203125" style="1" customWidth="1"/>
    <col min="13" max="14" width="10.83203125" style="1"/>
    <col min="15" max="21" width="12.83203125" style="1" customWidth="1"/>
    <col min="22" max="16384" width="10.83203125" style="1"/>
  </cols>
  <sheetData>
    <row r="1" spans="1:19" ht="19" x14ac:dyDescent="0.25">
      <c r="A1" s="3" t="s">
        <v>17</v>
      </c>
    </row>
    <row r="3" spans="1:19" ht="16" x14ac:dyDescent="0.2">
      <c r="A3" s="19" t="s">
        <v>15</v>
      </c>
    </row>
    <row r="5" spans="1:19" ht="15" customHeight="1" x14ac:dyDescent="0.2">
      <c r="A5" s="32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4"/>
      <c r="O5" s="32" t="s">
        <v>125</v>
      </c>
    </row>
    <row r="6" spans="1:19" ht="15" customHeight="1" x14ac:dyDescent="0.2">
      <c r="A6" s="10"/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0</v>
      </c>
      <c r="L6" s="11" t="s">
        <v>18</v>
      </c>
      <c r="M6" s="11" t="s">
        <v>19</v>
      </c>
      <c r="O6" s="10"/>
      <c r="P6" s="11" t="s">
        <v>23</v>
      </c>
      <c r="Q6" s="11" t="s">
        <v>24</v>
      </c>
      <c r="R6" s="11" t="s">
        <v>25</v>
      </c>
      <c r="S6" s="173"/>
    </row>
    <row r="7" spans="1:19" x14ac:dyDescent="0.2">
      <c r="A7" s="15" t="s">
        <v>2</v>
      </c>
      <c r="B7" s="16">
        <f t="array" ref="B7:J15">TRANSPOSE('Error Matrix'!B99:J107)</f>
        <v>45</v>
      </c>
      <c r="C7" s="16">
        <v>0</v>
      </c>
      <c r="D7" s="16">
        <v>1</v>
      </c>
      <c r="E7" s="16">
        <v>0</v>
      </c>
      <c r="F7" s="16">
        <v>2</v>
      </c>
      <c r="G7" s="16">
        <v>0</v>
      </c>
      <c r="H7" s="16">
        <v>0</v>
      </c>
      <c r="I7" s="16">
        <v>0</v>
      </c>
      <c r="J7" s="16">
        <v>0</v>
      </c>
      <c r="K7" s="14">
        <f>SUM(B7:J7)</f>
        <v>48</v>
      </c>
      <c r="L7" s="110">
        <f>Sampling!O21</f>
        <v>37412431</v>
      </c>
      <c r="M7" s="18">
        <f>L7/$L$16</f>
        <v>0.12928641989182668</v>
      </c>
      <c r="O7" s="15" t="s">
        <v>2</v>
      </c>
      <c r="P7" s="135">
        <f>B20*(B29^-4)*(B20*((B21*(M21-B21)/(M21*$L$29))+(B22*(M22-B22)/(M22*$L$29))+(B23*(M23-B23)/(M23*$L$29))+(B24*(M24-B24)/(M24*$L$29))+(B25*(M25-B25)/(M25*$L$29))+(B26*(M26-B26)/(M26*$L$29))+(B27*(M27-B27)/(M27*$L$29))+(B28*(M28-B28)/(M28*$L$29)))+(M20-B20)*((B29-B20)^2)/(M20*$L$29))</f>
        <v>2.474502727286538E-10</v>
      </c>
      <c r="Q7" s="1">
        <f>(B20*(M20-B20))/((M20^2)*$L$29)</f>
        <v>2.0248286366466618E-10</v>
      </c>
    </row>
    <row r="8" spans="1:19" x14ac:dyDescent="0.2">
      <c r="A8" s="15" t="s">
        <v>3</v>
      </c>
      <c r="B8" s="16">
        <v>0</v>
      </c>
      <c r="C8" s="16">
        <v>72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4">
        <f t="shared" ref="K8:K15" si="0">SUM(B8:J8)</f>
        <v>72</v>
      </c>
      <c r="L8" s="110">
        <f>Sampling!O7</f>
        <v>6485188</v>
      </c>
      <c r="M8" s="18">
        <f t="shared" ref="M8:M15" si="1">L8/$L$16</f>
        <v>2.241091306911961E-2</v>
      </c>
      <c r="O8" s="15" t="s">
        <v>3</v>
      </c>
      <c r="P8" s="1">
        <f>C21*(C29^-4)*(C21*((C20*(M20-C20)/(M20*$L$29))+(C22*(M22-C22)/(M22*$L$29))+(C23*(M23-C23)/(M23*$L$29))+(C24*(M24-C24)/(M24*$L$29))+(C25*(M25-C25)/(M25*$L$29))+(C26*(M26-C26)/(M26*$L$29))+(C27*(M27-C27)/(M27*$L$29))+(C28*(M28-C28)/(M28*$L$29)))+(M21-C21)*((C29-C21)^2)/(M21*$L$29))</f>
        <v>0</v>
      </c>
      <c r="Q8" s="1">
        <f>(C21*(M20-C21))/((M21^2)*$L$29)</f>
        <v>1.6479939644418494E-8</v>
      </c>
    </row>
    <row r="9" spans="1:19" x14ac:dyDescent="0.2">
      <c r="A9" s="15" t="s">
        <v>4</v>
      </c>
      <c r="B9" s="16">
        <v>1</v>
      </c>
      <c r="C9" s="16">
        <v>0</v>
      </c>
      <c r="D9" s="16">
        <v>47</v>
      </c>
      <c r="E9" s="16">
        <v>2</v>
      </c>
      <c r="F9" s="16">
        <v>6</v>
      </c>
      <c r="G9" s="16">
        <v>0</v>
      </c>
      <c r="H9" s="16">
        <v>0</v>
      </c>
      <c r="I9" s="16">
        <v>0</v>
      </c>
      <c r="J9" s="16">
        <v>0</v>
      </c>
      <c r="K9" s="14">
        <f t="shared" si="0"/>
        <v>56</v>
      </c>
      <c r="L9" s="110">
        <f>Sampling!O8</f>
        <v>17991296</v>
      </c>
      <c r="M9" s="18">
        <f t="shared" si="1"/>
        <v>6.2172657239358269E-2</v>
      </c>
      <c r="O9" s="15" t="s">
        <v>4</v>
      </c>
      <c r="P9" s="1">
        <f>D22*(D29^-4)*(D22*((D20*(M20-D20)/(M20*$L$29))+(D21*(M21-D21)/(M21*$L$29))+(D23*(M23-D23)/(M23*$L$29))+(D24*(M24-D24)/(M24*$L$29))+(D25*(M25-D25)/(M25*$L$29))+(D26*(M26-D26)/(M26*$L$29))+(D27*(M27-D27)/(M27*$L$29))+(D28*(M28-D28)/(M28*$L$29)))+(M22-D22)*((D29-D22)^2)/(M22*$L$29))</f>
        <v>6.415772494903447E-9</v>
      </c>
      <c r="Q9" s="1">
        <f>(D22*(M22-D22))/((M22^2)*$L$29)</f>
        <v>4.6612381676274099E-10</v>
      </c>
    </row>
    <row r="10" spans="1:19" x14ac:dyDescent="0.2">
      <c r="A10" s="15" t="s">
        <v>5</v>
      </c>
      <c r="B10" s="16">
        <v>0</v>
      </c>
      <c r="C10" s="16">
        <v>0</v>
      </c>
      <c r="D10" s="16">
        <v>0</v>
      </c>
      <c r="E10" s="16">
        <v>90</v>
      </c>
      <c r="F10" s="16">
        <v>8</v>
      </c>
      <c r="G10" s="16">
        <v>0</v>
      </c>
      <c r="H10" s="16">
        <v>0</v>
      </c>
      <c r="I10" s="16">
        <v>0</v>
      </c>
      <c r="J10" s="16">
        <v>0</v>
      </c>
      <c r="K10" s="14">
        <f t="shared" si="0"/>
        <v>98</v>
      </c>
      <c r="L10" s="110">
        <f>Sampling!O9</f>
        <v>13313086</v>
      </c>
      <c r="M10" s="18">
        <f t="shared" si="1"/>
        <v>4.6006131669230454E-2</v>
      </c>
      <c r="O10" s="15" t="s">
        <v>5</v>
      </c>
      <c r="P10" s="1">
        <f>E23*(E29^-4)*(E23*(0)+(M23-E23)*((E29-E23)^2)/(M23*$L$29))</f>
        <v>3.3619063894321262E-10</v>
      </c>
      <c r="Q10" s="183">
        <f>(E23*(M23-E23))/((M23^2)*$L$29)</f>
        <v>2.5907011960760251E-10</v>
      </c>
    </row>
    <row r="11" spans="1:19" x14ac:dyDescent="0.2">
      <c r="A11" s="15" t="s">
        <v>6</v>
      </c>
      <c r="B11" s="16">
        <v>0</v>
      </c>
      <c r="C11" s="16">
        <v>0</v>
      </c>
      <c r="D11" s="16">
        <v>4</v>
      </c>
      <c r="E11" s="16">
        <v>4</v>
      </c>
      <c r="F11" s="16">
        <v>20</v>
      </c>
      <c r="G11" s="16">
        <v>0</v>
      </c>
      <c r="H11" s="16">
        <v>0</v>
      </c>
      <c r="I11" s="16">
        <v>0</v>
      </c>
      <c r="J11" s="16">
        <v>0</v>
      </c>
      <c r="K11" s="14">
        <f t="shared" si="0"/>
        <v>28</v>
      </c>
      <c r="L11" s="110">
        <f>Sampling!O10</f>
        <v>39586395</v>
      </c>
      <c r="M11" s="18">
        <f t="shared" si="1"/>
        <v>0.13679900367804776</v>
      </c>
      <c r="O11" s="15" t="s">
        <v>6</v>
      </c>
      <c r="P11" s="1">
        <f>F24*(F29^-4)*(F24*((F20*(M20-F20)/(M20*$L$29))+(F21*(M21-F21)/(M21*$L$29))+(F22*(M22-F22)/(M22*$L$29))+(F23*(M23-F23)/(M23*$L$29))+(F25*(M25-F25)/(M25*$L$29))+(F26*(M26-F26)/(M26*$L$29))+(F27*(M27-F27)/(M27*$L$29))+(F28*(M28-F28)/(M28*$L$29)))+(M24-F24)*((F29-F24)^2)/(M24*$L$29))</f>
        <v>3.3840837346689846E-9</v>
      </c>
      <c r="Q11" s="1">
        <f>(F24*(M24-F24))/((M24^2)*$L$29)</f>
        <v>7.0524643670958449E-10</v>
      </c>
    </row>
    <row r="12" spans="1:19" x14ac:dyDescent="0.2">
      <c r="A12" s="15" t="s">
        <v>7</v>
      </c>
      <c r="B12" s="16">
        <v>0</v>
      </c>
      <c r="C12" s="16">
        <v>0</v>
      </c>
      <c r="D12" s="16">
        <v>0</v>
      </c>
      <c r="E12" s="16">
        <v>0</v>
      </c>
      <c r="F12" s="16">
        <v>6</v>
      </c>
      <c r="G12" s="16">
        <v>65</v>
      </c>
      <c r="H12" s="16">
        <v>0</v>
      </c>
      <c r="I12" s="16">
        <v>5</v>
      </c>
      <c r="J12" s="16">
        <v>0</v>
      </c>
      <c r="K12" s="14">
        <f t="shared" si="0"/>
        <v>76</v>
      </c>
      <c r="L12" s="110">
        <f>Sampling!O11</f>
        <v>16367511</v>
      </c>
      <c r="M12" s="18">
        <f t="shared" si="1"/>
        <v>5.6561331171719152E-2</v>
      </c>
      <c r="O12" s="15" t="s">
        <v>7</v>
      </c>
      <c r="P12" s="1">
        <f>G25*(G29^-4)*(G25*((G20*(M20-G20)/(M20*$L$29))+(G21*(M21-G21)/(M21*$L$29))+(G22*(M22-G22)/(M22*$L$29))+(G23*(M23-G23)/(M23*$L$29))+(G24*(M24-G24)/(M24*$L$29))+(G26*(M26-G26)/(M26*$L$29))+(G27*(M27-G27)/(M27*$L$29))+(G28*(M28-G28)/(M28*$L$29)))+(M25-G25)*((G29-G25)^2)/(M25*$L$29))</f>
        <v>1.691798184456588E-9</v>
      </c>
      <c r="Q12" s="1">
        <f>(G25*(M25-G25))/((M25^2)*$L$29)</f>
        <v>4.2777543126939572E-10</v>
      </c>
    </row>
    <row r="13" spans="1:19" x14ac:dyDescent="0.2">
      <c r="A13" s="15" t="s">
        <v>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33</v>
      </c>
      <c r="I13" s="16">
        <v>0</v>
      </c>
      <c r="J13" s="16">
        <v>0</v>
      </c>
      <c r="K13" s="14">
        <f t="shared" si="0"/>
        <v>33</v>
      </c>
      <c r="L13" s="110">
        <f>Sampling!O12</f>
        <v>1559134</v>
      </c>
      <c r="M13" s="18">
        <f t="shared" si="1"/>
        <v>5.3879111194785308E-3</v>
      </c>
      <c r="O13" s="15" t="s">
        <v>8</v>
      </c>
      <c r="P13" s="1">
        <f>H26*(H29^-4)*(H26*((H20*(M20-H20)/(M20*$L$29))+(H21*(M21-H21)/(M21*$L$29))+(H22*(M22-H22)/(M22*$L$29))+(H23*(M23-H23)/(M23*$L$29))+(H24*(M24-H24)/(M24*$L$29))+(H25*(M25-H25)/(M25*$L$29))+(H27*(M27-H27)/(M27*$L$29))+(H28*(M28-H28)/(M28*$L$29)))+(M26-H26)*((H29-H26)^2)/(M26*$L$29))</f>
        <v>0</v>
      </c>
      <c r="Q13" s="1">
        <f>(H26*(M26-H26))/((M26^2)*$L$29)</f>
        <v>0</v>
      </c>
    </row>
    <row r="14" spans="1:19" x14ac:dyDescent="0.2">
      <c r="A14" s="15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4</v>
      </c>
      <c r="H14" s="16">
        <v>0</v>
      </c>
      <c r="I14" s="16">
        <v>79</v>
      </c>
      <c r="J14" s="16">
        <v>0</v>
      </c>
      <c r="K14" s="14">
        <f t="shared" si="0"/>
        <v>83</v>
      </c>
      <c r="L14" s="110">
        <f>Sampling!O28</f>
        <v>8026234</v>
      </c>
      <c r="M14" s="18">
        <f t="shared" si="1"/>
        <v>2.7736317350616848E-2</v>
      </c>
      <c r="O14" s="15" t="s">
        <v>9</v>
      </c>
      <c r="P14" s="1">
        <f>I27*(I29^-4)*(I27*((I20*(M20-I20)/(M20*$L$29))+(I21*(M21-I21)/(M21*$L$29))+(I22*(M22-I22)/(M22*$L$29))+(I23*(M23-I23)/(M23*$L$29))+(I24*(M24-I24)/(M24*$L$29))+(I25*(M25-I25)/(M25*$L$29))+(I26*(M26-I26)/(M26*$L$29))+(I28*(M28-I28)/(M28*$L$29)))+(M27-I27)*((I29-I27)^2)/(M27*$L$29))</f>
        <v>1.0245560191309659E-8</v>
      </c>
      <c r="Q14" s="1">
        <f>(I27*(M27-I27))/((M27^2)*$L$29)</f>
        <v>1.5851409240835008E-10</v>
      </c>
    </row>
    <row r="15" spans="1:19" x14ac:dyDescent="0.2">
      <c r="A15" s="15" t="s">
        <v>10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112</v>
      </c>
      <c r="K15" s="14">
        <f t="shared" si="0"/>
        <v>112</v>
      </c>
      <c r="L15" s="110">
        <f>Sampling!O29</f>
        <v>148635065</v>
      </c>
      <c r="M15" s="18">
        <f t="shared" si="1"/>
        <v>0.51363931481060265</v>
      </c>
      <c r="O15" s="12" t="s">
        <v>10</v>
      </c>
      <c r="P15" s="28">
        <f>J28*(J29^-4)*(J28*((J20*(M20-J20)/(M20*$L$29))+(J21*(M21-J21)/(M21*$L$29))+(J22*(M22-J22)/(M22*$L$29))+(J23*(M23-J23)/(M23*$L$29))+(J24*(M24-J24)/(M24*$L$29))+(J25*(M25-J25)/(M25*$L$29))+(J26*(M26-J26)/(M26*$L$29))+(J27*(M27-J27)/(M27*$L$29)))+(M28-J28)*((J29-J28)^2)/(M28*$L$29))</f>
        <v>0</v>
      </c>
      <c r="Q15" s="28">
        <f>(J28*(M28-J28))/((M28^2)*$L$29)</f>
        <v>0</v>
      </c>
      <c r="R15" s="28"/>
      <c r="S15" s="14"/>
    </row>
    <row r="16" spans="1:19" ht="15" customHeight="1" x14ac:dyDescent="0.2">
      <c r="A16" s="23" t="s">
        <v>0</v>
      </c>
      <c r="B16" s="24">
        <f>SUM(B7:B15)</f>
        <v>46</v>
      </c>
      <c r="C16" s="24">
        <f t="shared" ref="C16:J16" si="2">SUM(C7:C15)</f>
        <v>72</v>
      </c>
      <c r="D16" s="24">
        <f t="shared" si="2"/>
        <v>52</v>
      </c>
      <c r="E16" s="24">
        <f t="shared" si="2"/>
        <v>96</v>
      </c>
      <c r="F16" s="24">
        <f t="shared" si="2"/>
        <v>42</v>
      </c>
      <c r="G16" s="24">
        <f t="shared" si="2"/>
        <v>69</v>
      </c>
      <c r="H16" s="24">
        <f t="shared" si="2"/>
        <v>33</v>
      </c>
      <c r="I16" s="24">
        <f t="shared" si="2"/>
        <v>84</v>
      </c>
      <c r="J16" s="24">
        <f t="shared" si="2"/>
        <v>112</v>
      </c>
      <c r="K16" s="24">
        <f>SUM(K7:K15)</f>
        <v>606</v>
      </c>
      <c r="L16" s="25">
        <f>SUM(L7:L15)</f>
        <v>289376340</v>
      </c>
      <c r="M16" s="26">
        <f>SUM(M7:M15)</f>
        <v>0.99999999999999989</v>
      </c>
      <c r="R16" s="1">
        <f>((B20*((M20-B20)/(M20*L29)))+(C21*((M21-C21)/(M21*L29)))+(D22*((M22-D22)/(M22*L29)))+(E23*((M23-E23)/(M23*L29)))+(F24*((M24-F24)/(M24*L29)))+(G25*((M25-G25)/(M25*L29)))+(H26*((M26-H26)/(M26*L29)))+(I27*((M27-I27)/(M27*L29)))+(J28*((M28-J28)/(M28*L29))))</f>
        <v>1.9214640975367229E-10</v>
      </c>
    </row>
    <row r="18" spans="1:21" x14ac:dyDescent="0.2">
      <c r="A18" s="32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4"/>
      <c r="O18" s="32" t="s">
        <v>126</v>
      </c>
    </row>
    <row r="19" spans="1:21" x14ac:dyDescent="0.2">
      <c r="A19" s="10"/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  <c r="J19" s="11" t="s">
        <v>10</v>
      </c>
      <c r="K19" s="11" t="s">
        <v>0</v>
      </c>
      <c r="L19" s="11" t="s">
        <v>18</v>
      </c>
      <c r="M19" s="11" t="s">
        <v>19</v>
      </c>
      <c r="O19" s="151"/>
      <c r="P19" s="203" t="s">
        <v>23</v>
      </c>
      <c r="Q19" s="203"/>
      <c r="R19" s="203"/>
      <c r="S19" s="203" t="s">
        <v>24</v>
      </c>
      <c r="T19" s="203"/>
      <c r="U19" s="203"/>
    </row>
    <row r="20" spans="1:21" x14ac:dyDescent="0.2">
      <c r="A20" s="15" t="s">
        <v>2</v>
      </c>
      <c r="B20" s="20">
        <f>$M7*B7/$K7</f>
        <v>0.1212060186485875</v>
      </c>
      <c r="C20" s="20">
        <f t="shared" ref="C20:J21" si="3">$M7*C7/$K7</f>
        <v>0</v>
      </c>
      <c r="D20" s="20">
        <f t="shared" si="3"/>
        <v>2.6934670810797225E-3</v>
      </c>
      <c r="E20" s="20">
        <f t="shared" si="3"/>
        <v>0</v>
      </c>
      <c r="F20" s="20">
        <f t="shared" si="3"/>
        <v>5.3869341621594451E-3</v>
      </c>
      <c r="G20" s="20">
        <f t="shared" si="3"/>
        <v>0</v>
      </c>
      <c r="H20" s="20">
        <f t="shared" si="3"/>
        <v>0</v>
      </c>
      <c r="I20" s="20">
        <f t="shared" si="3"/>
        <v>0</v>
      </c>
      <c r="J20" s="20">
        <f t="shared" si="3"/>
        <v>0</v>
      </c>
      <c r="K20" s="21">
        <f>SUM(B20:J20)</f>
        <v>0.12928641989182665</v>
      </c>
      <c r="L20" s="1">
        <f>L7</f>
        <v>37412431</v>
      </c>
      <c r="M20" s="18">
        <f>L20/$L$29</f>
        <v>0.12928641989182668</v>
      </c>
      <c r="O20" s="174"/>
      <c r="P20" s="11" t="s">
        <v>127</v>
      </c>
      <c r="Q20" s="11" t="s">
        <v>129</v>
      </c>
      <c r="R20" s="11" t="s">
        <v>128</v>
      </c>
      <c r="S20" s="11" t="s">
        <v>127</v>
      </c>
      <c r="T20" s="11" t="s">
        <v>129</v>
      </c>
      <c r="U20" s="11" t="s">
        <v>128</v>
      </c>
    </row>
    <row r="21" spans="1:21" x14ac:dyDescent="0.2">
      <c r="A21" s="15" t="s">
        <v>3</v>
      </c>
      <c r="B21" s="20">
        <f>$M8*B8/$K8</f>
        <v>0</v>
      </c>
      <c r="C21" s="20">
        <f t="shared" si="3"/>
        <v>2.241091306911961E-2</v>
      </c>
      <c r="D21" s="20">
        <f t="shared" si="3"/>
        <v>0</v>
      </c>
      <c r="E21" s="20">
        <f t="shared" si="3"/>
        <v>0</v>
      </c>
      <c r="F21" s="20">
        <f t="shared" si="3"/>
        <v>0</v>
      </c>
      <c r="G21" s="20">
        <f t="shared" si="3"/>
        <v>0</v>
      </c>
      <c r="H21" s="20">
        <f t="shared" si="3"/>
        <v>0</v>
      </c>
      <c r="I21" s="20">
        <f t="shared" si="3"/>
        <v>0</v>
      </c>
      <c r="J21" s="20">
        <f t="shared" si="3"/>
        <v>0</v>
      </c>
      <c r="K21" s="21">
        <f t="shared" ref="K21:K28" si="4">SUM(B21:J21)</f>
        <v>2.241091306911961E-2</v>
      </c>
      <c r="L21" s="1">
        <f t="shared" ref="L21:L28" si="5">L8</f>
        <v>6485188</v>
      </c>
      <c r="M21" s="18">
        <f t="shared" ref="M21:M28" si="6">L21/$L$29</f>
        <v>2.241091306911961E-2</v>
      </c>
      <c r="O21" s="15" t="s">
        <v>2</v>
      </c>
      <c r="P21" s="1">
        <f>2*(P7^0.5)</f>
        <v>3.1461104413459726E-5</v>
      </c>
      <c r="Q21" s="30">
        <f>K33-P21</f>
        <v>0.99089185390480561</v>
      </c>
      <c r="R21" s="30">
        <f>K33+P21</f>
        <v>0.99095477611363247</v>
      </c>
      <c r="S21" s="1">
        <f t="shared" ref="S21:S29" si="7">2*(Q7^0.5)</f>
        <v>2.8459294697140066E-5</v>
      </c>
      <c r="T21" s="30">
        <f>L33-S21</f>
        <v>0.93747154070530292</v>
      </c>
      <c r="U21" s="30">
        <f>L33+S21</f>
        <v>0.9375284592946973</v>
      </c>
    </row>
    <row r="22" spans="1:21" x14ac:dyDescent="0.2">
      <c r="A22" s="15" t="s">
        <v>4</v>
      </c>
      <c r="B22" s="20">
        <f t="shared" ref="B22:J28" si="8">$M9*B9/$K9</f>
        <v>1.1102260221313976E-3</v>
      </c>
      <c r="C22" s="20">
        <f t="shared" si="8"/>
        <v>0</v>
      </c>
      <c r="D22" s="20">
        <f t="shared" si="8"/>
        <v>5.2180623040175692E-2</v>
      </c>
      <c r="E22" s="20">
        <f t="shared" si="8"/>
        <v>2.2204520442627952E-3</v>
      </c>
      <c r="F22" s="20">
        <f t="shared" si="8"/>
        <v>6.6613561327883855E-3</v>
      </c>
      <c r="G22" s="20">
        <f t="shared" si="8"/>
        <v>0</v>
      </c>
      <c r="H22" s="20">
        <f t="shared" si="8"/>
        <v>0</v>
      </c>
      <c r="I22" s="20">
        <f t="shared" si="8"/>
        <v>0</v>
      </c>
      <c r="J22" s="20">
        <f t="shared" si="8"/>
        <v>0</v>
      </c>
      <c r="K22" s="21">
        <f t="shared" si="4"/>
        <v>6.2172657239358269E-2</v>
      </c>
      <c r="L22" s="1">
        <f t="shared" si="5"/>
        <v>17991296</v>
      </c>
      <c r="M22" s="18">
        <f t="shared" si="6"/>
        <v>6.2172657239358269E-2</v>
      </c>
      <c r="O22" s="15" t="s">
        <v>3</v>
      </c>
      <c r="P22" s="1">
        <f t="shared" ref="P22:P29" si="9">2*(P8^0.5)</f>
        <v>0</v>
      </c>
      <c r="Q22" s="30">
        <f t="shared" ref="Q22:Q29" si="10">K34-P22</f>
        <v>1</v>
      </c>
      <c r="R22" s="30">
        <f t="shared" ref="R22:R29" si="11">K34+P22</f>
        <v>1</v>
      </c>
      <c r="S22" s="1">
        <f t="shared" si="7"/>
        <v>2.567484344210768E-4</v>
      </c>
      <c r="T22" s="30">
        <f t="shared" ref="T22:T29" si="12">L34-S22</f>
        <v>0.99974325156557897</v>
      </c>
      <c r="U22" s="30">
        <f t="shared" ref="U22:U29" si="13">L34+S22</f>
        <v>1.0002567484344211</v>
      </c>
    </row>
    <row r="23" spans="1:21" x14ac:dyDescent="0.2">
      <c r="A23" s="15" t="s">
        <v>5</v>
      </c>
      <c r="B23" s="20">
        <f t="shared" si="8"/>
        <v>0</v>
      </c>
      <c r="C23" s="20">
        <f t="shared" si="8"/>
        <v>0</v>
      </c>
      <c r="D23" s="20">
        <f t="shared" si="8"/>
        <v>0</v>
      </c>
      <c r="E23" s="20">
        <f t="shared" si="8"/>
        <v>4.2250529083987153E-2</v>
      </c>
      <c r="F23" s="20">
        <f t="shared" si="8"/>
        <v>3.7556025852433024E-3</v>
      </c>
      <c r="G23" s="20">
        <f t="shared" si="8"/>
        <v>0</v>
      </c>
      <c r="H23" s="20">
        <f t="shared" si="8"/>
        <v>0</v>
      </c>
      <c r="I23" s="20">
        <f t="shared" si="8"/>
        <v>0</v>
      </c>
      <c r="J23" s="20">
        <f t="shared" si="8"/>
        <v>0</v>
      </c>
      <c r="K23" s="21">
        <f t="shared" si="4"/>
        <v>4.6006131669230454E-2</v>
      </c>
      <c r="L23" s="1">
        <f t="shared" si="5"/>
        <v>13313086</v>
      </c>
      <c r="M23" s="18">
        <f t="shared" si="6"/>
        <v>4.6006131669230454E-2</v>
      </c>
      <c r="O23" s="15" t="s">
        <v>4</v>
      </c>
      <c r="P23" s="1">
        <f t="shared" si="9"/>
        <v>1.6019703486523646E-4</v>
      </c>
      <c r="Q23" s="30">
        <f t="shared" si="10"/>
        <v>0.7010338825493474</v>
      </c>
      <c r="R23" s="30">
        <f t="shared" si="11"/>
        <v>0.7013542766190779</v>
      </c>
      <c r="S23" s="1">
        <f t="shared" si="7"/>
        <v>4.3179801609675835E-5</v>
      </c>
      <c r="T23" s="30">
        <f t="shared" si="12"/>
        <v>0.83924253448410457</v>
      </c>
      <c r="U23" s="30">
        <f t="shared" si="13"/>
        <v>0.83932889408732403</v>
      </c>
    </row>
    <row r="24" spans="1:21" x14ac:dyDescent="0.2">
      <c r="A24" s="15" t="s">
        <v>6</v>
      </c>
      <c r="B24" s="20">
        <f t="shared" si="8"/>
        <v>0</v>
      </c>
      <c r="C24" s="20">
        <f t="shared" si="8"/>
        <v>0</v>
      </c>
      <c r="D24" s="20">
        <f t="shared" si="8"/>
        <v>1.9542714811149681E-2</v>
      </c>
      <c r="E24" s="20">
        <f t="shared" si="8"/>
        <v>1.9542714811149681E-2</v>
      </c>
      <c r="F24" s="20">
        <f t="shared" si="8"/>
        <v>9.7713574055748403E-2</v>
      </c>
      <c r="G24" s="20">
        <f t="shared" si="8"/>
        <v>0</v>
      </c>
      <c r="H24" s="20">
        <f t="shared" si="8"/>
        <v>0</v>
      </c>
      <c r="I24" s="20">
        <f t="shared" si="8"/>
        <v>0</v>
      </c>
      <c r="J24" s="20">
        <f t="shared" si="8"/>
        <v>0</v>
      </c>
      <c r="K24" s="21">
        <f t="shared" si="4"/>
        <v>0.13679900367804776</v>
      </c>
      <c r="L24" s="1">
        <f t="shared" si="5"/>
        <v>39586395</v>
      </c>
      <c r="M24" s="18">
        <f t="shared" si="6"/>
        <v>0.13679900367804776</v>
      </c>
      <c r="O24" s="15" t="s">
        <v>5</v>
      </c>
      <c r="P24" s="1">
        <f t="shared" si="9"/>
        <v>3.6671004291849586E-5</v>
      </c>
      <c r="Q24" s="30">
        <f t="shared" si="10"/>
        <v>0.65998660157763833</v>
      </c>
      <c r="R24" s="30">
        <f t="shared" si="11"/>
        <v>0.660059943586222</v>
      </c>
      <c r="S24" s="1">
        <f t="shared" si="7"/>
        <v>3.2191310604422584E-5</v>
      </c>
      <c r="T24" s="30">
        <f t="shared" si="12"/>
        <v>0.91833515562817114</v>
      </c>
      <c r="U24" s="30">
        <f t="shared" si="13"/>
        <v>0.91839953824937992</v>
      </c>
    </row>
    <row r="25" spans="1:21" x14ac:dyDescent="0.2">
      <c r="A25" s="15" t="s">
        <v>7</v>
      </c>
      <c r="B25" s="20">
        <f t="shared" si="8"/>
        <v>0</v>
      </c>
      <c r="C25" s="20">
        <f t="shared" si="8"/>
        <v>0</v>
      </c>
      <c r="D25" s="20">
        <f t="shared" si="8"/>
        <v>0</v>
      </c>
      <c r="E25" s="20">
        <f t="shared" si="8"/>
        <v>0</v>
      </c>
      <c r="F25" s="20">
        <f t="shared" si="8"/>
        <v>4.4653682503988804E-3</v>
      </c>
      <c r="G25" s="20">
        <f t="shared" si="8"/>
        <v>4.8374822712654537E-2</v>
      </c>
      <c r="H25" s="20">
        <f t="shared" si="8"/>
        <v>0</v>
      </c>
      <c r="I25" s="20">
        <f t="shared" si="8"/>
        <v>3.7211402086657339E-3</v>
      </c>
      <c r="J25" s="20">
        <f t="shared" si="8"/>
        <v>0</v>
      </c>
      <c r="K25" s="21">
        <f t="shared" si="4"/>
        <v>5.6561331171719152E-2</v>
      </c>
      <c r="L25" s="1">
        <f t="shared" si="5"/>
        <v>16367511</v>
      </c>
      <c r="M25" s="18">
        <f t="shared" si="6"/>
        <v>5.6561331171719152E-2</v>
      </c>
      <c r="O25" s="15" t="s">
        <v>6</v>
      </c>
      <c r="P25" s="1">
        <f t="shared" si="9"/>
        <v>1.1634575599769825E-4</v>
      </c>
      <c r="Q25" s="30">
        <f t="shared" si="10"/>
        <v>0.82808526426144791</v>
      </c>
      <c r="R25" s="30">
        <f t="shared" si="11"/>
        <v>0.82831795577344336</v>
      </c>
      <c r="S25" s="1">
        <f t="shared" si="7"/>
        <v>5.3112952721895796E-5</v>
      </c>
      <c r="T25" s="30">
        <f t="shared" si="12"/>
        <v>0.71423260133299238</v>
      </c>
      <c r="U25" s="30">
        <f t="shared" si="13"/>
        <v>0.71433882723843622</v>
      </c>
    </row>
    <row r="26" spans="1:21" ht="15" customHeight="1" x14ac:dyDescent="0.2">
      <c r="A26" s="15" t="s">
        <v>8</v>
      </c>
      <c r="B26" s="20">
        <f t="shared" si="8"/>
        <v>0</v>
      </c>
      <c r="C26" s="20">
        <f t="shared" si="8"/>
        <v>0</v>
      </c>
      <c r="D26" s="20">
        <f t="shared" si="8"/>
        <v>0</v>
      </c>
      <c r="E26" s="20">
        <f t="shared" si="8"/>
        <v>0</v>
      </c>
      <c r="F26" s="20">
        <f t="shared" si="8"/>
        <v>0</v>
      </c>
      <c r="G26" s="20">
        <f t="shared" si="8"/>
        <v>0</v>
      </c>
      <c r="H26" s="20">
        <f t="shared" si="8"/>
        <v>5.3879111194785308E-3</v>
      </c>
      <c r="I26" s="20">
        <f t="shared" si="8"/>
        <v>0</v>
      </c>
      <c r="J26" s="20">
        <f t="shared" si="8"/>
        <v>0</v>
      </c>
      <c r="K26" s="21">
        <f t="shared" si="4"/>
        <v>5.3879111194785308E-3</v>
      </c>
      <c r="L26" s="1">
        <f t="shared" si="5"/>
        <v>1559134</v>
      </c>
      <c r="M26" s="18">
        <f t="shared" si="6"/>
        <v>5.3879111194785308E-3</v>
      </c>
      <c r="O26" s="15" t="s">
        <v>7</v>
      </c>
      <c r="P26" s="1">
        <f t="shared" si="9"/>
        <v>8.2262948754748341E-5</v>
      </c>
      <c r="Q26" s="30">
        <f t="shared" si="10"/>
        <v>0.9730287948313453</v>
      </c>
      <c r="R26" s="30">
        <f t="shared" si="11"/>
        <v>0.97319332072885489</v>
      </c>
      <c r="S26" s="1">
        <f t="shared" si="7"/>
        <v>4.1365465367593569E-5</v>
      </c>
      <c r="T26" s="30">
        <f t="shared" si="12"/>
        <v>0.85522179242936924</v>
      </c>
      <c r="U26" s="30">
        <f t="shared" si="13"/>
        <v>0.85530452336010443</v>
      </c>
    </row>
    <row r="27" spans="1:21" x14ac:dyDescent="0.2">
      <c r="A27" s="15" t="s">
        <v>9</v>
      </c>
      <c r="B27" s="20">
        <f t="shared" si="8"/>
        <v>0</v>
      </c>
      <c r="C27" s="20">
        <f t="shared" si="8"/>
        <v>0</v>
      </c>
      <c r="D27" s="20">
        <f t="shared" si="8"/>
        <v>0</v>
      </c>
      <c r="E27" s="20">
        <f t="shared" si="8"/>
        <v>0</v>
      </c>
      <c r="F27" s="20">
        <f t="shared" si="8"/>
        <v>0</v>
      </c>
      <c r="G27" s="20">
        <f t="shared" si="8"/>
        <v>1.3366899928008119E-3</v>
      </c>
      <c r="H27" s="20">
        <f t="shared" si="8"/>
        <v>0</v>
      </c>
      <c r="I27" s="20">
        <f t="shared" si="8"/>
        <v>2.6399627357816032E-2</v>
      </c>
      <c r="J27" s="20">
        <f t="shared" si="8"/>
        <v>0</v>
      </c>
      <c r="K27" s="21">
        <f t="shared" si="4"/>
        <v>2.7736317350616845E-2</v>
      </c>
      <c r="L27" s="1">
        <f t="shared" si="5"/>
        <v>8026234</v>
      </c>
      <c r="M27" s="18">
        <f t="shared" si="6"/>
        <v>2.7736317350616848E-2</v>
      </c>
      <c r="O27" s="15" t="s">
        <v>8</v>
      </c>
      <c r="P27" s="1">
        <f t="shared" si="9"/>
        <v>0</v>
      </c>
      <c r="Q27" s="30">
        <f t="shared" si="10"/>
        <v>1</v>
      </c>
      <c r="R27" s="30">
        <f t="shared" si="11"/>
        <v>1</v>
      </c>
      <c r="S27" s="1">
        <f t="shared" si="7"/>
        <v>0</v>
      </c>
      <c r="T27" s="30">
        <f t="shared" si="12"/>
        <v>1</v>
      </c>
      <c r="U27" s="30">
        <f t="shared" si="13"/>
        <v>1</v>
      </c>
    </row>
    <row r="28" spans="1:21" x14ac:dyDescent="0.2">
      <c r="A28" s="15" t="s">
        <v>10</v>
      </c>
      <c r="B28" s="20">
        <f t="shared" si="8"/>
        <v>0</v>
      </c>
      <c r="C28" s="20">
        <f t="shared" si="8"/>
        <v>0</v>
      </c>
      <c r="D28" s="20">
        <f t="shared" si="8"/>
        <v>0</v>
      </c>
      <c r="E28" s="20">
        <f t="shared" si="8"/>
        <v>0</v>
      </c>
      <c r="F28" s="20">
        <f t="shared" si="8"/>
        <v>0</v>
      </c>
      <c r="G28" s="20">
        <f t="shared" si="8"/>
        <v>0</v>
      </c>
      <c r="H28" s="20">
        <f t="shared" si="8"/>
        <v>0</v>
      </c>
      <c r="I28" s="20">
        <f t="shared" si="8"/>
        <v>0</v>
      </c>
      <c r="J28" s="20">
        <f t="shared" si="8"/>
        <v>0.51363931481060265</v>
      </c>
      <c r="K28" s="21">
        <f t="shared" si="4"/>
        <v>0.51363931481060265</v>
      </c>
      <c r="L28" s="1">
        <f t="shared" si="5"/>
        <v>148635065</v>
      </c>
      <c r="M28" s="18">
        <f t="shared" si="6"/>
        <v>0.51363931481060265</v>
      </c>
      <c r="O28" s="15" t="s">
        <v>9</v>
      </c>
      <c r="P28" s="1">
        <f t="shared" si="9"/>
        <v>2.0244070925888062E-4</v>
      </c>
      <c r="Q28" s="30">
        <f t="shared" si="10"/>
        <v>0.87625687592493606</v>
      </c>
      <c r="R28" s="30">
        <f t="shared" si="11"/>
        <v>0.87666175734345386</v>
      </c>
      <c r="S28" s="1">
        <f t="shared" si="7"/>
        <v>2.5180475961216467E-5</v>
      </c>
      <c r="T28" s="30">
        <f t="shared" si="12"/>
        <v>0.95178204843970138</v>
      </c>
      <c r="U28" s="30">
        <f t="shared" si="13"/>
        <v>0.95183240939162383</v>
      </c>
    </row>
    <row r="29" spans="1:21" x14ac:dyDescent="0.2">
      <c r="A29" s="23" t="s">
        <v>0</v>
      </c>
      <c r="B29" s="27">
        <f>SUM(B20:B28)</f>
        <v>0.1223162446707189</v>
      </c>
      <c r="C29" s="27">
        <f t="shared" ref="C29:J29" si="14">SUM(C20:C28)</f>
        <v>2.241091306911961E-2</v>
      </c>
      <c r="D29" s="27">
        <f t="shared" si="14"/>
        <v>7.4416804932405101E-2</v>
      </c>
      <c r="E29" s="27">
        <f t="shared" si="14"/>
        <v>6.4013695939399623E-2</v>
      </c>
      <c r="F29" s="27">
        <f t="shared" si="14"/>
        <v>0.11798283518633841</v>
      </c>
      <c r="G29" s="27">
        <f t="shared" si="14"/>
        <v>4.9711512705455346E-2</v>
      </c>
      <c r="H29" s="27">
        <f t="shared" si="14"/>
        <v>5.3879111194785308E-3</v>
      </c>
      <c r="I29" s="27">
        <f t="shared" si="14"/>
        <v>3.0120767566481767E-2</v>
      </c>
      <c r="J29" s="27">
        <f t="shared" si="14"/>
        <v>0.51363931481060265</v>
      </c>
      <c r="K29" s="27">
        <f>SUM(K20:K28)</f>
        <v>0.99999999999999989</v>
      </c>
      <c r="L29" s="24">
        <f>L16</f>
        <v>289376340</v>
      </c>
      <c r="M29" s="26">
        <f>SUM(M20:M28)</f>
        <v>0.99999999999999989</v>
      </c>
      <c r="O29" s="12" t="s">
        <v>10</v>
      </c>
      <c r="P29" s="28">
        <f t="shared" si="9"/>
        <v>0</v>
      </c>
      <c r="Q29" s="40">
        <f t="shared" si="10"/>
        <v>1</v>
      </c>
      <c r="R29" s="40">
        <f t="shared" si="11"/>
        <v>1</v>
      </c>
      <c r="S29" s="28">
        <f t="shared" si="7"/>
        <v>0</v>
      </c>
      <c r="T29" s="40">
        <f t="shared" si="12"/>
        <v>1</v>
      </c>
      <c r="U29" s="40">
        <f t="shared" si="13"/>
        <v>1</v>
      </c>
    </row>
    <row r="31" spans="1:21" x14ac:dyDescent="0.2">
      <c r="E31" s="33" t="s">
        <v>49</v>
      </c>
      <c r="J31" s="33" t="s">
        <v>22</v>
      </c>
    </row>
    <row r="32" spans="1:21" x14ac:dyDescent="0.2">
      <c r="E32" s="24"/>
      <c r="F32" s="38" t="s">
        <v>24</v>
      </c>
      <c r="G32" s="38" t="s">
        <v>23</v>
      </c>
      <c r="H32" s="38" t="s">
        <v>25</v>
      </c>
      <c r="J32" s="24"/>
      <c r="K32" s="38" t="s">
        <v>23</v>
      </c>
      <c r="L32" s="38" t="s">
        <v>24</v>
      </c>
      <c r="M32" s="38" t="s">
        <v>25</v>
      </c>
      <c r="O32" s="24"/>
      <c r="P32" s="38" t="s">
        <v>127</v>
      </c>
      <c r="Q32" s="11" t="s">
        <v>129</v>
      </c>
      <c r="R32" s="11" t="s">
        <v>128</v>
      </c>
      <c r="S32" s="173"/>
    </row>
    <row r="33" spans="5:19" x14ac:dyDescent="0.2">
      <c r="E33" s="36" t="s">
        <v>2</v>
      </c>
      <c r="F33" s="30">
        <f>'UA PA'!D8</f>
        <v>0.9375</v>
      </c>
      <c r="G33" s="30">
        <f>'UA PA'!E8</f>
        <v>0.97826086956521741</v>
      </c>
      <c r="J33" s="36" t="s">
        <v>2</v>
      </c>
      <c r="K33" s="30">
        <f>B20/B29</f>
        <v>0.99092331500921904</v>
      </c>
      <c r="L33" s="30">
        <f>B20/K20</f>
        <v>0.93750000000000011</v>
      </c>
      <c r="M33" s="30"/>
      <c r="O33" s="15" t="s">
        <v>25</v>
      </c>
      <c r="P33" s="1">
        <f>2*(R16)^0.5</f>
        <v>2.7723377121387814E-5</v>
      </c>
      <c r="Q33" s="30">
        <f>M42-P33</f>
        <v>0.92953561052104872</v>
      </c>
      <c r="R33" s="30">
        <f>M42+P33</f>
        <v>0.92959105727529157</v>
      </c>
      <c r="S33" s="30"/>
    </row>
    <row r="34" spans="5:19" x14ac:dyDescent="0.2">
      <c r="E34" s="36" t="s">
        <v>3</v>
      </c>
      <c r="F34" s="30">
        <f>'UA PA'!D9</f>
        <v>1</v>
      </c>
      <c r="G34" s="30">
        <f>'UA PA'!E9</f>
        <v>1</v>
      </c>
      <c r="J34" s="36" t="s">
        <v>3</v>
      </c>
      <c r="K34" s="30">
        <f>C21/C29</f>
        <v>1</v>
      </c>
      <c r="L34" s="30">
        <f>C21/K21</f>
        <v>1</v>
      </c>
      <c r="M34" s="30"/>
    </row>
    <row r="35" spans="5:19" x14ac:dyDescent="0.2">
      <c r="E35" s="36" t="s">
        <v>4</v>
      </c>
      <c r="F35" s="30">
        <f>'UA PA'!D10</f>
        <v>0.8392857142857143</v>
      </c>
      <c r="G35" s="30">
        <f>'UA PA'!E10</f>
        <v>0.90384615384615385</v>
      </c>
      <c r="J35" s="36" t="s">
        <v>4</v>
      </c>
      <c r="K35" s="30">
        <f>D22/D29</f>
        <v>0.70119407958421265</v>
      </c>
      <c r="L35" s="30">
        <f>D22/K22</f>
        <v>0.8392857142857143</v>
      </c>
      <c r="M35" s="30"/>
    </row>
    <row r="36" spans="5:19" x14ac:dyDescent="0.2">
      <c r="E36" s="36" t="s">
        <v>5</v>
      </c>
      <c r="F36" s="30">
        <f>'UA PA'!D11</f>
        <v>0.91836734693877553</v>
      </c>
      <c r="G36" s="30">
        <f>'UA PA'!E11</f>
        <v>0.9375</v>
      </c>
      <c r="J36" s="36" t="s">
        <v>5</v>
      </c>
      <c r="K36" s="30">
        <f>E23/E29</f>
        <v>0.66002327258193016</v>
      </c>
      <c r="L36" s="30">
        <f>E23/K23</f>
        <v>0.91836734693877553</v>
      </c>
      <c r="M36" s="30"/>
    </row>
    <row r="37" spans="5:19" x14ac:dyDescent="0.2">
      <c r="E37" s="37" t="s">
        <v>6</v>
      </c>
      <c r="F37" s="30">
        <f>'UA PA'!D12</f>
        <v>0.7142857142857143</v>
      </c>
      <c r="G37" s="30">
        <f>'UA PA'!E12</f>
        <v>0.47619047619047616</v>
      </c>
      <c r="J37" s="37" t="s">
        <v>6</v>
      </c>
      <c r="K37" s="30">
        <f>F24/F29</f>
        <v>0.82820161001744563</v>
      </c>
      <c r="L37" s="30">
        <f>F24/K24</f>
        <v>0.7142857142857143</v>
      </c>
      <c r="M37" s="30"/>
    </row>
    <row r="38" spans="5:19" x14ac:dyDescent="0.2">
      <c r="E38" s="36" t="s">
        <v>7</v>
      </c>
      <c r="F38" s="30">
        <f>'UA PA'!D13</f>
        <v>0.85526315789473684</v>
      </c>
      <c r="G38" s="30">
        <f>'UA PA'!E13</f>
        <v>0.94202898550724634</v>
      </c>
      <c r="J38" s="36" t="s">
        <v>7</v>
      </c>
      <c r="K38" s="30">
        <f>G25/G29</f>
        <v>0.9731110577801001</v>
      </c>
      <c r="L38" s="30">
        <f>G25/K25</f>
        <v>0.85526315789473684</v>
      </c>
      <c r="M38" s="30"/>
    </row>
    <row r="39" spans="5:19" x14ac:dyDescent="0.2">
      <c r="E39" s="36" t="s">
        <v>8</v>
      </c>
      <c r="F39" s="30">
        <f>'UA PA'!D14</f>
        <v>1</v>
      </c>
      <c r="G39" s="30">
        <f>'UA PA'!E14</f>
        <v>1</v>
      </c>
      <c r="J39" s="36" t="s">
        <v>8</v>
      </c>
      <c r="K39" s="30">
        <f>H26/H29</f>
        <v>1</v>
      </c>
      <c r="L39" s="30">
        <f>H26/K26</f>
        <v>1</v>
      </c>
      <c r="M39" s="30"/>
    </row>
    <row r="40" spans="5:19" x14ac:dyDescent="0.2">
      <c r="E40" s="36" t="s">
        <v>9</v>
      </c>
      <c r="F40" s="30">
        <f>'UA PA'!D15</f>
        <v>0.95180722891566261</v>
      </c>
      <c r="G40" s="30">
        <f>'UA PA'!E15</f>
        <v>0.94047619047619047</v>
      </c>
      <c r="J40" s="36" t="s">
        <v>9</v>
      </c>
      <c r="K40" s="30">
        <f>I27/I29</f>
        <v>0.87645931663419496</v>
      </c>
      <c r="L40" s="30">
        <f>I27/K27</f>
        <v>0.95180722891566261</v>
      </c>
      <c r="M40" s="30"/>
    </row>
    <row r="41" spans="5:19" x14ac:dyDescent="0.2">
      <c r="E41" s="39" t="s">
        <v>10</v>
      </c>
      <c r="F41" s="40">
        <f>'UA PA'!D16</f>
        <v>1</v>
      </c>
      <c r="G41" s="40">
        <f>'UA PA'!E16</f>
        <v>1</v>
      </c>
      <c r="H41" s="28"/>
      <c r="J41" s="39" t="s">
        <v>10</v>
      </c>
      <c r="K41" s="40">
        <f>J28/J29</f>
        <v>1</v>
      </c>
      <c r="L41" s="40">
        <f>J28/K28</f>
        <v>1</v>
      </c>
      <c r="M41" s="40"/>
    </row>
    <row r="42" spans="5:19" x14ac:dyDescent="0.2">
      <c r="H42" s="30">
        <f>OA!C9</f>
        <v>0.92904290429042902</v>
      </c>
      <c r="M42" s="30">
        <f>B20+C21+D22+E23+F24+G25+H26+I27+J28</f>
        <v>0.92956333389817014</v>
      </c>
    </row>
  </sheetData>
  <mergeCells count="2">
    <mergeCell ref="P19:R19"/>
    <mergeCell ref="S19:U19"/>
  </mergeCells>
  <pageMargins left="0.7" right="0.7" top="0.75" bottom="0.75" header="0.3" footer="0.3"/>
  <ignoredErrors>
    <ignoredError sqref="L2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U42"/>
  <sheetViews>
    <sheetView zoomScale="90" zoomScaleNormal="90" workbookViewId="0"/>
  </sheetViews>
  <sheetFormatPr baseColWidth="10" defaultRowHeight="15" x14ac:dyDescent="0.2"/>
  <cols>
    <col min="1" max="12" width="10.83203125" style="1" customWidth="1"/>
    <col min="13" max="14" width="10.83203125" style="1"/>
    <col min="15" max="21" width="12.83203125" style="1" customWidth="1"/>
    <col min="22" max="16384" width="10.83203125" style="1"/>
  </cols>
  <sheetData>
    <row r="1" spans="1:19" ht="19" x14ac:dyDescent="0.25">
      <c r="A1" s="3" t="s">
        <v>17</v>
      </c>
    </row>
    <row r="3" spans="1:19" ht="16" x14ac:dyDescent="0.2">
      <c r="A3" s="19" t="s">
        <v>16</v>
      </c>
    </row>
    <row r="5" spans="1:19" ht="15" customHeight="1" x14ac:dyDescent="0.2">
      <c r="A5" s="32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4"/>
      <c r="O5" s="32" t="s">
        <v>125</v>
      </c>
    </row>
    <row r="6" spans="1:19" ht="15" customHeight="1" x14ac:dyDescent="0.2">
      <c r="A6" s="10"/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0</v>
      </c>
      <c r="L6" s="11" t="s">
        <v>18</v>
      </c>
      <c r="M6" s="11" t="s">
        <v>19</v>
      </c>
      <c r="O6" s="10"/>
      <c r="P6" s="11" t="s">
        <v>23</v>
      </c>
      <c r="Q6" s="11" t="s">
        <v>24</v>
      </c>
      <c r="R6" s="11" t="s">
        <v>25</v>
      </c>
      <c r="S6" s="173"/>
    </row>
    <row r="7" spans="1:19" x14ac:dyDescent="0.2">
      <c r="A7" s="15" t="s">
        <v>2</v>
      </c>
      <c r="B7" s="16">
        <f t="array" ref="B7:J15">TRANSPOSE('Error Matrix'!B111:J119)</f>
        <v>45</v>
      </c>
      <c r="C7" s="16">
        <v>0</v>
      </c>
      <c r="D7" s="16">
        <v>1</v>
      </c>
      <c r="E7" s="16">
        <v>0</v>
      </c>
      <c r="F7" s="16">
        <v>4</v>
      </c>
      <c r="G7" s="16">
        <v>0</v>
      </c>
      <c r="H7" s="16">
        <v>0</v>
      </c>
      <c r="I7" s="16">
        <v>0</v>
      </c>
      <c r="J7" s="16">
        <v>0</v>
      </c>
      <c r="K7" s="14">
        <f>SUM(B7:J7)</f>
        <v>50</v>
      </c>
      <c r="L7" s="110">
        <f>Sampling!P6</f>
        <v>39777108</v>
      </c>
      <c r="M7" s="18">
        <f>L7/$L$16</f>
        <v>0.13745805203010031</v>
      </c>
      <c r="O7" s="15" t="s">
        <v>2</v>
      </c>
      <c r="P7" s="135">
        <f>B20*(B29^-4)*(B20*((B21*(M21-B21)/(M21*$L$29))+(B22*(M22-B22)/(M22*$L$29))+(B23*(M23-B23)/(M23*$L$29))+(B24*(M24-B24)/(M24*$L$29))+(B25*(M25-B25)/(M25*$L$29))+(B26*(M26-B26)/(M26*$L$29))+(B27*(M27-B27)/(M27*$L$29))+(B28*(M28-B28)/(M28*$L$29)))+(M20-B20)*((B29-B20)^2)/(M20*$L$29))</f>
        <v>1.9461957221981124E-10</v>
      </c>
      <c r="Q7" s="1">
        <f>(B20*(M20-B20))/((M20^2)*$L$29)</f>
        <v>3.1101367858892696E-10</v>
      </c>
    </row>
    <row r="8" spans="1:19" x14ac:dyDescent="0.2">
      <c r="A8" s="15" t="s">
        <v>3</v>
      </c>
      <c r="B8" s="16">
        <v>0</v>
      </c>
      <c r="C8" s="16">
        <v>72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4">
        <f t="shared" ref="K8:K15" si="0">SUM(B8:J8)</f>
        <v>72</v>
      </c>
      <c r="L8" s="110">
        <f>Sampling!P7</f>
        <v>6240241</v>
      </c>
      <c r="M8" s="18">
        <f t="shared" ref="M8:M15" si="1">L8/$L$16</f>
        <v>2.1564447874349368E-2</v>
      </c>
      <c r="O8" s="15" t="s">
        <v>3</v>
      </c>
      <c r="P8" s="1">
        <f>C21*(C29^-4)*(C21*((C20*(M20-C20)/(M20*$L$29))+(C22*(M22-C22)/(M22*$L$29))+(C23*(M23-C23)/(M23*$L$29))+(C24*(M24-C24)/(M24*$L$29))+(C25*(M25-C25)/(M25*$L$29))+(C26*(M26-C26)/(M26*$L$29))+(C27*(M27-C27)/(M27*$L$29))+(C28*(M28-C28)/(M28*$L$29)))+(M21-C21)*((C29-C21)^2)/(M21*$L$29))</f>
        <v>0</v>
      </c>
      <c r="Q8" s="1">
        <f>(C21*(M20-C21))/((M21^2)*$L$29)</f>
        <v>1.8571975690642549E-8</v>
      </c>
    </row>
    <row r="9" spans="1:19" x14ac:dyDescent="0.2">
      <c r="A9" s="15" t="s">
        <v>4</v>
      </c>
      <c r="B9" s="16">
        <v>1</v>
      </c>
      <c r="C9" s="16">
        <v>0</v>
      </c>
      <c r="D9" s="16">
        <v>47</v>
      </c>
      <c r="E9" s="16">
        <v>2</v>
      </c>
      <c r="F9" s="16">
        <v>5</v>
      </c>
      <c r="G9" s="16">
        <v>0</v>
      </c>
      <c r="H9" s="16">
        <v>0</v>
      </c>
      <c r="I9" s="16">
        <v>0</v>
      </c>
      <c r="J9" s="16">
        <v>0</v>
      </c>
      <c r="K9" s="14">
        <f t="shared" si="0"/>
        <v>55</v>
      </c>
      <c r="L9" s="110">
        <f>Sampling!P8</f>
        <v>14374168</v>
      </c>
      <c r="M9" s="18">
        <f t="shared" si="1"/>
        <v>4.9672920737058188E-2</v>
      </c>
      <c r="O9" s="15" t="s">
        <v>4</v>
      </c>
      <c r="P9" s="1">
        <f>D22*(D29^-4)*(D22*((D20*(M20-D20)/(M20*$L$29))+(D21*(M21-D21)/(M21*$L$29))+(D23*(M23-D23)/(M23*$L$29))+(D24*(M24-D24)/(M24*$L$29))+(D25*(M25-D25)/(M25*$L$29))+(D26*(M26-D26)/(M26*$L$29))+(D27*(M27-D27)/(M27*$L$29))+(D28*(M28-D28)/(M28*$L$29)))+(M22-D22)*((D29-D22)^2)/(M22*$L$29))</f>
        <v>7.9622866178622829E-9</v>
      </c>
      <c r="Q9" s="1">
        <f>(D22*(M22-D22))/((M22^2)*$L$29)</f>
        <v>4.2953587933677304E-10</v>
      </c>
    </row>
    <row r="10" spans="1:19" x14ac:dyDescent="0.2">
      <c r="A10" s="15" t="s">
        <v>5</v>
      </c>
      <c r="B10" s="16">
        <v>0</v>
      </c>
      <c r="C10" s="16">
        <v>0</v>
      </c>
      <c r="D10" s="16">
        <v>0</v>
      </c>
      <c r="E10" s="16">
        <v>90</v>
      </c>
      <c r="F10" s="16">
        <v>6</v>
      </c>
      <c r="G10" s="16">
        <v>0</v>
      </c>
      <c r="H10" s="16">
        <v>0</v>
      </c>
      <c r="I10" s="16">
        <v>0</v>
      </c>
      <c r="J10" s="16">
        <v>0</v>
      </c>
      <c r="K10" s="14">
        <f t="shared" si="0"/>
        <v>96</v>
      </c>
      <c r="L10" s="110">
        <f>Sampling!P9</f>
        <v>12153042</v>
      </c>
      <c r="M10" s="18">
        <f t="shared" si="1"/>
        <v>4.1997358871841424E-2</v>
      </c>
      <c r="O10" s="15" t="s">
        <v>5</v>
      </c>
      <c r="P10" s="1">
        <f>E23*(E29^-4)*(E23*(0)+(M23-E23)*((E29-E23)^2)/(M23*$L$29))</f>
        <v>2.6012190570249589E-10</v>
      </c>
      <c r="Q10" s="183">
        <f>(E23*(M23-E23))/((M23^2)*$L$29)</f>
        <v>2.0248286366466585E-10</v>
      </c>
    </row>
    <row r="11" spans="1:19" x14ac:dyDescent="0.2">
      <c r="A11" s="15" t="s">
        <v>6</v>
      </c>
      <c r="B11" s="16">
        <v>0</v>
      </c>
      <c r="C11" s="16">
        <v>0</v>
      </c>
      <c r="D11" s="16">
        <v>4</v>
      </c>
      <c r="E11" s="16">
        <v>4</v>
      </c>
      <c r="F11" s="16">
        <v>27</v>
      </c>
      <c r="G11" s="16">
        <v>0</v>
      </c>
      <c r="H11" s="16">
        <v>0</v>
      </c>
      <c r="I11" s="16">
        <v>0</v>
      </c>
      <c r="J11" s="16">
        <v>0</v>
      </c>
      <c r="K11" s="14">
        <f t="shared" si="0"/>
        <v>35</v>
      </c>
      <c r="L11" s="110">
        <f>Sampling!P10</f>
        <v>42436264</v>
      </c>
      <c r="M11" s="18">
        <f t="shared" si="1"/>
        <v>0.14664731746900939</v>
      </c>
      <c r="O11" s="15" t="s">
        <v>6</v>
      </c>
      <c r="P11" s="1">
        <f>F24*(F29^-4)*(F24*((F20*(M20-F20)/(M20*$L$29))+(F21*(M21-F21)/(M21*$L$29))+(F22*(M22-F22)/(M22*$L$29))+(F23*(M23-F23)/(M23*$L$29))+(F25*(M25-F25)/(M25*$L$29))+(F26*(M26-F26)/(M26*$L$29))+(F27*(M27-F27)/(M27*$L$29))+(F28*(M28-F28)/(M28*$L$29)))+(M24-F24)*((F29-F24)^2)/(M24*$L$29))</f>
        <v>2.5841468698927373E-9</v>
      </c>
      <c r="Q11" s="1">
        <f>(F24*(M24-F24))/((M24^2)*$L$29)</f>
        <v>6.09332921317081E-10</v>
      </c>
    </row>
    <row r="12" spans="1:19" x14ac:dyDescent="0.2">
      <c r="A12" s="15" t="s">
        <v>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66</v>
      </c>
      <c r="H12" s="16">
        <v>0</v>
      </c>
      <c r="I12" s="16">
        <v>7</v>
      </c>
      <c r="J12" s="16">
        <v>0</v>
      </c>
      <c r="K12" s="14">
        <f t="shared" si="0"/>
        <v>73</v>
      </c>
      <c r="L12" s="110">
        <f>Sampling!P11</f>
        <v>8969589</v>
      </c>
      <c r="M12" s="18">
        <f t="shared" si="1"/>
        <v>3.0996276336897482E-2</v>
      </c>
      <c r="O12" s="15" t="s">
        <v>7</v>
      </c>
      <c r="P12" s="1">
        <f>G25*(G29^-4)*(G25*((G20*(M20-G20)/(M20*$L$29))+(G21*(M21-G21)/(M21*$L$29))+(G22*(M22-G22)/(M22*$L$29))+(G23*(M23-G23)/(M23*$L$29))+(G24*(M24-G24)/(M24*$L$29))+(G26*(M26-G26)/(M26*$L$29))+(G27*(M27-G27)/(M27*$L$29))+(G28*(M28-G28)/(M28*$L$29)))+(M25-G25)*((G29-G25)^2)/(M25*$L$29))</f>
        <v>6.4750892074060718E-9</v>
      </c>
      <c r="Q12" s="1">
        <f>(G25*(M25-G25))/((M25^2)*$L$29)</f>
        <v>2.9959408583658415E-10</v>
      </c>
    </row>
    <row r="13" spans="1:19" x14ac:dyDescent="0.2">
      <c r="A13" s="15" t="s">
        <v>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33</v>
      </c>
      <c r="I13" s="16">
        <v>0</v>
      </c>
      <c r="J13" s="16">
        <v>0</v>
      </c>
      <c r="K13" s="14">
        <f t="shared" si="0"/>
        <v>33</v>
      </c>
      <c r="L13" s="110">
        <f>Sampling!P12</f>
        <v>1296011</v>
      </c>
      <c r="M13" s="18">
        <f t="shared" si="1"/>
        <v>4.4786349844634843E-3</v>
      </c>
      <c r="O13" s="15" t="s">
        <v>8</v>
      </c>
      <c r="P13" s="1">
        <f>H26*(H29^-4)*(H26*((H20*(M20-H20)/(M20*$L$29))+(H21*(M21-H21)/(M21*$L$29))+(H22*(M22-H22)/(M22*$L$29))+(H23*(M23-H23)/(M23*$L$29))+(H24*(M24-H24)/(M24*$L$29))+(H25*(M25-H25)/(M25*$L$29))+(H27*(M27-H27)/(M27*$L$29))+(H28*(M28-H28)/(M28*$L$29)))+(M26-H26)*((H29-H26)^2)/(M26*$L$29))</f>
        <v>0</v>
      </c>
      <c r="Q13" s="1">
        <f>(H26*(M26-H26))/((M26^2)*$L$29)</f>
        <v>0</v>
      </c>
    </row>
    <row r="14" spans="1:19" x14ac:dyDescent="0.2">
      <c r="A14" s="15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3</v>
      </c>
      <c r="H14" s="16">
        <v>0</v>
      </c>
      <c r="I14" s="16">
        <v>77</v>
      </c>
      <c r="J14" s="16">
        <v>0</v>
      </c>
      <c r="K14" s="14">
        <f t="shared" si="0"/>
        <v>80</v>
      </c>
      <c r="L14" s="110">
        <f>Sampling!P13</f>
        <v>15434167</v>
      </c>
      <c r="M14" s="18">
        <f t="shared" si="1"/>
        <v>5.3335967273620229E-2</v>
      </c>
      <c r="O14" s="15" t="s">
        <v>9</v>
      </c>
      <c r="P14" s="1">
        <f>I27*(I29^-4)*(I27*((I20*(M20-I20)/(M20*$L$29))+(I21*(M21-I21)/(M21*$L$29))+(I22*(M22-I22)/(M22*$L$29))+(I23*(M23-I23)/(M23*$L$29))+(I24*(M24-I24)/(M24*$L$29))+(I25*(M25-I25)/(M25*$L$29))+(I26*(M26-I26)/(M26*$L$29))+(I28*(M28-I28)/(M28*$L$29)))+(M27-I27)*((I29-I27)^2)/(M27*$L$29))</f>
        <v>2.8201186799549628E-9</v>
      </c>
      <c r="Q14" s="1">
        <f>(I27*(M27-I27))/((M27^2)*$L$29)</f>
        <v>1.2472944401743408E-10</v>
      </c>
    </row>
    <row r="15" spans="1:19" x14ac:dyDescent="0.2">
      <c r="A15" s="15" t="s">
        <v>10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112</v>
      </c>
      <c r="K15" s="14">
        <f t="shared" si="0"/>
        <v>112</v>
      </c>
      <c r="L15" s="110">
        <f>Sampling!P14</f>
        <v>148695750</v>
      </c>
      <c r="M15" s="18">
        <f t="shared" si="1"/>
        <v>0.51384902442266012</v>
      </c>
      <c r="O15" s="12" t="s">
        <v>10</v>
      </c>
      <c r="P15" s="28">
        <f>J28*(J29^-4)*(J28*((J20*(M20-J20)/(M20*$L$29))+(J21*(M21-J21)/(M21*$L$29))+(J22*(M22-J22)/(M22*$L$29))+(J23*(M23-J23)/(M23*$L$29))+(J24*(M24-J24)/(M24*$L$29))+(J25*(M25-J25)/(M25*$L$29))+(J26*(M26-J26)/(M26*$L$29))+(J27*(M27-J27)/(M27*$L$29)))+(M28-J28)*((J29-J28)^2)/(M28*$L$29))</f>
        <v>0</v>
      </c>
      <c r="Q15" s="28">
        <f>(J28*(M28-J28))/((M28^2)*$L$29)</f>
        <v>0</v>
      </c>
      <c r="R15" s="28"/>
      <c r="S15" s="14"/>
    </row>
    <row r="16" spans="1:19" ht="15" customHeight="1" x14ac:dyDescent="0.2">
      <c r="A16" s="23" t="s">
        <v>0</v>
      </c>
      <c r="B16" s="24">
        <f>SUM(B7:B15)</f>
        <v>46</v>
      </c>
      <c r="C16" s="24">
        <f t="shared" ref="C16:J16" si="2">SUM(C7:C15)</f>
        <v>72</v>
      </c>
      <c r="D16" s="24">
        <f t="shared" si="2"/>
        <v>52</v>
      </c>
      <c r="E16" s="24">
        <f t="shared" si="2"/>
        <v>96</v>
      </c>
      <c r="F16" s="24">
        <f t="shared" si="2"/>
        <v>42</v>
      </c>
      <c r="G16" s="24">
        <f t="shared" si="2"/>
        <v>69</v>
      </c>
      <c r="H16" s="24">
        <f t="shared" si="2"/>
        <v>33</v>
      </c>
      <c r="I16" s="24">
        <f t="shared" si="2"/>
        <v>84</v>
      </c>
      <c r="J16" s="24">
        <f t="shared" si="2"/>
        <v>112</v>
      </c>
      <c r="K16" s="24">
        <f>SUM(K7:K15)</f>
        <v>606</v>
      </c>
      <c r="L16" s="25">
        <f>SUM(L7:L15)</f>
        <v>289376340</v>
      </c>
      <c r="M16" s="26">
        <f>SUM(M7:M15)</f>
        <v>1</v>
      </c>
      <c r="R16" s="1">
        <f>((B20*((M20-B20)/(M20*L29)))+(C21*((M21-C21)/(M21*L29)))+(D22*((M22-D22)/(M22*L29)))+(E23*((M23-E23)/(M23*L29)))+(F24*((M24-F24)/(M24*L29)))+(G25*((M25-G25)/(M25*L29)))+(H26*((M26-H26)/(M26*L29)))+(I27*((M27-I27)/(M27*L29)))+(J28*((M28-J28)/(M28*L29))))</f>
        <v>1.7788728656665738E-10</v>
      </c>
    </row>
    <row r="18" spans="1:21" x14ac:dyDescent="0.2">
      <c r="A18" s="32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4"/>
      <c r="O18" s="32" t="s">
        <v>126</v>
      </c>
    </row>
    <row r="19" spans="1:21" x14ac:dyDescent="0.2">
      <c r="A19" s="10"/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  <c r="J19" s="11" t="s">
        <v>10</v>
      </c>
      <c r="K19" s="11" t="s">
        <v>0</v>
      </c>
      <c r="L19" s="11" t="s">
        <v>18</v>
      </c>
      <c r="M19" s="11" t="s">
        <v>19</v>
      </c>
      <c r="O19" s="151"/>
      <c r="P19" s="203" t="s">
        <v>23</v>
      </c>
      <c r="Q19" s="203"/>
      <c r="R19" s="203"/>
      <c r="S19" s="203" t="s">
        <v>24</v>
      </c>
      <c r="T19" s="203"/>
      <c r="U19" s="203"/>
    </row>
    <row r="20" spans="1:21" x14ac:dyDescent="0.2">
      <c r="A20" s="15" t="s">
        <v>2</v>
      </c>
      <c r="B20" s="20">
        <f>$M7*B7/$K7</f>
        <v>0.12371224682709027</v>
      </c>
      <c r="C20" s="20">
        <f t="shared" ref="C20:J21" si="3">$M7*C7/$K7</f>
        <v>0</v>
      </c>
      <c r="D20" s="20">
        <f t="shared" si="3"/>
        <v>2.7491610406020061E-3</v>
      </c>
      <c r="E20" s="20">
        <f t="shared" si="3"/>
        <v>0</v>
      </c>
      <c r="F20" s="20">
        <f t="shared" si="3"/>
        <v>1.0996644162408024E-2</v>
      </c>
      <c r="G20" s="20">
        <f t="shared" si="3"/>
        <v>0</v>
      </c>
      <c r="H20" s="20">
        <f t="shared" si="3"/>
        <v>0</v>
      </c>
      <c r="I20" s="20">
        <f t="shared" si="3"/>
        <v>0</v>
      </c>
      <c r="J20" s="20">
        <f t="shared" si="3"/>
        <v>0</v>
      </c>
      <c r="K20" s="21">
        <f>SUM(B20:J20)</f>
        <v>0.13745805203010031</v>
      </c>
      <c r="L20" s="1">
        <f>L7</f>
        <v>39777108</v>
      </c>
      <c r="M20" s="18">
        <f>L20/$L$29</f>
        <v>0.13745805203010031</v>
      </c>
      <c r="O20" s="174"/>
      <c r="P20" s="11" t="s">
        <v>127</v>
      </c>
      <c r="Q20" s="11" t="s">
        <v>129</v>
      </c>
      <c r="R20" s="11" t="s">
        <v>128</v>
      </c>
      <c r="S20" s="11" t="s">
        <v>127</v>
      </c>
      <c r="T20" s="11" t="s">
        <v>129</v>
      </c>
      <c r="U20" s="11" t="s">
        <v>128</v>
      </c>
    </row>
    <row r="21" spans="1:21" x14ac:dyDescent="0.2">
      <c r="A21" s="15" t="s">
        <v>3</v>
      </c>
      <c r="B21" s="20">
        <f>$M8*B8/$K8</f>
        <v>0</v>
      </c>
      <c r="C21" s="20">
        <f t="shared" si="3"/>
        <v>2.1564447874349368E-2</v>
      </c>
      <c r="D21" s="20">
        <f t="shared" si="3"/>
        <v>0</v>
      </c>
      <c r="E21" s="20">
        <f t="shared" si="3"/>
        <v>0</v>
      </c>
      <c r="F21" s="20">
        <f t="shared" si="3"/>
        <v>0</v>
      </c>
      <c r="G21" s="20">
        <f t="shared" si="3"/>
        <v>0</v>
      </c>
      <c r="H21" s="20">
        <f t="shared" si="3"/>
        <v>0</v>
      </c>
      <c r="I21" s="20">
        <f t="shared" si="3"/>
        <v>0</v>
      </c>
      <c r="J21" s="20">
        <f t="shared" si="3"/>
        <v>0</v>
      </c>
      <c r="K21" s="21">
        <f t="shared" ref="K21:K28" si="4">SUM(B21:J21)</f>
        <v>2.1564447874349368E-2</v>
      </c>
      <c r="L21" s="1">
        <f t="shared" ref="L21:L28" si="5">L8</f>
        <v>6240241</v>
      </c>
      <c r="M21" s="18">
        <f t="shared" ref="M21:M28" si="6">L21/$L$29</f>
        <v>2.1564447874349368E-2</v>
      </c>
      <c r="O21" s="15" t="s">
        <v>2</v>
      </c>
      <c r="P21" s="1">
        <f>2*(P7^0.5)</f>
        <v>2.7901223788200491E-5</v>
      </c>
      <c r="Q21" s="30">
        <f>K33-P21</f>
        <v>0.99272464717886399</v>
      </c>
      <c r="R21" s="30">
        <f>K33+P21</f>
        <v>0.9927804496264403</v>
      </c>
      <c r="S21" s="1">
        <f t="shared" ref="S21:S29" si="7">2*(Q7^0.5)</f>
        <v>3.5271159810186394E-5</v>
      </c>
      <c r="T21" s="30">
        <f>L33-S21</f>
        <v>0.89996472884018974</v>
      </c>
      <c r="U21" s="30">
        <f>L33+S21</f>
        <v>0.90003527115981008</v>
      </c>
    </row>
    <row r="22" spans="1:21" x14ac:dyDescent="0.2">
      <c r="A22" s="15" t="s">
        <v>4</v>
      </c>
      <c r="B22" s="20">
        <f t="shared" ref="B22:J28" si="8">$M9*B9/$K9</f>
        <v>9.0314401340105797E-4</v>
      </c>
      <c r="C22" s="20">
        <f t="shared" si="8"/>
        <v>0</v>
      </c>
      <c r="D22" s="20">
        <f t="shared" si="8"/>
        <v>4.2447768629849725E-2</v>
      </c>
      <c r="E22" s="20">
        <f t="shared" si="8"/>
        <v>1.8062880268021159E-3</v>
      </c>
      <c r="F22" s="20">
        <f t="shared" si="8"/>
        <v>4.5157200670052902E-3</v>
      </c>
      <c r="G22" s="20">
        <f t="shared" si="8"/>
        <v>0</v>
      </c>
      <c r="H22" s="20">
        <f t="shared" si="8"/>
        <v>0</v>
      </c>
      <c r="I22" s="20">
        <f t="shared" si="8"/>
        <v>0</v>
      </c>
      <c r="J22" s="20">
        <f t="shared" si="8"/>
        <v>0</v>
      </c>
      <c r="K22" s="21">
        <f t="shared" si="4"/>
        <v>4.9672920737058195E-2</v>
      </c>
      <c r="L22" s="1">
        <f t="shared" si="5"/>
        <v>14374168</v>
      </c>
      <c r="M22" s="18">
        <f t="shared" si="6"/>
        <v>4.9672920737058188E-2</v>
      </c>
      <c r="O22" s="15" t="s">
        <v>3</v>
      </c>
      <c r="P22" s="1">
        <f t="shared" ref="P22:P29" si="9">2*(P8^0.5)</f>
        <v>0</v>
      </c>
      <c r="Q22" s="30">
        <f t="shared" ref="Q22:Q29" si="10">K34-P22</f>
        <v>1</v>
      </c>
      <c r="R22" s="30">
        <f t="shared" ref="R22:R29" si="11">K34+P22</f>
        <v>1</v>
      </c>
      <c r="S22" s="1">
        <f t="shared" si="7"/>
        <v>2.7255807227556146E-4</v>
      </c>
      <c r="T22" s="30">
        <f t="shared" ref="T22:T29" si="12">L34-S22</f>
        <v>0.99972744192772445</v>
      </c>
      <c r="U22" s="30">
        <f t="shared" ref="U22:U29" si="13">L34+S22</f>
        <v>1.0002725580722756</v>
      </c>
    </row>
    <row r="23" spans="1:21" x14ac:dyDescent="0.2">
      <c r="A23" s="15" t="s">
        <v>5</v>
      </c>
      <c r="B23" s="20">
        <f t="shared" si="8"/>
        <v>0</v>
      </c>
      <c r="C23" s="20">
        <f t="shared" si="8"/>
        <v>0</v>
      </c>
      <c r="D23" s="20">
        <f t="shared" si="8"/>
        <v>0</v>
      </c>
      <c r="E23" s="20">
        <f t="shared" si="8"/>
        <v>3.9372523942351335E-2</v>
      </c>
      <c r="F23" s="20">
        <f t="shared" si="8"/>
        <v>2.624834929490089E-3</v>
      </c>
      <c r="G23" s="20">
        <f t="shared" si="8"/>
        <v>0</v>
      </c>
      <c r="H23" s="20">
        <f t="shared" si="8"/>
        <v>0</v>
      </c>
      <c r="I23" s="20">
        <f t="shared" si="8"/>
        <v>0</v>
      </c>
      <c r="J23" s="20">
        <f t="shared" si="8"/>
        <v>0</v>
      </c>
      <c r="K23" s="21">
        <f t="shared" si="4"/>
        <v>4.1997358871841424E-2</v>
      </c>
      <c r="L23" s="1">
        <f t="shared" si="5"/>
        <v>12153042</v>
      </c>
      <c r="M23" s="18">
        <f t="shared" si="6"/>
        <v>4.1997358871841424E-2</v>
      </c>
      <c r="O23" s="15" t="s">
        <v>4</v>
      </c>
      <c r="P23" s="1">
        <f t="shared" si="9"/>
        <v>1.7846329166371758E-4</v>
      </c>
      <c r="Q23" s="30">
        <f t="shared" si="10"/>
        <v>0.68494229554042196</v>
      </c>
      <c r="R23" s="30">
        <f t="shared" si="11"/>
        <v>0.68529922212374939</v>
      </c>
      <c r="S23" s="1">
        <f t="shared" si="7"/>
        <v>4.1450494778073423E-5</v>
      </c>
      <c r="T23" s="30">
        <f t="shared" si="12"/>
        <v>0.85450400405067628</v>
      </c>
      <c r="U23" s="30">
        <f t="shared" si="13"/>
        <v>0.85458690504023249</v>
      </c>
    </row>
    <row r="24" spans="1:21" x14ac:dyDescent="0.2">
      <c r="A24" s="15" t="s">
        <v>6</v>
      </c>
      <c r="B24" s="20">
        <f t="shared" si="8"/>
        <v>0</v>
      </c>
      <c r="C24" s="20">
        <f t="shared" si="8"/>
        <v>0</v>
      </c>
      <c r="D24" s="20">
        <f t="shared" si="8"/>
        <v>1.6759693425029643E-2</v>
      </c>
      <c r="E24" s="20">
        <f t="shared" si="8"/>
        <v>1.6759693425029643E-2</v>
      </c>
      <c r="F24" s="20">
        <f t="shared" si="8"/>
        <v>0.1131279306189501</v>
      </c>
      <c r="G24" s="20">
        <f t="shared" si="8"/>
        <v>0</v>
      </c>
      <c r="H24" s="20">
        <f t="shared" si="8"/>
        <v>0</v>
      </c>
      <c r="I24" s="20">
        <f t="shared" si="8"/>
        <v>0</v>
      </c>
      <c r="J24" s="20">
        <f t="shared" si="8"/>
        <v>0</v>
      </c>
      <c r="K24" s="21">
        <f t="shared" si="4"/>
        <v>0.14664731746900939</v>
      </c>
      <c r="L24" s="1">
        <f t="shared" si="5"/>
        <v>42436264</v>
      </c>
      <c r="M24" s="18">
        <f t="shared" si="6"/>
        <v>0.14664731746900939</v>
      </c>
      <c r="O24" s="15" t="s">
        <v>5</v>
      </c>
      <c r="P24" s="1">
        <f t="shared" si="9"/>
        <v>3.225659037793647E-5</v>
      </c>
      <c r="Q24" s="30">
        <f t="shared" si="10"/>
        <v>0.67952486478307483</v>
      </c>
      <c r="R24" s="30">
        <f t="shared" si="11"/>
        <v>0.67958937796383079</v>
      </c>
      <c r="S24" s="1">
        <f t="shared" si="7"/>
        <v>2.8459294697140043E-5</v>
      </c>
      <c r="T24" s="30">
        <f t="shared" si="12"/>
        <v>0.93747154070530281</v>
      </c>
      <c r="U24" s="30">
        <f t="shared" si="13"/>
        <v>0.93752845929469719</v>
      </c>
    </row>
    <row r="25" spans="1:21" x14ac:dyDescent="0.2">
      <c r="A25" s="15" t="s">
        <v>7</v>
      </c>
      <c r="B25" s="20">
        <f t="shared" si="8"/>
        <v>0</v>
      </c>
      <c r="C25" s="20">
        <f t="shared" si="8"/>
        <v>0</v>
      </c>
      <c r="D25" s="20">
        <f t="shared" si="8"/>
        <v>0</v>
      </c>
      <c r="E25" s="20">
        <f t="shared" si="8"/>
        <v>0</v>
      </c>
      <c r="F25" s="20">
        <f t="shared" si="8"/>
        <v>0</v>
      </c>
      <c r="G25" s="20">
        <f t="shared" si="8"/>
        <v>2.8024030660756628E-2</v>
      </c>
      <c r="H25" s="20">
        <f t="shared" si="8"/>
        <v>0</v>
      </c>
      <c r="I25" s="20">
        <f t="shared" si="8"/>
        <v>2.9722456761408548E-3</v>
      </c>
      <c r="J25" s="20">
        <f t="shared" si="8"/>
        <v>0</v>
      </c>
      <c r="K25" s="21">
        <f t="shared" si="4"/>
        <v>3.0996276336897482E-2</v>
      </c>
      <c r="L25" s="1">
        <f t="shared" si="5"/>
        <v>8969589</v>
      </c>
      <c r="M25" s="18">
        <f t="shared" si="6"/>
        <v>3.0996276336897482E-2</v>
      </c>
      <c r="O25" s="15" t="s">
        <v>6</v>
      </c>
      <c r="P25" s="1">
        <f t="shared" si="9"/>
        <v>1.0166900943537785E-4</v>
      </c>
      <c r="Q25" s="30">
        <f t="shared" si="10"/>
        <v>0.86172607466020557</v>
      </c>
      <c r="R25" s="30">
        <f t="shared" si="11"/>
        <v>0.86192941267907641</v>
      </c>
      <c r="S25" s="1">
        <f t="shared" si="7"/>
        <v>4.9369339526353031E-5</v>
      </c>
      <c r="T25" s="30">
        <f t="shared" si="12"/>
        <v>0.77137920208904509</v>
      </c>
      <c r="U25" s="30">
        <f t="shared" si="13"/>
        <v>0.77147794076809784</v>
      </c>
    </row>
    <row r="26" spans="1:21" ht="15" customHeight="1" x14ac:dyDescent="0.2">
      <c r="A26" s="15" t="s">
        <v>8</v>
      </c>
      <c r="B26" s="20">
        <f t="shared" si="8"/>
        <v>0</v>
      </c>
      <c r="C26" s="20">
        <f t="shared" si="8"/>
        <v>0</v>
      </c>
      <c r="D26" s="20">
        <f t="shared" si="8"/>
        <v>0</v>
      </c>
      <c r="E26" s="20">
        <f t="shared" si="8"/>
        <v>0</v>
      </c>
      <c r="F26" s="20">
        <f t="shared" si="8"/>
        <v>0</v>
      </c>
      <c r="G26" s="20">
        <f t="shared" si="8"/>
        <v>0</v>
      </c>
      <c r="H26" s="20">
        <f t="shared" si="8"/>
        <v>4.4786349844634843E-3</v>
      </c>
      <c r="I26" s="20">
        <f t="shared" si="8"/>
        <v>0</v>
      </c>
      <c r="J26" s="20">
        <f t="shared" si="8"/>
        <v>0</v>
      </c>
      <c r="K26" s="21">
        <f t="shared" si="4"/>
        <v>4.4786349844634843E-3</v>
      </c>
      <c r="L26" s="1">
        <f t="shared" si="5"/>
        <v>1296011</v>
      </c>
      <c r="M26" s="18">
        <f t="shared" si="6"/>
        <v>4.4786349844634843E-3</v>
      </c>
      <c r="O26" s="15" t="s">
        <v>7</v>
      </c>
      <c r="P26" s="1">
        <f t="shared" si="9"/>
        <v>1.6093587800619316E-4</v>
      </c>
      <c r="Q26" s="30">
        <f t="shared" si="10"/>
        <v>0.93322268554590271</v>
      </c>
      <c r="R26" s="30">
        <f t="shared" si="11"/>
        <v>0.93354455730191499</v>
      </c>
      <c r="S26" s="1">
        <f t="shared" si="7"/>
        <v>3.4617572753535691E-5</v>
      </c>
      <c r="T26" s="30">
        <f t="shared" si="12"/>
        <v>0.90407497146834237</v>
      </c>
      <c r="U26" s="30">
        <f t="shared" si="13"/>
        <v>0.90414420661384953</v>
      </c>
    </row>
    <row r="27" spans="1:21" x14ac:dyDescent="0.2">
      <c r="A27" s="15" t="s">
        <v>9</v>
      </c>
      <c r="B27" s="20">
        <f t="shared" si="8"/>
        <v>0</v>
      </c>
      <c r="C27" s="20">
        <f t="shared" si="8"/>
        <v>0</v>
      </c>
      <c r="D27" s="20">
        <f t="shared" si="8"/>
        <v>0</v>
      </c>
      <c r="E27" s="20">
        <f t="shared" si="8"/>
        <v>0</v>
      </c>
      <c r="F27" s="20">
        <f t="shared" si="8"/>
        <v>0</v>
      </c>
      <c r="G27" s="20">
        <f t="shared" si="8"/>
        <v>2.0000987727607587E-3</v>
      </c>
      <c r="H27" s="20">
        <f t="shared" si="8"/>
        <v>0</v>
      </c>
      <c r="I27" s="20">
        <f t="shared" si="8"/>
        <v>5.1335868500859472E-2</v>
      </c>
      <c r="J27" s="20">
        <f t="shared" si="8"/>
        <v>0</v>
      </c>
      <c r="K27" s="21">
        <f t="shared" si="4"/>
        <v>5.3335967273620229E-2</v>
      </c>
      <c r="L27" s="1">
        <f t="shared" si="5"/>
        <v>15434167</v>
      </c>
      <c r="M27" s="18">
        <f t="shared" si="6"/>
        <v>5.3335967273620229E-2</v>
      </c>
      <c r="O27" s="15" t="s">
        <v>8</v>
      </c>
      <c r="P27" s="1">
        <f t="shared" si="9"/>
        <v>0</v>
      </c>
      <c r="Q27" s="30">
        <f t="shared" si="10"/>
        <v>1</v>
      </c>
      <c r="R27" s="30">
        <f t="shared" si="11"/>
        <v>1</v>
      </c>
      <c r="S27" s="1">
        <f t="shared" si="7"/>
        <v>0</v>
      </c>
      <c r="T27" s="30">
        <f t="shared" si="12"/>
        <v>1</v>
      </c>
      <c r="U27" s="30">
        <f t="shared" si="13"/>
        <v>1</v>
      </c>
    </row>
    <row r="28" spans="1:21" x14ac:dyDescent="0.2">
      <c r="A28" s="15" t="s">
        <v>10</v>
      </c>
      <c r="B28" s="20">
        <f t="shared" si="8"/>
        <v>0</v>
      </c>
      <c r="C28" s="20">
        <f t="shared" si="8"/>
        <v>0</v>
      </c>
      <c r="D28" s="20">
        <f t="shared" si="8"/>
        <v>0</v>
      </c>
      <c r="E28" s="20">
        <f t="shared" si="8"/>
        <v>0</v>
      </c>
      <c r="F28" s="20">
        <f t="shared" si="8"/>
        <v>0</v>
      </c>
      <c r="G28" s="20">
        <f t="shared" si="8"/>
        <v>0</v>
      </c>
      <c r="H28" s="20">
        <f t="shared" si="8"/>
        <v>0</v>
      </c>
      <c r="I28" s="20">
        <f t="shared" si="8"/>
        <v>0</v>
      </c>
      <c r="J28" s="20">
        <f t="shared" si="8"/>
        <v>0.51384902442266012</v>
      </c>
      <c r="K28" s="21">
        <f t="shared" si="4"/>
        <v>0.51384902442266012</v>
      </c>
      <c r="L28" s="1">
        <f t="shared" si="5"/>
        <v>148695750</v>
      </c>
      <c r="M28" s="18">
        <f t="shared" si="6"/>
        <v>0.51384902442266012</v>
      </c>
      <c r="O28" s="15" t="s">
        <v>9</v>
      </c>
      <c r="P28" s="1">
        <f t="shared" si="9"/>
        <v>1.0620957922814613E-4</v>
      </c>
      <c r="Q28" s="30">
        <f t="shared" si="10"/>
        <v>0.94516447931905045</v>
      </c>
      <c r="R28" s="30">
        <f t="shared" si="11"/>
        <v>0.94537689847750672</v>
      </c>
      <c r="S28" s="1">
        <f t="shared" si="7"/>
        <v>2.2336467403547416E-5</v>
      </c>
      <c r="T28" s="30">
        <f t="shared" si="12"/>
        <v>0.96247766353259645</v>
      </c>
      <c r="U28" s="30">
        <f t="shared" si="13"/>
        <v>0.96252233646740359</v>
      </c>
    </row>
    <row r="29" spans="1:21" x14ac:dyDescent="0.2">
      <c r="A29" s="23" t="s">
        <v>0</v>
      </c>
      <c r="B29" s="27">
        <f>SUM(B20:B28)</f>
        <v>0.12461539084049132</v>
      </c>
      <c r="C29" s="27">
        <f t="shared" ref="C29:J29" si="14">SUM(C20:C28)</f>
        <v>2.1564447874349368E-2</v>
      </c>
      <c r="D29" s="27">
        <f t="shared" si="14"/>
        <v>6.1956623095481375E-2</v>
      </c>
      <c r="E29" s="27">
        <f t="shared" si="14"/>
        <v>5.7938505394183097E-2</v>
      </c>
      <c r="F29" s="27">
        <f t="shared" si="14"/>
        <v>0.13126512977785351</v>
      </c>
      <c r="G29" s="27">
        <f t="shared" si="14"/>
        <v>3.0024129433517385E-2</v>
      </c>
      <c r="H29" s="27">
        <f t="shared" si="14"/>
        <v>4.4786349844634843E-3</v>
      </c>
      <c r="I29" s="27">
        <f t="shared" si="14"/>
        <v>5.4308114177000329E-2</v>
      </c>
      <c r="J29" s="27">
        <f t="shared" si="14"/>
        <v>0.51384902442266012</v>
      </c>
      <c r="K29" s="27">
        <f>SUM(K20:K28)</f>
        <v>1</v>
      </c>
      <c r="L29" s="24">
        <f>L16</f>
        <v>289376340</v>
      </c>
      <c r="M29" s="26">
        <f>SUM(M20:M28)</f>
        <v>1</v>
      </c>
      <c r="O29" s="12" t="s">
        <v>10</v>
      </c>
      <c r="P29" s="28">
        <f t="shared" si="9"/>
        <v>0</v>
      </c>
      <c r="Q29" s="40">
        <f t="shared" si="10"/>
        <v>1</v>
      </c>
      <c r="R29" s="40">
        <f t="shared" si="11"/>
        <v>1</v>
      </c>
      <c r="S29" s="28">
        <f t="shared" si="7"/>
        <v>0</v>
      </c>
      <c r="T29" s="40">
        <f t="shared" si="12"/>
        <v>1</v>
      </c>
      <c r="U29" s="40">
        <f t="shared" si="13"/>
        <v>1</v>
      </c>
    </row>
    <row r="31" spans="1:21" x14ac:dyDescent="0.2">
      <c r="E31" s="33" t="s">
        <v>49</v>
      </c>
      <c r="J31" s="33" t="s">
        <v>22</v>
      </c>
    </row>
    <row r="32" spans="1:21" x14ac:dyDescent="0.2">
      <c r="E32" s="24"/>
      <c r="F32" s="38" t="s">
        <v>24</v>
      </c>
      <c r="G32" s="38" t="s">
        <v>23</v>
      </c>
      <c r="H32" s="38" t="s">
        <v>25</v>
      </c>
      <c r="J32" s="24"/>
      <c r="K32" s="38" t="s">
        <v>23</v>
      </c>
      <c r="L32" s="38" t="s">
        <v>24</v>
      </c>
      <c r="M32" s="38" t="s">
        <v>25</v>
      </c>
      <c r="O32" s="24"/>
      <c r="P32" s="38" t="s">
        <v>127</v>
      </c>
      <c r="Q32" s="11" t="s">
        <v>129</v>
      </c>
      <c r="R32" s="11" t="s">
        <v>128</v>
      </c>
      <c r="S32" s="173"/>
    </row>
    <row r="33" spans="5:19" x14ac:dyDescent="0.2">
      <c r="E33" s="36" t="s">
        <v>2</v>
      </c>
      <c r="F33" s="30">
        <f>'UA PA'!F8</f>
        <v>0.9</v>
      </c>
      <c r="G33" s="30">
        <f>'UA PA'!G8</f>
        <v>0.97826086956521741</v>
      </c>
      <c r="J33" s="36" t="s">
        <v>2</v>
      </c>
      <c r="K33" s="30">
        <f>B20/B29</f>
        <v>0.99275254840265215</v>
      </c>
      <c r="L33" s="30">
        <f>B20/K20</f>
        <v>0.89999999999999991</v>
      </c>
      <c r="M33" s="30"/>
      <c r="O33" s="15" t="s">
        <v>25</v>
      </c>
      <c r="P33" s="1">
        <f>2*(R16)^0.5</f>
        <v>2.6674878561422346E-5</v>
      </c>
      <c r="Q33" s="30">
        <f>M42-P33</f>
        <v>0.93788580158276902</v>
      </c>
      <c r="R33" s="30">
        <f>M42+P33</f>
        <v>0.93793915133989192</v>
      </c>
      <c r="S33" s="30"/>
    </row>
    <row r="34" spans="5:19" x14ac:dyDescent="0.2">
      <c r="E34" s="36" t="s">
        <v>3</v>
      </c>
      <c r="F34" s="30">
        <f>'UA PA'!F9</f>
        <v>1</v>
      </c>
      <c r="G34" s="30">
        <f>'UA PA'!G9</f>
        <v>1</v>
      </c>
      <c r="J34" s="36" t="s">
        <v>3</v>
      </c>
      <c r="K34" s="30">
        <f>C21/C29</f>
        <v>1</v>
      </c>
      <c r="L34" s="30">
        <f>C21/K21</f>
        <v>1</v>
      </c>
      <c r="M34" s="30"/>
    </row>
    <row r="35" spans="5:19" x14ac:dyDescent="0.2">
      <c r="E35" s="36" t="s">
        <v>4</v>
      </c>
      <c r="F35" s="30">
        <f>'UA PA'!F10</f>
        <v>0.8545454545454545</v>
      </c>
      <c r="G35" s="30">
        <f>'UA PA'!G10</f>
        <v>0.90384615384615385</v>
      </c>
      <c r="J35" s="36" t="s">
        <v>4</v>
      </c>
      <c r="K35" s="30">
        <f>D22/D29</f>
        <v>0.68512075883208567</v>
      </c>
      <c r="L35" s="30">
        <f>D22/K22</f>
        <v>0.85454545454545439</v>
      </c>
      <c r="M35" s="30"/>
    </row>
    <row r="36" spans="5:19" x14ac:dyDescent="0.2">
      <c r="E36" s="36" t="s">
        <v>5</v>
      </c>
      <c r="F36" s="30">
        <f>'UA PA'!F11</f>
        <v>0.9375</v>
      </c>
      <c r="G36" s="30">
        <f>'UA PA'!G11</f>
        <v>0.9375</v>
      </c>
      <c r="J36" s="36" t="s">
        <v>5</v>
      </c>
      <c r="K36" s="30">
        <f>E23/E29</f>
        <v>0.67955712137345281</v>
      </c>
      <c r="L36" s="30">
        <f>E23/K23</f>
        <v>0.9375</v>
      </c>
      <c r="M36" s="30"/>
    </row>
    <row r="37" spans="5:19" x14ac:dyDescent="0.2">
      <c r="E37" s="37" t="s">
        <v>6</v>
      </c>
      <c r="F37" s="30">
        <f>'UA PA'!F12</f>
        <v>0.77142857142857146</v>
      </c>
      <c r="G37" s="30">
        <f>'UA PA'!G12</f>
        <v>0.6428571428571429</v>
      </c>
      <c r="J37" s="37" t="s">
        <v>6</v>
      </c>
      <c r="K37" s="30">
        <f>F24/F29</f>
        <v>0.86182774366964099</v>
      </c>
      <c r="L37" s="30">
        <f>F24/K24</f>
        <v>0.77142857142857146</v>
      </c>
      <c r="M37" s="30"/>
    </row>
    <row r="38" spans="5:19" x14ac:dyDescent="0.2">
      <c r="E38" s="36" t="s">
        <v>7</v>
      </c>
      <c r="F38" s="30">
        <f>'UA PA'!F13</f>
        <v>0.90410958904109584</v>
      </c>
      <c r="G38" s="30">
        <f>'UA PA'!G13</f>
        <v>0.95652173913043481</v>
      </c>
      <c r="J38" s="36" t="s">
        <v>7</v>
      </c>
      <c r="K38" s="30">
        <f>G25/G29</f>
        <v>0.93338362142390885</v>
      </c>
      <c r="L38" s="30">
        <f>G25/K25</f>
        <v>0.90410958904109595</v>
      </c>
      <c r="M38" s="30"/>
    </row>
    <row r="39" spans="5:19" x14ac:dyDescent="0.2">
      <c r="E39" s="36" t="s">
        <v>8</v>
      </c>
      <c r="F39" s="30">
        <f>'UA PA'!F14</f>
        <v>1</v>
      </c>
      <c r="G39" s="30">
        <f>'UA PA'!G14</f>
        <v>1</v>
      </c>
      <c r="J39" s="36" t="s">
        <v>8</v>
      </c>
      <c r="K39" s="30">
        <f>H26/H29</f>
        <v>1</v>
      </c>
      <c r="L39" s="30">
        <f>H26/K26</f>
        <v>1</v>
      </c>
      <c r="M39" s="30"/>
    </row>
    <row r="40" spans="5:19" x14ac:dyDescent="0.2">
      <c r="E40" s="36" t="s">
        <v>9</v>
      </c>
      <c r="F40" s="30">
        <f>'UA PA'!F15</f>
        <v>0.96250000000000002</v>
      </c>
      <c r="G40" s="30">
        <f>'UA PA'!G15</f>
        <v>0.91666666666666663</v>
      </c>
      <c r="J40" s="36" t="s">
        <v>9</v>
      </c>
      <c r="K40" s="30">
        <f>I27/I29</f>
        <v>0.94527068889827859</v>
      </c>
      <c r="L40" s="30">
        <f>I27/K27</f>
        <v>0.96250000000000002</v>
      </c>
      <c r="M40" s="30"/>
    </row>
    <row r="41" spans="5:19" x14ac:dyDescent="0.2">
      <c r="E41" s="39" t="s">
        <v>10</v>
      </c>
      <c r="F41" s="40">
        <f>'UA PA'!F16</f>
        <v>1</v>
      </c>
      <c r="G41" s="40">
        <f>'UA PA'!G16</f>
        <v>1</v>
      </c>
      <c r="H41" s="28"/>
      <c r="J41" s="39" t="s">
        <v>10</v>
      </c>
      <c r="K41" s="40">
        <f>J28/J29</f>
        <v>1</v>
      </c>
      <c r="L41" s="40">
        <f>J28/K28</f>
        <v>1</v>
      </c>
      <c r="M41" s="40"/>
    </row>
    <row r="42" spans="5:19" x14ac:dyDescent="0.2">
      <c r="H42" s="30">
        <f>OA!D9</f>
        <v>0.93894389438943893</v>
      </c>
      <c r="M42" s="30">
        <f>B20+C21+D22+E23+F24+G25+H26+I27+J28</f>
        <v>0.93791247646133047</v>
      </c>
    </row>
  </sheetData>
  <mergeCells count="2">
    <mergeCell ref="P19:R19"/>
    <mergeCell ref="S19:U19"/>
  </mergeCells>
  <pageMargins left="0.7" right="0.7" top="0.75" bottom="0.75" header="0.3" footer="0.3"/>
  <ignoredErrors>
    <ignoredError sqref="L29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U42"/>
  <sheetViews>
    <sheetView zoomScale="90" zoomScaleNormal="90" workbookViewId="0"/>
  </sheetViews>
  <sheetFormatPr baseColWidth="10" defaultRowHeight="15" x14ac:dyDescent="0.2"/>
  <cols>
    <col min="1" max="12" width="10.83203125" style="1" customWidth="1"/>
    <col min="13" max="14" width="10.83203125" style="1"/>
    <col min="15" max="21" width="12.83203125" style="1" customWidth="1"/>
    <col min="22" max="16384" width="10.83203125" style="1"/>
  </cols>
  <sheetData>
    <row r="1" spans="1:19" ht="19" x14ac:dyDescent="0.25">
      <c r="A1" s="3" t="s">
        <v>82</v>
      </c>
    </row>
    <row r="3" spans="1:19" ht="16" x14ac:dyDescent="0.2">
      <c r="A3" s="19" t="s">
        <v>14</v>
      </c>
    </row>
    <row r="5" spans="1:19" ht="15" customHeight="1" x14ac:dyDescent="0.2">
      <c r="A5" s="32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4"/>
      <c r="O5" s="32" t="s">
        <v>125</v>
      </c>
    </row>
    <row r="6" spans="1:19" ht="15" customHeight="1" x14ac:dyDescent="0.2">
      <c r="A6" s="10"/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0</v>
      </c>
      <c r="L6" s="11" t="s">
        <v>18</v>
      </c>
      <c r="M6" s="11" t="s">
        <v>19</v>
      </c>
      <c r="O6" s="10"/>
      <c r="P6" s="11" t="s">
        <v>23</v>
      </c>
      <c r="Q6" s="11" t="s">
        <v>24</v>
      </c>
      <c r="R6" s="11" t="s">
        <v>25</v>
      </c>
      <c r="S6" s="173"/>
    </row>
    <row r="7" spans="1:19" x14ac:dyDescent="0.2">
      <c r="A7" s="15" t="s">
        <v>2</v>
      </c>
      <c r="B7" s="16">
        <f t="array" ref="B7:J15">TRANSPOSE('Error Matrix'!B7:J15)</f>
        <v>57</v>
      </c>
      <c r="C7" s="16">
        <v>4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4">
        <f>SUM(B7:J7)</f>
        <v>61</v>
      </c>
      <c r="L7" s="110">
        <f>Sampling!Q21</f>
        <v>37506784</v>
      </c>
      <c r="M7" s="18">
        <f>L7/$L$16</f>
        <v>0.1296124762653367</v>
      </c>
      <c r="O7" s="15" t="s">
        <v>2</v>
      </c>
      <c r="P7" s="135">
        <f>B20*(B29^-4)*(B20*((B21*(M21-B21)/(M21*$L$29))+(B22*(M22-B22)/(M22*$L$29))+(B23*(M23-B23)/(M23*$L$29))+(B24*(M24-B24)/(M24*$L$29))+(B25*(M25-B25)/(M25*$L$29))+(B26*(M26-B26)/(M26*$L$29))+(B27*(M27-B27)/(M27*$L$29))+(B28*(M28-B28)/(M28*$L$29)))+(M20-B20)*((B29-B20)^2)/(M20*$L$29))</f>
        <v>2.7250932982065472E-10</v>
      </c>
      <c r="Q7" s="1">
        <f>(B20*(M20-B20))/((M20^2)*$L$29)</f>
        <v>2.1174450929641164E-10</v>
      </c>
    </row>
    <row r="8" spans="1:19" x14ac:dyDescent="0.2">
      <c r="A8" s="15" t="s">
        <v>3</v>
      </c>
      <c r="B8" s="16">
        <v>0</v>
      </c>
      <c r="C8" s="16">
        <v>114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4">
        <f t="shared" ref="K8:K15" si="0">SUM(B8:J8)</f>
        <v>114</v>
      </c>
      <c r="L8" s="110">
        <f>Sampling!Q7</f>
        <v>6663330</v>
      </c>
      <c r="M8" s="18">
        <f t="shared" ref="M8:M15" si="1">L8/$L$16</f>
        <v>2.3026519721688374E-2</v>
      </c>
      <c r="O8" s="15" t="s">
        <v>3</v>
      </c>
      <c r="P8" s="1">
        <f>C21*(C29^-4)*(C21*((C20*(M20-C20)/(M20*$L$29))+(C22*(M22-C22)/(M22*$L$29))+(C23*(M23-C23)/(M23*$L$29))+(C24*(M24-C24)/(M24*$L$29))+(C25*(M25-C25)/(M25*$L$29))+(C26*(M26-C26)/(M26*$L$29))+(C27*(M27-C27)/(M27*$L$29))+(C28*(M28-C28)/(M28*$L$29)))+(M21-C21)*((C29-C21)^2)/(M21*$L$29))</f>
        <v>1.2044621340324161E-8</v>
      </c>
      <c r="Q8" s="1">
        <f>(C21*(M20-C21))/((M21^2)*$L$29)</f>
        <v>1.599589942921157E-8</v>
      </c>
    </row>
    <row r="9" spans="1:19" x14ac:dyDescent="0.2">
      <c r="A9" s="15" t="s">
        <v>4</v>
      </c>
      <c r="B9" s="16">
        <v>7</v>
      </c>
      <c r="C9" s="16">
        <v>0</v>
      </c>
      <c r="D9" s="16">
        <v>74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4">
        <f t="shared" si="0"/>
        <v>81</v>
      </c>
      <c r="L9" s="110">
        <f>Sampling!Q8</f>
        <v>4424256</v>
      </c>
      <c r="M9" s="18">
        <f t="shared" si="1"/>
        <v>1.52889348175459E-2</v>
      </c>
      <c r="O9" s="15" t="s">
        <v>4</v>
      </c>
      <c r="P9" s="1">
        <f>D22*(D29^-4)*(D22*((D20*(M20-D20)/(M20*$L$29))+(D21*(M21-D21)/(M21*$L$29))+(D23*(M23-D23)/(M23*$L$29))+(D24*(M24-D24)/(M24*$L$29))+(D25*(M25-D25)/(M25*$L$29))+(D26*(M26-D26)/(M26*$L$29))+(D27*(M27-D27)/(M27*$L$29))+(D28*(M28-D28)/(M28*$L$29)))+(M22-D22)*((D29-D22)^2)/(M22*$L$29))</f>
        <v>0</v>
      </c>
      <c r="Q9" s="1">
        <f>(D22*(M22-D22))/((M22^2)*$L$29)</f>
        <v>2.7283287694806692E-10</v>
      </c>
    </row>
    <row r="10" spans="1:19" x14ac:dyDescent="0.2">
      <c r="A10" s="15" t="s">
        <v>5</v>
      </c>
      <c r="B10" s="16">
        <v>0</v>
      </c>
      <c r="C10" s="16">
        <v>0</v>
      </c>
      <c r="D10" s="16">
        <v>0</v>
      </c>
      <c r="E10" s="16">
        <v>75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4">
        <f t="shared" si="0"/>
        <v>75</v>
      </c>
      <c r="L10" s="110">
        <f>Sampling!Q9</f>
        <v>8073731</v>
      </c>
      <c r="M10" s="18">
        <f t="shared" si="1"/>
        <v>2.7900453091638383E-2</v>
      </c>
      <c r="O10" s="15" t="s">
        <v>5</v>
      </c>
      <c r="P10" s="1">
        <f>E23*(E29^-4)*(E23*(0)+(M23-E23)*((E29-E23)^2)/(M23*$L$29))</f>
        <v>0</v>
      </c>
      <c r="Q10" s="183">
        <f>(E23*(M23-E23))/((M23^2)*$L$29)</f>
        <v>4.2972040460025405E-25</v>
      </c>
    </row>
    <row r="11" spans="1:19" x14ac:dyDescent="0.2">
      <c r="A11" s="15" t="s">
        <v>6</v>
      </c>
      <c r="B11" s="16">
        <v>0</v>
      </c>
      <c r="C11" s="16">
        <v>1</v>
      </c>
      <c r="D11" s="16">
        <v>0</v>
      </c>
      <c r="E11" s="16">
        <v>0</v>
      </c>
      <c r="F11" s="16">
        <v>15</v>
      </c>
      <c r="G11" s="16">
        <v>3</v>
      </c>
      <c r="H11" s="16">
        <v>0</v>
      </c>
      <c r="I11" s="16">
        <v>4</v>
      </c>
      <c r="J11" s="16">
        <v>0</v>
      </c>
      <c r="K11" s="14">
        <f t="shared" si="0"/>
        <v>23</v>
      </c>
      <c r="L11" s="110">
        <f>Sampling!Q10</f>
        <v>48437465</v>
      </c>
      <c r="M11" s="18">
        <f t="shared" si="1"/>
        <v>0.16738571301302657</v>
      </c>
      <c r="O11" s="15" t="s">
        <v>6</v>
      </c>
      <c r="P11" s="1">
        <f>F24*(F29^-4)*(F24*((F20*(M20-F20)/(M20*$L$29))+(F21*(M21-F21)/(M21*$L$29))+(F22*(M22-F22)/(M22*$L$29))+(F23*(M23-F23)/(M23*$L$29))+(F25*(M25-F25)/(M25*$L$29))+(F26*(M26-F26)/(M26*$L$29))+(F27*(M27-F27)/(M27*$L$29))+(F28*(M28-F28)/(M28*$L$29)))+(M24-F24)*((F29-F24)^2)/(M24*$L$29))</f>
        <v>3.6218849170014336E-10</v>
      </c>
      <c r="Q11" s="1">
        <f>(F24*(M24-F24))/((M24^2)*$L$29)</f>
        <v>7.8390341169231707E-10</v>
      </c>
    </row>
    <row r="12" spans="1:19" x14ac:dyDescent="0.2">
      <c r="A12" s="15" t="s">
        <v>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52</v>
      </c>
      <c r="H12" s="16">
        <v>0</v>
      </c>
      <c r="I12" s="16">
        <v>14</v>
      </c>
      <c r="J12" s="16">
        <v>0</v>
      </c>
      <c r="K12" s="14">
        <f t="shared" si="0"/>
        <v>66</v>
      </c>
      <c r="L12" s="110">
        <f>Sampling!Q11</f>
        <v>14645718</v>
      </c>
      <c r="M12" s="18">
        <f t="shared" si="1"/>
        <v>5.0611318119511778E-2</v>
      </c>
      <c r="O12" s="15" t="s">
        <v>7</v>
      </c>
      <c r="P12" s="1">
        <f>G25*(G29^-4)*(G25*((G20*(M20-G20)/(M20*$L$29))+(G21*(M21-G21)/(M21*$L$29))+(G22*(M22-G22)/(M22*$L$29))+(G23*(M23-G23)/(M23*$L$29))+(G24*(M24-G24)/(M24*$L$29))+(G26*(M26-G26)/(M26*$L$29))+(G27*(M27-G27)/(M27*$L$29))+(G28*(M28-G28)/(M28*$L$29)))+(M25-G25)*((G29-G25)^2)/(M25*$L$29))</f>
        <v>7.9873693627613257E-9</v>
      </c>
      <c r="Q12" s="1">
        <f>(G25*(M25-G25))/((M25^2)*$L$29)</f>
        <v>5.7753789922645327E-10</v>
      </c>
    </row>
    <row r="13" spans="1:19" x14ac:dyDescent="0.2">
      <c r="A13" s="15" t="s">
        <v>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37</v>
      </c>
      <c r="I13" s="16">
        <v>3</v>
      </c>
      <c r="J13" s="16">
        <v>0</v>
      </c>
      <c r="K13" s="14">
        <f t="shared" si="0"/>
        <v>40</v>
      </c>
      <c r="L13" s="110">
        <f>Sampling!Q12</f>
        <v>2135976</v>
      </c>
      <c r="M13" s="18">
        <f t="shared" si="1"/>
        <v>7.3813083681962387E-3</v>
      </c>
      <c r="O13" s="15" t="s">
        <v>8</v>
      </c>
      <c r="P13" s="1">
        <f>H26*(H29^-4)*(H26*((H20*(M20-H20)/(M20*$L$29))+(H21*(M21-H21)/(M21*$L$29))+(H22*(M22-H22)/(M22*$L$29))+(H23*(M23-H23)/(M23*$L$29))+(H24*(M24-H24)/(M24*$L$29))+(H25*(M25-H25)/(M25*$L$29))+(H27*(M27-H27)/(M27*$L$29))+(H28*(M28-H28)/(M28*$L$29)))+(M26-H26)*((H29-H26)^2)/(M26*$L$29))</f>
        <v>3.8429312614270986E-8</v>
      </c>
      <c r="Q13" s="1">
        <f>(H26*(M26-H26))/((M26^2)*$L$29)</f>
        <v>2.3973971057896449E-10</v>
      </c>
    </row>
    <row r="14" spans="1:19" x14ac:dyDescent="0.2">
      <c r="A14" s="15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2</v>
      </c>
      <c r="G14" s="16">
        <v>3</v>
      </c>
      <c r="H14" s="16">
        <v>8</v>
      </c>
      <c r="I14" s="16">
        <v>86</v>
      </c>
      <c r="J14" s="16">
        <v>0</v>
      </c>
      <c r="K14" s="14">
        <f t="shared" si="0"/>
        <v>99</v>
      </c>
      <c r="L14" s="110">
        <f>Sampling!Q13</f>
        <v>19084875</v>
      </c>
      <c r="M14" s="18">
        <f t="shared" si="1"/>
        <v>6.5951746435109385E-2</v>
      </c>
      <c r="O14" s="15" t="s">
        <v>9</v>
      </c>
      <c r="P14" s="1">
        <f>I27*(I29^-4)*(I27*((I20*(M20-I20)/(M20*$L$29))+(I21*(M21-I21)/(M21*$L$29))+(I22*(M22-I22)/(M22*$L$29))+(I23*(M23-I23)/(M23*$L$29))+(I24*(M24-I24)/(M24*$L$29))+(I25*(M25-I25)/(M25*$L$29))+(I26*(M26-I26)/(M26*$L$29))+(I28*(M28-I28)/(M28*$L$29)))+(M27-I27)*((I29-I27)^2)/(M27*$L$29))</f>
        <v>4.5778314794111922E-9</v>
      </c>
      <c r="Q14" s="1">
        <f>(I27*(M27-I27))/((M27^2)*$L$29)</f>
        <v>3.9419253439265864E-10</v>
      </c>
    </row>
    <row r="15" spans="1:19" x14ac:dyDescent="0.2">
      <c r="A15" s="15" t="s">
        <v>10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73</v>
      </c>
      <c r="K15" s="14">
        <f t="shared" si="0"/>
        <v>73</v>
      </c>
      <c r="L15" s="110">
        <f>Sampling!Q29</f>
        <v>148404205</v>
      </c>
      <c r="M15" s="18">
        <f t="shared" si="1"/>
        <v>0.51284153016794665</v>
      </c>
      <c r="O15" s="12" t="s">
        <v>10</v>
      </c>
      <c r="P15" s="28">
        <f>J28*(J29^-4)*(J28*((J20*(M20-J20)/(M20*$L$29))+(J21*(M21-J21)/(M21*$L$29))+(J22*(M22-J22)/(M22*$L$29))+(J23*(M23-J23)/(M23*$L$29))+(J24*(M24-J24)/(M24*$L$29))+(J25*(M25-J25)/(M25*$L$29))+(J26*(M26-J26)/(M26*$L$29))+(J27*(M27-J27)/(M27*$L$29)))+(M28-J28)*((J29-J28)^2)/(M28*$L$29))</f>
        <v>0</v>
      </c>
      <c r="Q15" s="28">
        <f>(J28*(M28-J28))/((M28^2)*$L$29)</f>
        <v>0</v>
      </c>
      <c r="R15" s="28"/>
      <c r="S15" s="14"/>
    </row>
    <row r="16" spans="1:19" ht="15" customHeight="1" x14ac:dyDescent="0.2">
      <c r="A16" s="23" t="s">
        <v>0</v>
      </c>
      <c r="B16" s="24">
        <f>SUM(B7:B15)</f>
        <v>64</v>
      </c>
      <c r="C16" s="24">
        <f t="shared" ref="C16:J16" si="2">SUM(C7:C15)</f>
        <v>119</v>
      </c>
      <c r="D16" s="24">
        <f t="shared" si="2"/>
        <v>74</v>
      </c>
      <c r="E16" s="24">
        <f t="shared" si="2"/>
        <v>75</v>
      </c>
      <c r="F16" s="24">
        <f t="shared" si="2"/>
        <v>17</v>
      </c>
      <c r="G16" s="24">
        <f t="shared" si="2"/>
        <v>58</v>
      </c>
      <c r="H16" s="24">
        <f t="shared" si="2"/>
        <v>45</v>
      </c>
      <c r="I16" s="24">
        <f t="shared" si="2"/>
        <v>107</v>
      </c>
      <c r="J16" s="24">
        <f t="shared" si="2"/>
        <v>73</v>
      </c>
      <c r="K16" s="24">
        <f>SUM(K7:K15)</f>
        <v>632</v>
      </c>
      <c r="L16" s="25">
        <f>SUM(L7:L15)</f>
        <v>289376340</v>
      </c>
      <c r="M16" s="26">
        <f>SUM(M7:M15)</f>
        <v>1</v>
      </c>
      <c r="R16" s="1">
        <f>((B20*((M20-B20)/(M20*L29)))+(C21*((M21-C21)/(M21*L29)))+(D22*((M22-D22)/(M22*L29)))+(E23*((M23-E23)/(M23*L29)))+(F24*((M24-F24)/(M24*L29)))+(G25*((M25-G25)/(M25*L29)))+(H26*((M26-H26)/(M26*L29)))+(I27*((M27-I27)/(M27*L29)))+(J28*((M28-J28)/(M28*L29))))</f>
        <v>2.1982751890728944E-10</v>
      </c>
    </row>
    <row r="18" spans="1:21" x14ac:dyDescent="0.2">
      <c r="A18" s="32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4"/>
      <c r="O18" s="32" t="s">
        <v>126</v>
      </c>
    </row>
    <row r="19" spans="1:21" x14ac:dyDescent="0.2">
      <c r="A19" s="10"/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  <c r="J19" s="11" t="s">
        <v>10</v>
      </c>
      <c r="K19" s="11" t="s">
        <v>0</v>
      </c>
      <c r="L19" s="11" t="s">
        <v>18</v>
      </c>
      <c r="M19" s="11" t="s">
        <v>19</v>
      </c>
      <c r="O19" s="151"/>
      <c r="P19" s="203" t="s">
        <v>23</v>
      </c>
      <c r="Q19" s="203"/>
      <c r="R19" s="203"/>
      <c r="S19" s="203" t="s">
        <v>24</v>
      </c>
      <c r="T19" s="203"/>
      <c r="U19" s="203"/>
    </row>
    <row r="20" spans="1:21" x14ac:dyDescent="0.2">
      <c r="A20" s="15" t="s">
        <v>2</v>
      </c>
      <c r="B20" s="20">
        <f>$M7*B7/$K7</f>
        <v>0.12111329749383921</v>
      </c>
      <c r="C20" s="20">
        <f t="shared" ref="C20:J21" si="3">$M7*C7/$K7</f>
        <v>8.4991787714974888E-3</v>
      </c>
      <c r="D20" s="20">
        <f t="shared" si="3"/>
        <v>0</v>
      </c>
      <c r="E20" s="20">
        <f t="shared" si="3"/>
        <v>0</v>
      </c>
      <c r="F20" s="20">
        <f t="shared" si="3"/>
        <v>0</v>
      </c>
      <c r="G20" s="20">
        <f t="shared" si="3"/>
        <v>0</v>
      </c>
      <c r="H20" s="20">
        <f t="shared" si="3"/>
        <v>0</v>
      </c>
      <c r="I20" s="20">
        <f t="shared" si="3"/>
        <v>0</v>
      </c>
      <c r="J20" s="20">
        <f t="shared" si="3"/>
        <v>0</v>
      </c>
      <c r="K20" s="21">
        <f>SUM(B20:J20)</f>
        <v>0.1296124762653367</v>
      </c>
      <c r="L20" s="1">
        <f>L7</f>
        <v>37506784</v>
      </c>
      <c r="M20" s="18">
        <f>L20/$L$29</f>
        <v>0.1296124762653367</v>
      </c>
      <c r="O20" s="174"/>
      <c r="P20" s="11" t="s">
        <v>127</v>
      </c>
      <c r="Q20" s="11" t="s">
        <v>129</v>
      </c>
      <c r="R20" s="11" t="s">
        <v>128</v>
      </c>
      <c r="S20" s="11" t="s">
        <v>127</v>
      </c>
      <c r="T20" s="11" t="s">
        <v>129</v>
      </c>
      <c r="U20" s="11" t="s">
        <v>128</v>
      </c>
    </row>
    <row r="21" spans="1:21" x14ac:dyDescent="0.2">
      <c r="A21" s="15" t="s">
        <v>3</v>
      </c>
      <c r="B21" s="20">
        <f>$M8*B8/$K8</f>
        <v>0</v>
      </c>
      <c r="C21" s="20">
        <f t="shared" si="3"/>
        <v>2.3026519721688374E-2</v>
      </c>
      <c r="D21" s="20">
        <f t="shared" si="3"/>
        <v>0</v>
      </c>
      <c r="E21" s="20">
        <f t="shared" si="3"/>
        <v>0</v>
      </c>
      <c r="F21" s="20">
        <f t="shared" si="3"/>
        <v>0</v>
      </c>
      <c r="G21" s="20">
        <f t="shared" si="3"/>
        <v>0</v>
      </c>
      <c r="H21" s="20">
        <f t="shared" si="3"/>
        <v>0</v>
      </c>
      <c r="I21" s="20">
        <f t="shared" si="3"/>
        <v>0</v>
      </c>
      <c r="J21" s="20">
        <f t="shared" si="3"/>
        <v>0</v>
      </c>
      <c r="K21" s="21">
        <f t="shared" ref="K21:K28" si="4">SUM(B21:J21)</f>
        <v>2.3026519721688374E-2</v>
      </c>
      <c r="L21" s="1">
        <f t="shared" ref="L21:L28" si="5">L8</f>
        <v>6663330</v>
      </c>
      <c r="M21" s="18">
        <f t="shared" ref="M21:M28" si="6">L21/$L$29</f>
        <v>2.3026519721688374E-2</v>
      </c>
      <c r="O21" s="15" t="s">
        <v>2</v>
      </c>
      <c r="P21" s="1">
        <f>2*(P7^0.5)</f>
        <v>3.3015713217839458E-5</v>
      </c>
      <c r="Q21" s="30">
        <f>K33-P21</f>
        <v>0.98917537500190444</v>
      </c>
      <c r="R21" s="30">
        <f>K33+P21</f>
        <v>0.98924140642834002</v>
      </c>
      <c r="S21" s="1">
        <f t="shared" ref="S21:S29" si="7">2*(Q7^0.5)</f>
        <v>2.91028870936484E-5</v>
      </c>
      <c r="T21" s="30">
        <f>L33-S21</f>
        <v>0.93439712662110308</v>
      </c>
      <c r="U21" s="30">
        <f>L33+S21</f>
        <v>0.93445533239529044</v>
      </c>
    </row>
    <row r="22" spans="1:21" x14ac:dyDescent="0.2">
      <c r="A22" s="15" t="s">
        <v>4</v>
      </c>
      <c r="B22" s="20">
        <f t="shared" ref="B22:J28" si="8">$M9*B9/$K9</f>
        <v>1.3212659718866827E-3</v>
      </c>
      <c r="C22" s="20">
        <f t="shared" si="8"/>
        <v>0</v>
      </c>
      <c r="D22" s="20">
        <f t="shared" si="8"/>
        <v>1.3967668845659217E-2</v>
      </c>
      <c r="E22" s="20">
        <f t="shared" si="8"/>
        <v>0</v>
      </c>
      <c r="F22" s="20">
        <f t="shared" si="8"/>
        <v>0</v>
      </c>
      <c r="G22" s="20">
        <f t="shared" si="8"/>
        <v>0</v>
      </c>
      <c r="H22" s="20">
        <f t="shared" si="8"/>
        <v>0</v>
      </c>
      <c r="I22" s="20">
        <f t="shared" si="8"/>
        <v>0</v>
      </c>
      <c r="J22" s="20">
        <f t="shared" si="8"/>
        <v>0</v>
      </c>
      <c r="K22" s="21">
        <f t="shared" si="4"/>
        <v>1.52889348175459E-2</v>
      </c>
      <c r="L22" s="1">
        <f t="shared" si="5"/>
        <v>4424256</v>
      </c>
      <c r="M22" s="18">
        <f t="shared" si="6"/>
        <v>1.52889348175459E-2</v>
      </c>
      <c r="O22" s="15" t="s">
        <v>3</v>
      </c>
      <c r="P22" s="1">
        <f t="shared" ref="P22:P29" si="9">2*(P8^0.5)</f>
        <v>2.1949598028505362E-4</v>
      </c>
      <c r="Q22" s="30">
        <f t="shared" ref="Q22:Q29" si="10">K34-P22</f>
        <v>0.59319645213461114</v>
      </c>
      <c r="R22" s="30">
        <f t="shared" ref="R22:R29" si="11">K34+P22</f>
        <v>0.59363544409518121</v>
      </c>
      <c r="S22" s="1">
        <f t="shared" si="7"/>
        <v>2.529497928776505E-4</v>
      </c>
      <c r="T22" s="30">
        <f t="shared" ref="T22:T29" si="12">L34-S22</f>
        <v>0.9997470502071224</v>
      </c>
      <c r="U22" s="30">
        <f t="shared" ref="U22:U29" si="13">L34+S22</f>
        <v>1.0002529497928776</v>
      </c>
    </row>
    <row r="23" spans="1:21" x14ac:dyDescent="0.2">
      <c r="A23" s="15" t="s">
        <v>5</v>
      </c>
      <c r="B23" s="20">
        <f t="shared" si="8"/>
        <v>0</v>
      </c>
      <c r="C23" s="20">
        <f t="shared" si="8"/>
        <v>0</v>
      </c>
      <c r="D23" s="20">
        <f t="shared" si="8"/>
        <v>0</v>
      </c>
      <c r="E23" s="20">
        <f t="shared" si="8"/>
        <v>2.790045309163838E-2</v>
      </c>
      <c r="F23" s="20">
        <f t="shared" si="8"/>
        <v>0</v>
      </c>
      <c r="G23" s="20">
        <f t="shared" si="8"/>
        <v>0</v>
      </c>
      <c r="H23" s="20">
        <f t="shared" si="8"/>
        <v>0</v>
      </c>
      <c r="I23" s="20">
        <f t="shared" si="8"/>
        <v>0</v>
      </c>
      <c r="J23" s="20">
        <f t="shared" si="8"/>
        <v>0</v>
      </c>
      <c r="K23" s="21">
        <f t="shared" si="4"/>
        <v>2.790045309163838E-2</v>
      </c>
      <c r="L23" s="1">
        <f t="shared" si="5"/>
        <v>8073731</v>
      </c>
      <c r="M23" s="18">
        <f t="shared" si="6"/>
        <v>2.7900453091638383E-2</v>
      </c>
      <c r="O23" s="15" t="s">
        <v>4</v>
      </c>
      <c r="P23" s="1">
        <f t="shared" si="9"/>
        <v>0</v>
      </c>
      <c r="Q23" s="30">
        <f t="shared" si="10"/>
        <v>1</v>
      </c>
      <c r="R23" s="30">
        <f t="shared" si="11"/>
        <v>1</v>
      </c>
      <c r="S23" s="1">
        <f t="shared" si="7"/>
        <v>3.3035306988013106E-5</v>
      </c>
      <c r="T23" s="30">
        <f t="shared" si="12"/>
        <v>0.91354721160659225</v>
      </c>
      <c r="U23" s="30">
        <f t="shared" si="13"/>
        <v>0.91361328222056837</v>
      </c>
    </row>
    <row r="24" spans="1:21" x14ac:dyDescent="0.2">
      <c r="A24" s="15" t="s">
        <v>6</v>
      </c>
      <c r="B24" s="20">
        <f t="shared" si="8"/>
        <v>0</v>
      </c>
      <c r="C24" s="20">
        <f t="shared" si="8"/>
        <v>7.2776396962185462E-3</v>
      </c>
      <c r="D24" s="20">
        <f t="shared" si="8"/>
        <v>0</v>
      </c>
      <c r="E24" s="20">
        <f t="shared" si="8"/>
        <v>0</v>
      </c>
      <c r="F24" s="20">
        <f t="shared" si="8"/>
        <v>0.1091645954432782</v>
      </c>
      <c r="G24" s="20">
        <f t="shared" si="8"/>
        <v>2.1832919088655641E-2</v>
      </c>
      <c r="H24" s="20">
        <f t="shared" si="8"/>
        <v>0</v>
      </c>
      <c r="I24" s="20">
        <f t="shared" si="8"/>
        <v>2.9110558784874185E-2</v>
      </c>
      <c r="J24" s="20">
        <f t="shared" si="8"/>
        <v>0</v>
      </c>
      <c r="K24" s="21">
        <f t="shared" si="4"/>
        <v>0.16738571301302654</v>
      </c>
      <c r="L24" s="1">
        <f t="shared" si="5"/>
        <v>48437465</v>
      </c>
      <c r="M24" s="18">
        <f t="shared" si="6"/>
        <v>0.16738571301302657</v>
      </c>
      <c r="O24" s="15" t="s">
        <v>5</v>
      </c>
      <c r="P24" s="1">
        <f t="shared" si="9"/>
        <v>0</v>
      </c>
      <c r="Q24" s="30">
        <f t="shared" si="10"/>
        <v>1</v>
      </c>
      <c r="R24" s="30">
        <f t="shared" si="11"/>
        <v>1</v>
      </c>
      <c r="S24" s="1">
        <f t="shared" si="7"/>
        <v>1.3110612565402945E-12</v>
      </c>
      <c r="T24" s="30">
        <f t="shared" si="12"/>
        <v>0.99999999999868894</v>
      </c>
      <c r="U24" s="30">
        <f t="shared" si="13"/>
        <v>1.000000000001311</v>
      </c>
    </row>
    <row r="25" spans="1:21" x14ac:dyDescent="0.2">
      <c r="A25" s="15" t="s">
        <v>7</v>
      </c>
      <c r="B25" s="20">
        <f t="shared" si="8"/>
        <v>0</v>
      </c>
      <c r="C25" s="20">
        <f t="shared" si="8"/>
        <v>0</v>
      </c>
      <c r="D25" s="20">
        <f t="shared" si="8"/>
        <v>0</v>
      </c>
      <c r="E25" s="20">
        <f t="shared" si="8"/>
        <v>0</v>
      </c>
      <c r="F25" s="20">
        <f t="shared" si="8"/>
        <v>0</v>
      </c>
      <c r="G25" s="20">
        <f t="shared" si="8"/>
        <v>3.9875583972948672E-2</v>
      </c>
      <c r="H25" s="20">
        <f t="shared" si="8"/>
        <v>0</v>
      </c>
      <c r="I25" s="20">
        <f t="shared" si="8"/>
        <v>1.0735734146563104E-2</v>
      </c>
      <c r="J25" s="20">
        <f t="shared" si="8"/>
        <v>0</v>
      </c>
      <c r="K25" s="21">
        <f t="shared" si="4"/>
        <v>5.0611318119511778E-2</v>
      </c>
      <c r="L25" s="1">
        <f t="shared" si="5"/>
        <v>14645718</v>
      </c>
      <c r="M25" s="18">
        <f t="shared" si="6"/>
        <v>5.0611318119511778E-2</v>
      </c>
      <c r="O25" s="15" t="s">
        <v>6</v>
      </c>
      <c r="P25" s="1">
        <f t="shared" si="9"/>
        <v>3.8062500795409823E-5</v>
      </c>
      <c r="Q25" s="30">
        <f t="shared" si="10"/>
        <v>0.98790406200014202</v>
      </c>
      <c r="R25" s="30">
        <f t="shared" si="11"/>
        <v>0.98798018700173285</v>
      </c>
      <c r="S25" s="1">
        <f t="shared" si="7"/>
        <v>5.5996550311329611E-5</v>
      </c>
      <c r="T25" s="30">
        <f t="shared" si="12"/>
        <v>0.65211791649316708</v>
      </c>
      <c r="U25" s="30">
        <f t="shared" si="13"/>
        <v>0.65222990959378968</v>
      </c>
    </row>
    <row r="26" spans="1:21" ht="15" customHeight="1" x14ac:dyDescent="0.2">
      <c r="A26" s="15" t="s">
        <v>8</v>
      </c>
      <c r="B26" s="20">
        <f t="shared" si="8"/>
        <v>0</v>
      </c>
      <c r="C26" s="20">
        <f t="shared" si="8"/>
        <v>0</v>
      </c>
      <c r="D26" s="20">
        <f t="shared" si="8"/>
        <v>0</v>
      </c>
      <c r="E26" s="20">
        <f t="shared" si="8"/>
        <v>0</v>
      </c>
      <c r="F26" s="20">
        <f t="shared" si="8"/>
        <v>0</v>
      </c>
      <c r="G26" s="20">
        <f t="shared" si="8"/>
        <v>0</v>
      </c>
      <c r="H26" s="20">
        <f t="shared" si="8"/>
        <v>6.8277102405815207E-3</v>
      </c>
      <c r="I26" s="20">
        <f t="shared" si="8"/>
        <v>5.5359812761471782E-4</v>
      </c>
      <c r="J26" s="20">
        <f t="shared" si="8"/>
        <v>0</v>
      </c>
      <c r="K26" s="21">
        <f t="shared" si="4"/>
        <v>7.3813083681962387E-3</v>
      </c>
      <c r="L26" s="1">
        <f t="shared" si="5"/>
        <v>2135976</v>
      </c>
      <c r="M26" s="18">
        <f t="shared" si="6"/>
        <v>7.3813083681962387E-3</v>
      </c>
      <c r="O26" s="15" t="s">
        <v>7</v>
      </c>
      <c r="P26" s="1">
        <f t="shared" si="9"/>
        <v>1.7874416760007948E-4</v>
      </c>
      <c r="Q26" s="30">
        <f t="shared" si="10"/>
        <v>0.62574240131261194</v>
      </c>
      <c r="R26" s="30">
        <f t="shared" si="11"/>
        <v>0.62609988964781216</v>
      </c>
      <c r="S26" s="1">
        <f t="shared" si="7"/>
        <v>4.8064036419196143E-5</v>
      </c>
      <c r="T26" s="30">
        <f t="shared" si="12"/>
        <v>0.78783072384236863</v>
      </c>
      <c r="U26" s="30">
        <f t="shared" si="13"/>
        <v>0.78792685191520706</v>
      </c>
    </row>
    <row r="27" spans="1:21" x14ac:dyDescent="0.2">
      <c r="A27" s="15" t="s">
        <v>9</v>
      </c>
      <c r="B27" s="20">
        <f t="shared" si="8"/>
        <v>0</v>
      </c>
      <c r="C27" s="20">
        <f t="shared" si="8"/>
        <v>0</v>
      </c>
      <c r="D27" s="20">
        <f t="shared" si="8"/>
        <v>0</v>
      </c>
      <c r="E27" s="20">
        <f t="shared" si="8"/>
        <v>0</v>
      </c>
      <c r="F27" s="20">
        <f t="shared" si="8"/>
        <v>1.3323585138405936E-3</v>
      </c>
      <c r="G27" s="20">
        <f t="shared" si="8"/>
        <v>1.9985377707608908E-3</v>
      </c>
      <c r="H27" s="20">
        <f t="shared" si="8"/>
        <v>5.3294340553623745E-3</v>
      </c>
      <c r="I27" s="20">
        <f t="shared" si="8"/>
        <v>5.7291416095145521E-2</v>
      </c>
      <c r="J27" s="20">
        <f t="shared" si="8"/>
        <v>0</v>
      </c>
      <c r="K27" s="21">
        <f t="shared" si="4"/>
        <v>6.5951746435109385E-2</v>
      </c>
      <c r="L27" s="1">
        <f t="shared" si="5"/>
        <v>19084875</v>
      </c>
      <c r="M27" s="18">
        <f t="shared" si="6"/>
        <v>6.5951746435109385E-2</v>
      </c>
      <c r="O27" s="15" t="s">
        <v>8</v>
      </c>
      <c r="P27" s="1">
        <f t="shared" si="9"/>
        <v>3.9206791561805198E-4</v>
      </c>
      <c r="Q27" s="30">
        <f t="shared" si="10"/>
        <v>0.56122915450085964</v>
      </c>
      <c r="R27" s="30">
        <f t="shared" si="11"/>
        <v>0.56201329033209579</v>
      </c>
      <c r="S27" s="1">
        <f t="shared" si="7"/>
        <v>3.0967060601804909E-5</v>
      </c>
      <c r="T27" s="30">
        <f t="shared" si="12"/>
        <v>0.92496903293939814</v>
      </c>
      <c r="U27" s="30">
        <f t="shared" si="13"/>
        <v>0.92503096706060173</v>
      </c>
    </row>
    <row r="28" spans="1:21" x14ac:dyDescent="0.2">
      <c r="A28" s="15" t="s">
        <v>10</v>
      </c>
      <c r="B28" s="20">
        <f t="shared" si="8"/>
        <v>0</v>
      </c>
      <c r="C28" s="20">
        <f t="shared" si="8"/>
        <v>0</v>
      </c>
      <c r="D28" s="20">
        <f t="shared" si="8"/>
        <v>0</v>
      </c>
      <c r="E28" s="20">
        <f t="shared" si="8"/>
        <v>0</v>
      </c>
      <c r="F28" s="20">
        <f t="shared" si="8"/>
        <v>0</v>
      </c>
      <c r="G28" s="20">
        <f t="shared" si="8"/>
        <v>0</v>
      </c>
      <c r="H28" s="20">
        <f t="shared" si="8"/>
        <v>0</v>
      </c>
      <c r="I28" s="20">
        <f t="shared" si="8"/>
        <v>0</v>
      </c>
      <c r="J28" s="20">
        <f t="shared" si="8"/>
        <v>0.51284153016794665</v>
      </c>
      <c r="K28" s="21">
        <f t="shared" si="4"/>
        <v>0.51284153016794665</v>
      </c>
      <c r="L28" s="1">
        <f t="shared" si="5"/>
        <v>148404205</v>
      </c>
      <c r="M28" s="18">
        <f t="shared" si="6"/>
        <v>0.51284153016794665</v>
      </c>
      <c r="O28" s="15" t="s">
        <v>9</v>
      </c>
      <c r="P28" s="1">
        <f t="shared" si="9"/>
        <v>1.353193479057772E-4</v>
      </c>
      <c r="Q28" s="30">
        <f t="shared" si="10"/>
        <v>0.58631825327873366</v>
      </c>
      <c r="R28" s="30">
        <f t="shared" si="11"/>
        <v>0.58658889197454522</v>
      </c>
      <c r="S28" s="1">
        <f t="shared" si="7"/>
        <v>3.9708565040437243E-5</v>
      </c>
      <c r="T28" s="30">
        <f t="shared" si="12"/>
        <v>0.86864716012182819</v>
      </c>
      <c r="U28" s="30">
        <f t="shared" si="13"/>
        <v>0.86872657725190905</v>
      </c>
    </row>
    <row r="29" spans="1:21" x14ac:dyDescent="0.2">
      <c r="A29" s="23" t="s">
        <v>0</v>
      </c>
      <c r="B29" s="27">
        <f>SUM(B20:B28)</f>
        <v>0.1224345634657259</v>
      </c>
      <c r="C29" s="27">
        <f t="shared" ref="C29:J29" si="14">SUM(C20:C28)</f>
        <v>3.8803338189404409E-2</v>
      </c>
      <c r="D29" s="27">
        <f t="shared" si="14"/>
        <v>1.3967668845659217E-2</v>
      </c>
      <c r="E29" s="27">
        <f t="shared" si="14"/>
        <v>2.790045309163838E-2</v>
      </c>
      <c r="F29" s="27">
        <f t="shared" si="14"/>
        <v>0.11049695395711878</v>
      </c>
      <c r="G29" s="27">
        <f t="shared" si="14"/>
        <v>6.3707040832365211E-2</v>
      </c>
      <c r="H29" s="27">
        <f t="shared" si="14"/>
        <v>1.2157144295943896E-2</v>
      </c>
      <c r="I29" s="27">
        <f t="shared" si="14"/>
        <v>9.7691307154197521E-2</v>
      </c>
      <c r="J29" s="27">
        <f t="shared" si="14"/>
        <v>0.51284153016794665</v>
      </c>
      <c r="K29" s="27">
        <f>SUM(K20:K28)</f>
        <v>1</v>
      </c>
      <c r="L29" s="24">
        <f>L16</f>
        <v>289376340</v>
      </c>
      <c r="M29" s="26">
        <f>SUM(M20:M28)</f>
        <v>1</v>
      </c>
      <c r="O29" s="12" t="s">
        <v>10</v>
      </c>
      <c r="P29" s="28">
        <f t="shared" si="9"/>
        <v>0</v>
      </c>
      <c r="Q29" s="40">
        <f t="shared" si="10"/>
        <v>1</v>
      </c>
      <c r="R29" s="40">
        <f t="shared" si="11"/>
        <v>1</v>
      </c>
      <c r="S29" s="28">
        <f t="shared" si="7"/>
        <v>0</v>
      </c>
      <c r="T29" s="40">
        <f t="shared" si="12"/>
        <v>1</v>
      </c>
      <c r="U29" s="40">
        <f t="shared" si="13"/>
        <v>1</v>
      </c>
    </row>
    <row r="31" spans="1:21" x14ac:dyDescent="0.2">
      <c r="E31" s="33" t="s">
        <v>49</v>
      </c>
      <c r="J31" s="33" t="s">
        <v>22</v>
      </c>
    </row>
    <row r="32" spans="1:21" x14ac:dyDescent="0.2">
      <c r="E32" s="24"/>
      <c r="F32" s="38" t="s">
        <v>24</v>
      </c>
      <c r="G32" s="38" t="s">
        <v>23</v>
      </c>
      <c r="H32" s="38" t="s">
        <v>25</v>
      </c>
      <c r="J32" s="24"/>
      <c r="K32" s="38" t="s">
        <v>23</v>
      </c>
      <c r="L32" s="38" t="s">
        <v>24</v>
      </c>
      <c r="M32" s="38" t="s">
        <v>25</v>
      </c>
      <c r="O32" s="24"/>
      <c r="P32" s="38" t="s">
        <v>127</v>
      </c>
      <c r="Q32" s="11" t="s">
        <v>129</v>
      </c>
      <c r="R32" s="11" t="s">
        <v>128</v>
      </c>
      <c r="S32" s="173"/>
    </row>
    <row r="33" spans="5:19" x14ac:dyDescent="0.2">
      <c r="E33" s="36" t="s">
        <v>2</v>
      </c>
      <c r="F33" s="30">
        <f>'UA PA'!B18</f>
        <v>0.93442622950819676</v>
      </c>
      <c r="G33" s="30">
        <f>'UA PA'!C18</f>
        <v>0.890625</v>
      </c>
      <c r="J33" s="36" t="s">
        <v>2</v>
      </c>
      <c r="K33" s="30">
        <f>B20/B29</f>
        <v>0.98920839071512223</v>
      </c>
      <c r="L33" s="30">
        <f>B20/K20</f>
        <v>0.93442622950819676</v>
      </c>
      <c r="M33" s="30"/>
      <c r="O33" s="15" t="s">
        <v>25</v>
      </c>
      <c r="P33" s="1">
        <f>2*(R16)^0.5</f>
        <v>2.9653162995356123E-5</v>
      </c>
      <c r="Q33" s="30">
        <f>M42-P33</f>
        <v>0.91197912190973041</v>
      </c>
      <c r="R33" s="30">
        <f>M42+P33</f>
        <v>0.91203842823572101</v>
      </c>
      <c r="S33" s="30"/>
    </row>
    <row r="34" spans="5:19" x14ac:dyDescent="0.2">
      <c r="E34" s="36" t="s">
        <v>3</v>
      </c>
      <c r="F34" s="30">
        <f>'UA PA'!B19</f>
        <v>1</v>
      </c>
      <c r="G34" s="30">
        <f>'UA PA'!C19</f>
        <v>0.95798319327731096</v>
      </c>
      <c r="J34" s="36" t="s">
        <v>3</v>
      </c>
      <c r="K34" s="30">
        <f>C21/C29</f>
        <v>0.59341594811489617</v>
      </c>
      <c r="L34" s="30">
        <f>C21/K21</f>
        <v>1</v>
      </c>
      <c r="M34" s="30"/>
    </row>
    <row r="35" spans="5:19" x14ac:dyDescent="0.2">
      <c r="E35" s="36" t="s">
        <v>4</v>
      </c>
      <c r="F35" s="30">
        <f>'UA PA'!B20</f>
        <v>0.9135802469135802</v>
      </c>
      <c r="G35" s="30">
        <f>'UA PA'!C20</f>
        <v>1</v>
      </c>
      <c r="J35" s="36" t="s">
        <v>4</v>
      </c>
      <c r="K35" s="30">
        <f>D22/D29</f>
        <v>1</v>
      </c>
      <c r="L35" s="30">
        <f>D22/K22</f>
        <v>0.91358024691358031</v>
      </c>
      <c r="M35" s="30"/>
    </row>
    <row r="36" spans="5:19" x14ac:dyDescent="0.2">
      <c r="E36" s="36" t="s">
        <v>5</v>
      </c>
      <c r="F36" s="30">
        <f>'UA PA'!B21</f>
        <v>1</v>
      </c>
      <c r="G36" s="30">
        <f>'UA PA'!C21</f>
        <v>1</v>
      </c>
      <c r="J36" s="36" t="s">
        <v>5</v>
      </c>
      <c r="K36" s="30">
        <f>E23/E29</f>
        <v>1</v>
      </c>
      <c r="L36" s="30">
        <f>E23/K23</f>
        <v>1</v>
      </c>
      <c r="M36" s="30"/>
    </row>
    <row r="37" spans="5:19" x14ac:dyDescent="0.2">
      <c r="E37" s="37" t="s">
        <v>6</v>
      </c>
      <c r="F37" s="30">
        <f>'UA PA'!B22</f>
        <v>0.65217391304347827</v>
      </c>
      <c r="G37" s="30">
        <f>'UA PA'!C22</f>
        <v>0.88235294117647056</v>
      </c>
      <c r="J37" s="37" t="s">
        <v>6</v>
      </c>
      <c r="K37" s="30">
        <f>F24/F29</f>
        <v>0.98794212450093744</v>
      </c>
      <c r="L37" s="30">
        <f>F24/K24</f>
        <v>0.65217391304347838</v>
      </c>
      <c r="M37" s="30"/>
    </row>
    <row r="38" spans="5:19" x14ac:dyDescent="0.2">
      <c r="E38" s="36" t="s">
        <v>7</v>
      </c>
      <c r="F38" s="30">
        <f>'UA PA'!B23</f>
        <v>0.78787878787878785</v>
      </c>
      <c r="G38" s="30">
        <f>'UA PA'!C23</f>
        <v>0.89655172413793105</v>
      </c>
      <c r="J38" s="36" t="s">
        <v>7</v>
      </c>
      <c r="K38" s="30">
        <f>G25/G29</f>
        <v>0.62592114548021205</v>
      </c>
      <c r="L38" s="30">
        <f>G25/K25</f>
        <v>0.78787878787878785</v>
      </c>
      <c r="M38" s="30"/>
    </row>
    <row r="39" spans="5:19" x14ac:dyDescent="0.2">
      <c r="E39" s="36" t="s">
        <v>8</v>
      </c>
      <c r="F39" s="30">
        <f>'UA PA'!B24</f>
        <v>0.92500000000000004</v>
      </c>
      <c r="G39" s="30">
        <f>'UA PA'!C24</f>
        <v>0.82222222222222219</v>
      </c>
      <c r="J39" s="36" t="s">
        <v>8</v>
      </c>
      <c r="K39" s="30">
        <f>H26/H29</f>
        <v>0.56162122241647772</v>
      </c>
      <c r="L39" s="30">
        <f>H26/K26</f>
        <v>0.92499999999999993</v>
      </c>
      <c r="M39" s="30"/>
    </row>
    <row r="40" spans="5:19" x14ac:dyDescent="0.2">
      <c r="E40" s="36" t="s">
        <v>9</v>
      </c>
      <c r="F40" s="30">
        <f>'UA PA'!B25</f>
        <v>0.86868686868686873</v>
      </c>
      <c r="G40" s="30">
        <f>'UA PA'!C25</f>
        <v>0.80373831775700932</v>
      </c>
      <c r="J40" s="36" t="s">
        <v>9</v>
      </c>
      <c r="K40" s="30">
        <f>I27/I29</f>
        <v>0.58645357262663944</v>
      </c>
      <c r="L40" s="30">
        <f>I27/K27</f>
        <v>0.86868686868686862</v>
      </c>
      <c r="M40" s="30"/>
    </row>
    <row r="41" spans="5:19" x14ac:dyDescent="0.2">
      <c r="E41" s="39" t="s">
        <v>10</v>
      </c>
      <c r="F41" s="40">
        <f>'UA PA'!B26</f>
        <v>1</v>
      </c>
      <c r="G41" s="40">
        <f>'UA PA'!C26</f>
        <v>1</v>
      </c>
      <c r="H41" s="28"/>
      <c r="J41" s="39" t="s">
        <v>10</v>
      </c>
      <c r="K41" s="40">
        <f>J28/J29</f>
        <v>1</v>
      </c>
      <c r="L41" s="40">
        <f>J28/K28</f>
        <v>1</v>
      </c>
      <c r="M41" s="40"/>
    </row>
    <row r="42" spans="5:19" x14ac:dyDescent="0.2">
      <c r="H42" s="30">
        <f>OA!B7</f>
        <v>0.92246835443037978</v>
      </c>
      <c r="M42" s="30">
        <f>B20+C21+D22+E23+F24+G25+H26+I27+J28</f>
        <v>0.91200877507272571</v>
      </c>
    </row>
  </sheetData>
  <mergeCells count="2">
    <mergeCell ref="P19:R19"/>
    <mergeCell ref="S19:U19"/>
  </mergeCells>
  <pageMargins left="0.7" right="0.7" top="0.75" bottom="0.75" header="0.3" footer="0.3"/>
  <ignoredErrors>
    <ignoredError sqref="L29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U42"/>
  <sheetViews>
    <sheetView zoomScale="90" zoomScaleNormal="90" workbookViewId="0"/>
  </sheetViews>
  <sheetFormatPr baseColWidth="10" defaultRowHeight="15" x14ac:dyDescent="0.2"/>
  <cols>
    <col min="1" max="12" width="10.83203125" style="1" customWidth="1"/>
    <col min="13" max="14" width="10.83203125" style="1"/>
    <col min="15" max="21" width="12.83203125" style="1" customWidth="1"/>
    <col min="22" max="16384" width="10.83203125" style="1"/>
  </cols>
  <sheetData>
    <row r="1" spans="1:19" ht="19" x14ac:dyDescent="0.25">
      <c r="A1" s="3" t="s">
        <v>82</v>
      </c>
    </row>
    <row r="3" spans="1:19" ht="16" x14ac:dyDescent="0.2">
      <c r="A3" s="19" t="s">
        <v>15</v>
      </c>
    </row>
    <row r="5" spans="1:19" ht="15" customHeight="1" x14ac:dyDescent="0.2">
      <c r="A5" s="32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4"/>
      <c r="O5" s="32" t="s">
        <v>125</v>
      </c>
    </row>
    <row r="6" spans="1:19" ht="15" customHeight="1" x14ac:dyDescent="0.2">
      <c r="A6" s="10"/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0</v>
      </c>
      <c r="L6" s="11" t="s">
        <v>18</v>
      </c>
      <c r="M6" s="11" t="s">
        <v>19</v>
      </c>
      <c r="O6" s="10"/>
      <c r="P6" s="11" t="s">
        <v>23</v>
      </c>
      <c r="Q6" s="11" t="s">
        <v>24</v>
      </c>
      <c r="R6" s="11" t="s">
        <v>25</v>
      </c>
      <c r="S6" s="173"/>
    </row>
    <row r="7" spans="1:19" x14ac:dyDescent="0.2">
      <c r="A7" s="15" t="s">
        <v>2</v>
      </c>
      <c r="B7" s="16">
        <f t="array" ref="B7:J15">TRANSPOSE('Error Matrix'!B19:J27)</f>
        <v>46</v>
      </c>
      <c r="C7" s="16">
        <v>0</v>
      </c>
      <c r="D7" s="16">
        <v>1</v>
      </c>
      <c r="E7" s="16">
        <v>0</v>
      </c>
      <c r="F7" s="16">
        <v>1</v>
      </c>
      <c r="G7" s="16">
        <v>0</v>
      </c>
      <c r="H7" s="16">
        <v>0</v>
      </c>
      <c r="I7" s="16">
        <v>0</v>
      </c>
      <c r="J7" s="16">
        <v>0</v>
      </c>
      <c r="K7" s="14">
        <f>SUM(B7:J7)</f>
        <v>48</v>
      </c>
      <c r="L7" s="110">
        <f>Sampling!R21</f>
        <v>38761681</v>
      </c>
      <c r="M7" s="18">
        <f>L7/$L$16</f>
        <v>0.13394903329000568</v>
      </c>
      <c r="O7" s="15" t="s">
        <v>2</v>
      </c>
      <c r="P7" s="135">
        <f>B20*(B29^-4)*(B20*((B21*(M21-B21)/(M21*$L$29))+(B22*(M22-B22)/(M22*$L$29))+(B23*(M23-B23)/(M23*$L$29))+(B24*(M24-B24)/(M24*$L$29))+(B25*(M25-B25)/(M25*$L$29))+(B26*(M26-B26)/(M26*$L$29))+(B27*(M27-B27)/(M27*$L$29))+(B28*(M28-B28)/(M28*$L$29)))+(M20-B20)*((B29-B20)^2)/(M20*$L$29))</f>
        <v>0</v>
      </c>
      <c r="Q7" s="1">
        <f>(B20*(M20-B20))/((M20^2)*$L$29)</f>
        <v>1.379883219048092E-10</v>
      </c>
    </row>
    <row r="8" spans="1:19" x14ac:dyDescent="0.2">
      <c r="A8" s="15" t="s">
        <v>3</v>
      </c>
      <c r="B8" s="16">
        <v>0</v>
      </c>
      <c r="C8" s="16">
        <v>70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4">
        <f t="shared" ref="K8:K15" si="0">SUM(B8:J8)</f>
        <v>70</v>
      </c>
      <c r="L8" s="110">
        <f>Sampling!R7</f>
        <v>5911082</v>
      </c>
      <c r="M8" s="18">
        <f t="shared" ref="M8:M15" si="1">L8/$L$16</f>
        <v>2.0426970636231008E-2</v>
      </c>
      <c r="O8" s="15" t="s">
        <v>3</v>
      </c>
      <c r="P8" s="1">
        <f>C21*(C29^-4)*(C21*((C20*(M20-C20)/(M20*$L$29))+(C22*(M22-C22)/(M22*$L$29))+(C23*(M23-C23)/(M23*$L$29))+(C24*(M24-C24)/(M24*$L$29))+(C25*(M25-C25)/(M25*$L$29))+(C26*(M26-C26)/(M26*$L$29))+(C27*(M27-C27)/(M27*$L$29))+(C28*(M28-C28)/(M28*$L$29)))+(M21-C21)*((C29-C21)^2)/(M21*$L$29))</f>
        <v>8.2397071332066319E-9</v>
      </c>
      <c r="Q8" s="1">
        <f>(C21*(M20-C21))/((M21^2)*$L$29)</f>
        <v>1.9204954804175387E-8</v>
      </c>
    </row>
    <row r="9" spans="1:19" x14ac:dyDescent="0.2">
      <c r="A9" s="15" t="s">
        <v>4</v>
      </c>
      <c r="B9" s="16">
        <v>0</v>
      </c>
      <c r="C9" s="16">
        <v>1</v>
      </c>
      <c r="D9" s="16">
        <v>46</v>
      </c>
      <c r="E9" s="16">
        <v>2</v>
      </c>
      <c r="F9" s="16">
        <v>6</v>
      </c>
      <c r="G9" s="16">
        <v>0</v>
      </c>
      <c r="H9" s="16">
        <v>0</v>
      </c>
      <c r="I9" s="16">
        <v>0</v>
      </c>
      <c r="J9" s="16">
        <v>0</v>
      </c>
      <c r="K9" s="14">
        <f t="shared" si="0"/>
        <v>55</v>
      </c>
      <c r="L9" s="110">
        <f>Sampling!R8</f>
        <v>16047072</v>
      </c>
      <c r="M9" s="18">
        <f t="shared" si="1"/>
        <v>5.5453987703348522E-2</v>
      </c>
      <c r="O9" s="15" t="s">
        <v>4</v>
      </c>
      <c r="P9" s="1">
        <f>D22*(D29^-4)*(D22*((D20*(M20-D20)/(M20*$L$29))+(D21*(M21-D21)/(M21*$L$29))+(D23*(M23-D23)/(M23*$L$29))+(D24*(M24-D24)/(M24*$L$29))+(D25*(M25-D25)/(M25*$L$29))+(D26*(M26-D26)/(M26*$L$29))+(D27*(M27-D27)/(M27*$L$29))+(D28*(M28-D28)/(M28*$L$29)))+(M22-D22)*((D29-D22)^2)/(M22*$L$29))</f>
        <v>6.7438090109431199E-9</v>
      </c>
      <c r="Q9" s="1">
        <f>(D22*(M22-D22))/((M22^2)*$L$29)</f>
        <v>4.7294642033357442E-10</v>
      </c>
    </row>
    <row r="10" spans="1:19" x14ac:dyDescent="0.2">
      <c r="A10" s="15" t="s">
        <v>5</v>
      </c>
      <c r="B10" s="16">
        <v>0</v>
      </c>
      <c r="C10" s="16">
        <v>0</v>
      </c>
      <c r="D10" s="16">
        <v>1</v>
      </c>
      <c r="E10" s="16">
        <v>90</v>
      </c>
      <c r="F10" s="16">
        <v>8</v>
      </c>
      <c r="G10" s="16">
        <v>0</v>
      </c>
      <c r="H10" s="16">
        <v>0</v>
      </c>
      <c r="I10" s="16">
        <v>0</v>
      </c>
      <c r="J10" s="16">
        <v>0</v>
      </c>
      <c r="K10" s="14">
        <f t="shared" si="0"/>
        <v>99</v>
      </c>
      <c r="L10" s="110">
        <f>Sampling!R9</f>
        <v>15140455</v>
      </c>
      <c r="M10" s="18">
        <f t="shared" si="1"/>
        <v>5.2320984500667883E-2</v>
      </c>
      <c r="O10" s="15" t="s">
        <v>5</v>
      </c>
      <c r="P10" s="1">
        <f>E23*(E29^-4)*(E23*(0)+(M23-E23)*((E29-E23)^2)/(M23*$L$29))</f>
        <v>3.1980570133367388E-10</v>
      </c>
      <c r="Q10" s="183">
        <f>(E23*(M23-E23))/((M23^2)*$L$29)</f>
        <v>2.8559566445264166E-10</v>
      </c>
    </row>
    <row r="11" spans="1:19" x14ac:dyDescent="0.2">
      <c r="A11" s="15" t="s">
        <v>6</v>
      </c>
      <c r="B11" s="16">
        <v>0</v>
      </c>
      <c r="C11" s="16">
        <v>0</v>
      </c>
      <c r="D11" s="16">
        <v>4</v>
      </c>
      <c r="E11" s="16">
        <v>4</v>
      </c>
      <c r="F11" s="16">
        <v>15</v>
      </c>
      <c r="G11" s="16">
        <v>0</v>
      </c>
      <c r="H11" s="16">
        <v>0</v>
      </c>
      <c r="I11" s="16">
        <v>0</v>
      </c>
      <c r="J11" s="16">
        <v>0</v>
      </c>
      <c r="K11" s="14">
        <f t="shared" si="0"/>
        <v>23</v>
      </c>
      <c r="L11" s="110">
        <f>Sampling!R10</f>
        <v>35086313</v>
      </c>
      <c r="M11" s="18">
        <f t="shared" si="1"/>
        <v>0.12124803638058315</v>
      </c>
      <c r="O11" s="15" t="s">
        <v>6</v>
      </c>
      <c r="P11" s="1">
        <f>F24*(F29^-4)*(F24*((F20*(M20-F20)/(M20*$L$29))+(F21*(M21-F21)/(M21*$L$29))+(F22*(M22-F22)/(M22*$L$29))+(F23*(M23-F23)/(M23*$L$29))+(F25*(M25-F25)/(M25*$L$29))+(F26*(M26-F26)/(M26*$L$29))+(F27*(M27-F27)/(M27*$L$29))+(F28*(M28-F28)/(M28*$L$29)))+(M24-F24)*((F29-F24)^2)/(M24*$L$29))</f>
        <v>4.595236412263463E-9</v>
      </c>
      <c r="Q11" s="1">
        <f>(F24*(M24-F24))/((M24^2)*$L$29)</f>
        <v>7.8390341169231718E-10</v>
      </c>
    </row>
    <row r="12" spans="1:19" x14ac:dyDescent="0.2">
      <c r="A12" s="15" t="s">
        <v>7</v>
      </c>
      <c r="B12" s="16">
        <v>0</v>
      </c>
      <c r="C12" s="16">
        <v>0</v>
      </c>
      <c r="D12" s="16">
        <v>0</v>
      </c>
      <c r="E12" s="16">
        <v>0</v>
      </c>
      <c r="F12" s="16">
        <v>12</v>
      </c>
      <c r="G12" s="16">
        <v>66</v>
      </c>
      <c r="H12" s="16">
        <v>0</v>
      </c>
      <c r="I12" s="16">
        <v>4</v>
      </c>
      <c r="J12" s="16">
        <v>0</v>
      </c>
      <c r="K12" s="14">
        <f t="shared" si="0"/>
        <v>82</v>
      </c>
      <c r="L12" s="110">
        <f>Sampling!R11</f>
        <v>23716613</v>
      </c>
      <c r="M12" s="18">
        <f t="shared" si="1"/>
        <v>8.1957678364444037E-2</v>
      </c>
      <c r="O12" s="15" t="s">
        <v>7</v>
      </c>
      <c r="P12" s="1">
        <f>G25*(G29^-4)*(G25*((G20*(M20-G20)/(M20*$L$29))+(G21*(M21-G21)/(M21*$L$29))+(G22*(M22-G22)/(M22*$L$29))+(G23*(M23-G23)/(M23*$L$29))+(G24*(M24-G24)/(M24*$L$29))+(G26*(M26-G26)/(M26*$L$29))+(G27*(M27-G27)/(M27*$L$29))+(G28*(M28-G28)/(M28*$L$29)))+(M25-G25)*((G29-G25)^2)/(M25*$L$29))</f>
        <v>1.821403009999166E-10</v>
      </c>
      <c r="Q12" s="1">
        <f>(G25*(M25-G25))/((M25^2)*$L$29)</f>
        <v>5.4271671060530553E-10</v>
      </c>
    </row>
    <row r="13" spans="1:19" x14ac:dyDescent="0.2">
      <c r="A13" s="15" t="s">
        <v>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3</v>
      </c>
      <c r="H13" s="16">
        <v>32</v>
      </c>
      <c r="I13" s="16">
        <v>28</v>
      </c>
      <c r="J13" s="16">
        <v>0</v>
      </c>
      <c r="K13" s="14">
        <f t="shared" si="0"/>
        <v>63</v>
      </c>
      <c r="L13" s="110">
        <f>Sampling!R12</f>
        <v>1484125</v>
      </c>
      <c r="M13" s="18">
        <f t="shared" si="1"/>
        <v>5.1287019526198999E-3</v>
      </c>
      <c r="O13" s="15" t="s">
        <v>8</v>
      </c>
      <c r="P13" s="1">
        <f>H26*(H29^-4)*(H26*((H20*(M20-H20)/(M20*$L$29))+(H21*(M21-H21)/(M21*$L$29))+(H22*(M22-H22)/(M22*$L$29))+(H23*(M23-H23)/(M23*$L$29))+(H24*(M24-H24)/(M24*$L$29))+(H25*(M25-H25)/(M25*$L$29))+(H27*(M27-H27)/(M27*$L$29))+(H28*(M28-H28)/(M28*$L$29)))+(M26-H26)*((H29-H26)^2)/(M26*$L$29))</f>
        <v>9.9851149113020079E-8</v>
      </c>
      <c r="Q13" s="1">
        <f>(H26*(M26-H26))/((M26^2)*$L$29)</f>
        <v>8.6370921631593561E-10</v>
      </c>
    </row>
    <row r="14" spans="1:19" x14ac:dyDescent="0.2">
      <c r="A14" s="15" t="s">
        <v>9</v>
      </c>
      <c r="B14" s="16">
        <v>0</v>
      </c>
      <c r="C14" s="16">
        <v>1</v>
      </c>
      <c r="D14" s="16">
        <v>0</v>
      </c>
      <c r="E14" s="16">
        <v>0</v>
      </c>
      <c r="F14" s="16">
        <v>0</v>
      </c>
      <c r="G14" s="16">
        <v>0</v>
      </c>
      <c r="H14" s="16">
        <v>1</v>
      </c>
      <c r="I14" s="16">
        <v>52</v>
      </c>
      <c r="J14" s="16">
        <v>0</v>
      </c>
      <c r="K14" s="14">
        <f t="shared" si="0"/>
        <v>54</v>
      </c>
      <c r="L14" s="110">
        <f>Sampling!R13</f>
        <v>4498902</v>
      </c>
      <c r="M14" s="18">
        <f t="shared" si="1"/>
        <v>1.5546889562567555E-2</v>
      </c>
      <c r="O14" s="15" t="s">
        <v>9</v>
      </c>
      <c r="P14" s="1">
        <f>I27*(I29^-4)*(I27*((I20*(M20-I20)/(M20*$L$29))+(I21*(M21-I21)/(M21*$L$29))+(I22*(M22-I22)/(M22*$L$29))+(I23*(M23-I23)/(M23*$L$29))+(I24*(M24-I24)/(M24*$L$29))+(I25*(M25-I25)/(M25*$L$29))+(I26*(M26-I26)/(M26*$L$29))+(I28*(M28-I28)/(M28*$L$29)))+(M27-I27)*((I29-I27)^2)/(M27*$L$29))</f>
        <v>1.9631443309603616E-8</v>
      </c>
      <c r="Q14" s="1">
        <f>(I27*(M27-I27))/((M27^2)*$L$29)</f>
        <v>1.232488285827175E-10</v>
      </c>
    </row>
    <row r="15" spans="1:19" x14ac:dyDescent="0.2">
      <c r="A15" s="15" t="s">
        <v>10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112</v>
      </c>
      <c r="K15" s="14">
        <f t="shared" si="0"/>
        <v>112</v>
      </c>
      <c r="L15" s="110">
        <f>Sampling!R29</f>
        <v>148730097</v>
      </c>
      <c r="M15" s="18">
        <f t="shared" si="1"/>
        <v>0.5139677176095323</v>
      </c>
      <c r="O15" s="12" t="s">
        <v>10</v>
      </c>
      <c r="P15" s="28">
        <f>J28*(J29^-4)*(J28*((J20*(M20-J20)/(M20*$L$29))+(J21*(M21-J21)/(M21*$L$29))+(J22*(M22-J22)/(M22*$L$29))+(J23*(M23-J23)/(M23*$L$29))+(J24*(M24-J24)/(M24*$L$29))+(J25*(M25-J25)/(M25*$L$29))+(J26*(M26-J26)/(M26*$L$29))+(J27*(M27-J27)/(M27*$L$29)))+(M28-J28)*((J29-J28)^2)/(M28*$L$29))</f>
        <v>0</v>
      </c>
      <c r="Q15" s="28">
        <f>(J28*(M28-J28))/((M28^2)*$L$29)</f>
        <v>0</v>
      </c>
      <c r="R15" s="28"/>
      <c r="S15" s="14"/>
    </row>
    <row r="16" spans="1:19" ht="15" customHeight="1" x14ac:dyDescent="0.2">
      <c r="A16" s="23" t="s">
        <v>0</v>
      </c>
      <c r="B16" s="24">
        <f>SUM(B7:B15)</f>
        <v>46</v>
      </c>
      <c r="C16" s="24">
        <f t="shared" ref="C16:J16" si="2">SUM(C7:C15)</f>
        <v>72</v>
      </c>
      <c r="D16" s="24">
        <f t="shared" si="2"/>
        <v>52</v>
      </c>
      <c r="E16" s="24">
        <f t="shared" si="2"/>
        <v>96</v>
      </c>
      <c r="F16" s="24">
        <f t="shared" si="2"/>
        <v>42</v>
      </c>
      <c r="G16" s="24">
        <f t="shared" si="2"/>
        <v>69</v>
      </c>
      <c r="H16" s="24">
        <f t="shared" si="2"/>
        <v>33</v>
      </c>
      <c r="I16" s="24">
        <f t="shared" si="2"/>
        <v>84</v>
      </c>
      <c r="J16" s="24">
        <f t="shared" si="2"/>
        <v>112</v>
      </c>
      <c r="K16" s="24">
        <f>SUM(K7:K15)</f>
        <v>606</v>
      </c>
      <c r="L16" s="25">
        <f>SUM(L7:L15)</f>
        <v>289376340</v>
      </c>
      <c r="M16" s="26">
        <f>SUM(M7:M15)</f>
        <v>1</v>
      </c>
      <c r="R16" s="1">
        <f>((B20*((M20-B20)/(M20*L29)))+(C21*((M21-C21)/(M21*L29)))+(D22*((M22-D22)/(M22*L29)))+(E23*((M23-E23)/(M23*L29)))+(F24*((M24-F24)/(M24*L29)))+(G25*((M25-G25)/(M25*L29)))+(H26*((M26-H26)/(M26*L29)))+(I27*((M27-I27)/(M27*L29)))+(J28*((M28-J28)/(M28*L29))))</f>
        <v>2.0552520769670331E-10</v>
      </c>
    </row>
    <row r="18" spans="1:21" x14ac:dyDescent="0.2">
      <c r="A18" s="32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4"/>
      <c r="O18" s="32" t="s">
        <v>126</v>
      </c>
    </row>
    <row r="19" spans="1:21" x14ac:dyDescent="0.2">
      <c r="A19" s="10"/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  <c r="J19" s="11" t="s">
        <v>10</v>
      </c>
      <c r="K19" s="11" t="s">
        <v>0</v>
      </c>
      <c r="L19" s="11" t="s">
        <v>18</v>
      </c>
      <c r="M19" s="11" t="s">
        <v>19</v>
      </c>
      <c r="O19" s="151"/>
      <c r="P19" s="203" t="s">
        <v>23</v>
      </c>
      <c r="Q19" s="203"/>
      <c r="R19" s="203"/>
      <c r="S19" s="203" t="s">
        <v>24</v>
      </c>
      <c r="T19" s="203"/>
      <c r="U19" s="203"/>
    </row>
    <row r="20" spans="1:21" x14ac:dyDescent="0.2">
      <c r="A20" s="15" t="s">
        <v>2</v>
      </c>
      <c r="B20" s="20">
        <f>$M7*B7/$K7</f>
        <v>0.12836782356958878</v>
      </c>
      <c r="C20" s="20">
        <f t="shared" ref="C20:J21" si="3">$M7*C7/$K7</f>
        <v>0</v>
      </c>
      <c r="D20" s="20">
        <f t="shared" si="3"/>
        <v>2.7906048602084517E-3</v>
      </c>
      <c r="E20" s="20">
        <f t="shared" si="3"/>
        <v>0</v>
      </c>
      <c r="F20" s="20">
        <f t="shared" si="3"/>
        <v>2.7906048602084517E-3</v>
      </c>
      <c r="G20" s="20">
        <f t="shared" si="3"/>
        <v>0</v>
      </c>
      <c r="H20" s="20">
        <f t="shared" si="3"/>
        <v>0</v>
      </c>
      <c r="I20" s="20">
        <f t="shared" si="3"/>
        <v>0</v>
      </c>
      <c r="J20" s="20">
        <f t="shared" si="3"/>
        <v>0</v>
      </c>
      <c r="K20" s="21">
        <f>SUM(B20:J20)</f>
        <v>0.13394903329000571</v>
      </c>
      <c r="L20" s="1">
        <f>L7</f>
        <v>38761681</v>
      </c>
      <c r="M20" s="18">
        <f>L20/$L$29</f>
        <v>0.13394903329000568</v>
      </c>
      <c r="O20" s="174"/>
      <c r="P20" s="11" t="s">
        <v>127</v>
      </c>
      <c r="Q20" s="11" t="s">
        <v>129</v>
      </c>
      <c r="R20" s="11" t="s">
        <v>128</v>
      </c>
      <c r="S20" s="11" t="s">
        <v>127</v>
      </c>
      <c r="T20" s="11" t="s">
        <v>129</v>
      </c>
      <c r="U20" s="11" t="s">
        <v>128</v>
      </c>
    </row>
    <row r="21" spans="1:21" x14ac:dyDescent="0.2">
      <c r="A21" s="15" t="s">
        <v>3</v>
      </c>
      <c r="B21" s="20">
        <f>$M8*B8/$K8</f>
        <v>0</v>
      </c>
      <c r="C21" s="20">
        <f t="shared" si="3"/>
        <v>2.0426970636231008E-2</v>
      </c>
      <c r="D21" s="20">
        <f t="shared" si="3"/>
        <v>0</v>
      </c>
      <c r="E21" s="20">
        <f t="shared" si="3"/>
        <v>0</v>
      </c>
      <c r="F21" s="20">
        <f t="shared" si="3"/>
        <v>0</v>
      </c>
      <c r="G21" s="20">
        <f t="shared" si="3"/>
        <v>0</v>
      </c>
      <c r="H21" s="20">
        <f t="shared" si="3"/>
        <v>0</v>
      </c>
      <c r="I21" s="20">
        <f t="shared" si="3"/>
        <v>0</v>
      </c>
      <c r="J21" s="20">
        <f t="shared" si="3"/>
        <v>0</v>
      </c>
      <c r="K21" s="21">
        <f t="shared" ref="K21:K28" si="4">SUM(B21:J21)</f>
        <v>2.0426970636231008E-2</v>
      </c>
      <c r="L21" s="1">
        <f t="shared" ref="L21:L28" si="5">L8</f>
        <v>5911082</v>
      </c>
      <c r="M21" s="18">
        <f t="shared" ref="M21:M28" si="6">L21/$L$29</f>
        <v>2.0426970636231008E-2</v>
      </c>
      <c r="O21" s="15" t="s">
        <v>2</v>
      </c>
      <c r="P21" s="1">
        <f>2*(P7^0.5)</f>
        <v>0</v>
      </c>
      <c r="Q21" s="30">
        <f>K33-P21</f>
        <v>1</v>
      </c>
      <c r="R21" s="30">
        <f>K33+P21</f>
        <v>1</v>
      </c>
      <c r="S21" s="1">
        <f t="shared" ref="S21:S29" si="7">2*(Q7^0.5)</f>
        <v>2.3493686122429505E-5</v>
      </c>
      <c r="T21" s="30">
        <f>L33-S21</f>
        <v>0.95830983964721073</v>
      </c>
      <c r="U21" s="30">
        <f>L33+S21</f>
        <v>0.95835682701945557</v>
      </c>
    </row>
    <row r="22" spans="1:21" x14ac:dyDescent="0.2">
      <c r="A22" s="15" t="s">
        <v>4</v>
      </c>
      <c r="B22" s="20">
        <f t="shared" ref="B22:J28" si="8">$M9*B9/$K9</f>
        <v>0</v>
      </c>
      <c r="C22" s="20">
        <f t="shared" si="8"/>
        <v>1.0082543218790641E-3</v>
      </c>
      <c r="D22" s="20">
        <f t="shared" si="8"/>
        <v>4.6379698806436949E-2</v>
      </c>
      <c r="E22" s="20">
        <f t="shared" si="8"/>
        <v>2.0165086437581282E-3</v>
      </c>
      <c r="F22" s="20">
        <f t="shared" si="8"/>
        <v>6.049525931274384E-3</v>
      </c>
      <c r="G22" s="20">
        <f t="shared" si="8"/>
        <v>0</v>
      </c>
      <c r="H22" s="20">
        <f t="shared" si="8"/>
        <v>0</v>
      </c>
      <c r="I22" s="20">
        <f t="shared" si="8"/>
        <v>0</v>
      </c>
      <c r="J22" s="20">
        <f t="shared" si="8"/>
        <v>0</v>
      </c>
      <c r="K22" s="21">
        <f t="shared" si="4"/>
        <v>5.5453987703348528E-2</v>
      </c>
      <c r="L22" s="1">
        <f t="shared" si="5"/>
        <v>16047072</v>
      </c>
      <c r="M22" s="18">
        <f t="shared" si="6"/>
        <v>5.5453987703348522E-2</v>
      </c>
      <c r="O22" s="15" t="s">
        <v>3</v>
      </c>
      <c r="P22" s="1">
        <f t="shared" ref="P22:P29" si="9">2*(P8^0.5)</f>
        <v>1.8154566514468621E-4</v>
      </c>
      <c r="Q22" s="30">
        <f t="shared" ref="Q22:Q29" si="10">K34-P22</f>
        <v>0.94015119344599407</v>
      </c>
      <c r="R22" s="30">
        <f t="shared" ref="R22:R29" si="11">K34+P22</f>
        <v>0.94051428477628352</v>
      </c>
      <c r="S22" s="1">
        <f t="shared" si="7"/>
        <v>2.771638851234077E-4</v>
      </c>
      <c r="T22" s="30">
        <f t="shared" ref="T22:T29" si="12">L34-S22</f>
        <v>0.99972283611487656</v>
      </c>
      <c r="U22" s="30">
        <f t="shared" ref="U22:U29" si="13">L34+S22</f>
        <v>1.0002771638851233</v>
      </c>
    </row>
    <row r="23" spans="1:21" x14ac:dyDescent="0.2">
      <c r="A23" s="15" t="s">
        <v>5</v>
      </c>
      <c r="B23" s="20">
        <f t="shared" si="8"/>
        <v>0</v>
      </c>
      <c r="C23" s="20">
        <f t="shared" si="8"/>
        <v>0</v>
      </c>
      <c r="D23" s="20">
        <f t="shared" si="8"/>
        <v>5.2849479293603922E-4</v>
      </c>
      <c r="E23" s="20">
        <f t="shared" si="8"/>
        <v>4.7564531364243531E-2</v>
      </c>
      <c r="F23" s="20">
        <f t="shared" si="8"/>
        <v>4.2279583434883137E-3</v>
      </c>
      <c r="G23" s="20">
        <f t="shared" si="8"/>
        <v>0</v>
      </c>
      <c r="H23" s="20">
        <f t="shared" si="8"/>
        <v>0</v>
      </c>
      <c r="I23" s="20">
        <f t="shared" si="8"/>
        <v>0</v>
      </c>
      <c r="J23" s="20">
        <f t="shared" si="8"/>
        <v>0</v>
      </c>
      <c r="K23" s="21">
        <f t="shared" si="4"/>
        <v>5.2320984500667883E-2</v>
      </c>
      <c r="L23" s="1">
        <f t="shared" si="5"/>
        <v>15140455</v>
      </c>
      <c r="M23" s="18">
        <f t="shared" si="6"/>
        <v>5.2320984500667883E-2</v>
      </c>
      <c r="O23" s="15" t="s">
        <v>4</v>
      </c>
      <c r="P23" s="1">
        <f t="shared" si="9"/>
        <v>1.6424139564608089E-4</v>
      </c>
      <c r="Q23" s="30">
        <f t="shared" si="10"/>
        <v>0.65505124050642394</v>
      </c>
      <c r="R23" s="30">
        <f t="shared" si="11"/>
        <v>0.6553797232977161</v>
      </c>
      <c r="S23" s="1">
        <f t="shared" si="7"/>
        <v>4.3494662676405456E-5</v>
      </c>
      <c r="T23" s="30">
        <f t="shared" si="12"/>
        <v>0.83632014170095992</v>
      </c>
      <c r="U23" s="30">
        <f t="shared" si="13"/>
        <v>0.8364071310263127</v>
      </c>
    </row>
    <row r="24" spans="1:21" x14ac:dyDescent="0.2">
      <c r="A24" s="15" t="s">
        <v>6</v>
      </c>
      <c r="B24" s="20">
        <f t="shared" si="8"/>
        <v>0</v>
      </c>
      <c r="C24" s="20">
        <f t="shared" si="8"/>
        <v>0</v>
      </c>
      <c r="D24" s="20">
        <f t="shared" si="8"/>
        <v>2.1086615022710115E-2</v>
      </c>
      <c r="E24" s="20">
        <f t="shared" si="8"/>
        <v>2.1086615022710115E-2</v>
      </c>
      <c r="F24" s="20">
        <f t="shared" si="8"/>
        <v>7.9074806335162923E-2</v>
      </c>
      <c r="G24" s="20">
        <f t="shared" si="8"/>
        <v>0</v>
      </c>
      <c r="H24" s="20">
        <f t="shared" si="8"/>
        <v>0</v>
      </c>
      <c r="I24" s="20">
        <f t="shared" si="8"/>
        <v>0</v>
      </c>
      <c r="J24" s="20">
        <f t="shared" si="8"/>
        <v>0</v>
      </c>
      <c r="K24" s="21">
        <f t="shared" si="4"/>
        <v>0.12124803638058315</v>
      </c>
      <c r="L24" s="1">
        <f t="shared" si="5"/>
        <v>35086313</v>
      </c>
      <c r="M24" s="18">
        <f t="shared" si="6"/>
        <v>0.12124803638058315</v>
      </c>
      <c r="O24" s="15" t="s">
        <v>5</v>
      </c>
      <c r="P24" s="1">
        <f t="shared" si="9"/>
        <v>3.5766224365100313E-5</v>
      </c>
      <c r="Q24" s="30">
        <f t="shared" si="10"/>
        <v>0.67303781098110815</v>
      </c>
      <c r="R24" s="30">
        <f t="shared" si="11"/>
        <v>0.6731093434298383</v>
      </c>
      <c r="S24" s="1">
        <f t="shared" si="7"/>
        <v>3.3799151732115505E-5</v>
      </c>
      <c r="T24" s="30">
        <f t="shared" si="12"/>
        <v>0.90905710993917699</v>
      </c>
      <c r="U24" s="30">
        <f t="shared" si="13"/>
        <v>0.90912470824264113</v>
      </c>
    </row>
    <row r="25" spans="1:21" x14ac:dyDescent="0.2">
      <c r="A25" s="15" t="s">
        <v>7</v>
      </c>
      <c r="B25" s="20">
        <f t="shared" si="8"/>
        <v>0</v>
      </c>
      <c r="C25" s="20">
        <f t="shared" si="8"/>
        <v>0</v>
      </c>
      <c r="D25" s="20">
        <f t="shared" si="8"/>
        <v>0</v>
      </c>
      <c r="E25" s="20">
        <f t="shared" si="8"/>
        <v>0</v>
      </c>
      <c r="F25" s="20">
        <f t="shared" si="8"/>
        <v>1.1993806589918639E-2</v>
      </c>
      <c r="G25" s="20">
        <f t="shared" si="8"/>
        <v>6.596593624455252E-2</v>
      </c>
      <c r="H25" s="20">
        <f t="shared" si="8"/>
        <v>0</v>
      </c>
      <c r="I25" s="20">
        <f t="shared" si="8"/>
        <v>3.99793552997288E-3</v>
      </c>
      <c r="J25" s="20">
        <f t="shared" si="8"/>
        <v>0</v>
      </c>
      <c r="K25" s="21">
        <f t="shared" si="4"/>
        <v>8.1957678364444037E-2</v>
      </c>
      <c r="L25" s="1">
        <f t="shared" si="5"/>
        <v>23716613</v>
      </c>
      <c r="M25" s="18">
        <f t="shared" si="6"/>
        <v>8.1957678364444037E-2</v>
      </c>
      <c r="O25" s="15" t="s">
        <v>6</v>
      </c>
      <c r="P25" s="1">
        <f t="shared" si="9"/>
        <v>1.3557634620041156E-4</v>
      </c>
      <c r="Q25" s="30">
        <f t="shared" si="10"/>
        <v>0.75920099539929908</v>
      </c>
      <c r="R25" s="30">
        <f t="shared" si="11"/>
        <v>0.75947214809169994</v>
      </c>
      <c r="S25" s="1">
        <f t="shared" si="7"/>
        <v>5.5996550311329611E-5</v>
      </c>
      <c r="T25" s="30">
        <f t="shared" si="12"/>
        <v>0.65211791649316697</v>
      </c>
      <c r="U25" s="30">
        <f t="shared" si="13"/>
        <v>0.65222990959378957</v>
      </c>
    </row>
    <row r="26" spans="1:21" ht="15" customHeight="1" x14ac:dyDescent="0.2">
      <c r="A26" s="15" t="s">
        <v>8</v>
      </c>
      <c r="B26" s="20">
        <f t="shared" si="8"/>
        <v>0</v>
      </c>
      <c r="C26" s="20">
        <f t="shared" si="8"/>
        <v>0</v>
      </c>
      <c r="D26" s="20">
        <f t="shared" si="8"/>
        <v>0</v>
      </c>
      <c r="E26" s="20">
        <f t="shared" si="8"/>
        <v>0</v>
      </c>
      <c r="F26" s="20">
        <f t="shared" si="8"/>
        <v>0</v>
      </c>
      <c r="G26" s="20">
        <f t="shared" si="8"/>
        <v>2.4422390250570955E-4</v>
      </c>
      <c r="H26" s="20">
        <f t="shared" si="8"/>
        <v>2.6050549600609017E-3</v>
      </c>
      <c r="I26" s="20">
        <f t="shared" si="8"/>
        <v>2.2794230900532891E-3</v>
      </c>
      <c r="J26" s="20">
        <f t="shared" si="8"/>
        <v>0</v>
      </c>
      <c r="K26" s="21">
        <f t="shared" si="4"/>
        <v>5.1287019526199008E-3</v>
      </c>
      <c r="L26" s="1">
        <f t="shared" si="5"/>
        <v>1484125</v>
      </c>
      <c r="M26" s="18">
        <f t="shared" si="6"/>
        <v>5.1287019526198999E-3</v>
      </c>
      <c r="O26" s="15" t="s">
        <v>7</v>
      </c>
      <c r="P26" s="1">
        <f t="shared" si="9"/>
        <v>2.6991872925005896E-5</v>
      </c>
      <c r="Q26" s="30">
        <f t="shared" si="10"/>
        <v>0.99628439142590308</v>
      </c>
      <c r="R26" s="30">
        <f t="shared" si="11"/>
        <v>0.99633837517175305</v>
      </c>
      <c r="S26" s="1">
        <f t="shared" si="7"/>
        <v>4.6592562093334406E-5</v>
      </c>
      <c r="T26" s="30">
        <f t="shared" si="12"/>
        <v>0.80483145621839447</v>
      </c>
      <c r="U26" s="30">
        <f t="shared" si="13"/>
        <v>0.80492464134258124</v>
      </c>
    </row>
    <row r="27" spans="1:21" x14ac:dyDescent="0.2">
      <c r="A27" s="15" t="s">
        <v>9</v>
      </c>
      <c r="B27" s="20">
        <f t="shared" si="8"/>
        <v>0</v>
      </c>
      <c r="C27" s="20">
        <f t="shared" si="8"/>
        <v>2.8790536226976955E-4</v>
      </c>
      <c r="D27" s="20">
        <f t="shared" si="8"/>
        <v>0</v>
      </c>
      <c r="E27" s="20">
        <f t="shared" si="8"/>
        <v>0</v>
      </c>
      <c r="F27" s="20">
        <f t="shared" si="8"/>
        <v>0</v>
      </c>
      <c r="G27" s="20">
        <f t="shared" si="8"/>
        <v>0</v>
      </c>
      <c r="H27" s="20">
        <f t="shared" si="8"/>
        <v>2.8790536226976955E-4</v>
      </c>
      <c r="I27" s="20">
        <f t="shared" si="8"/>
        <v>1.4971078838028016E-2</v>
      </c>
      <c r="J27" s="20">
        <f t="shared" si="8"/>
        <v>0</v>
      </c>
      <c r="K27" s="21">
        <f t="shared" si="4"/>
        <v>1.5546889562567555E-2</v>
      </c>
      <c r="L27" s="1">
        <f t="shared" si="5"/>
        <v>4498902</v>
      </c>
      <c r="M27" s="18">
        <f t="shared" si="6"/>
        <v>1.5546889562567555E-2</v>
      </c>
      <c r="O27" s="15" t="s">
        <v>8</v>
      </c>
      <c r="P27" s="1">
        <f t="shared" si="9"/>
        <v>6.3198464890539886E-4</v>
      </c>
      <c r="Q27" s="30">
        <f t="shared" si="10"/>
        <v>0.89984872362509449</v>
      </c>
      <c r="R27" s="30">
        <f t="shared" si="11"/>
        <v>0.90111269292290519</v>
      </c>
      <c r="S27" s="1">
        <f t="shared" si="7"/>
        <v>5.8777860332473336E-5</v>
      </c>
      <c r="T27" s="30">
        <f t="shared" si="12"/>
        <v>0.50787773007617543</v>
      </c>
      <c r="U27" s="30">
        <f t="shared" si="13"/>
        <v>0.50799528579684039</v>
      </c>
    </row>
    <row r="28" spans="1:21" x14ac:dyDescent="0.2">
      <c r="A28" s="15" t="s">
        <v>10</v>
      </c>
      <c r="B28" s="20">
        <f t="shared" si="8"/>
        <v>0</v>
      </c>
      <c r="C28" s="20">
        <f t="shared" si="8"/>
        <v>0</v>
      </c>
      <c r="D28" s="20">
        <f t="shared" si="8"/>
        <v>0</v>
      </c>
      <c r="E28" s="20">
        <f t="shared" si="8"/>
        <v>0</v>
      </c>
      <c r="F28" s="20">
        <f t="shared" si="8"/>
        <v>0</v>
      </c>
      <c r="G28" s="20">
        <f t="shared" si="8"/>
        <v>0</v>
      </c>
      <c r="H28" s="20">
        <f t="shared" si="8"/>
        <v>0</v>
      </c>
      <c r="I28" s="20">
        <f t="shared" si="8"/>
        <v>0</v>
      </c>
      <c r="J28" s="20">
        <f t="shared" si="8"/>
        <v>0.5139677176095323</v>
      </c>
      <c r="K28" s="21">
        <f t="shared" si="4"/>
        <v>0.5139677176095323</v>
      </c>
      <c r="L28" s="1">
        <f t="shared" si="5"/>
        <v>148730097</v>
      </c>
      <c r="M28" s="18">
        <f t="shared" si="6"/>
        <v>0.5139677176095323</v>
      </c>
      <c r="O28" s="15" t="s">
        <v>9</v>
      </c>
      <c r="P28" s="1">
        <f t="shared" si="9"/>
        <v>2.8022450506409046E-4</v>
      </c>
      <c r="Q28" s="30">
        <f t="shared" si="10"/>
        <v>0.70429294081977034</v>
      </c>
      <c r="R28" s="30">
        <f t="shared" si="11"/>
        <v>0.70485338982989842</v>
      </c>
      <c r="S28" s="1">
        <f t="shared" si="7"/>
        <v>2.2203497794961722E-5</v>
      </c>
      <c r="T28" s="30">
        <f t="shared" si="12"/>
        <v>0.96294075946516811</v>
      </c>
      <c r="U28" s="30">
        <f t="shared" si="13"/>
        <v>0.96298516646075794</v>
      </c>
    </row>
    <row r="29" spans="1:21" x14ac:dyDescent="0.2">
      <c r="A29" s="23" t="s">
        <v>0</v>
      </c>
      <c r="B29" s="27">
        <f>SUM(B20:B28)</f>
        <v>0.12836782356958878</v>
      </c>
      <c r="C29" s="27">
        <f t="shared" ref="C29:J29" si="14">SUM(C20:C28)</f>
        <v>2.1723130320379844E-2</v>
      </c>
      <c r="D29" s="27">
        <f t="shared" si="14"/>
        <v>7.0785413482291559E-2</v>
      </c>
      <c r="E29" s="27">
        <f t="shared" si="14"/>
        <v>7.0667655030711776E-2</v>
      </c>
      <c r="F29" s="27">
        <f t="shared" si="14"/>
        <v>0.10413670206005271</v>
      </c>
      <c r="G29" s="27">
        <f t="shared" si="14"/>
        <v>6.6210160147058231E-2</v>
      </c>
      <c r="H29" s="27">
        <f t="shared" si="14"/>
        <v>2.8929603223306712E-3</v>
      </c>
      <c r="I29" s="27">
        <f t="shared" si="14"/>
        <v>2.1248437458054187E-2</v>
      </c>
      <c r="J29" s="27">
        <f t="shared" si="14"/>
        <v>0.5139677176095323</v>
      </c>
      <c r="K29" s="27">
        <f>SUM(K20:K28)</f>
        <v>1</v>
      </c>
      <c r="L29" s="24">
        <f>L16</f>
        <v>289376340</v>
      </c>
      <c r="M29" s="26">
        <f>SUM(M20:M28)</f>
        <v>1</v>
      </c>
      <c r="O29" s="12" t="s">
        <v>10</v>
      </c>
      <c r="P29" s="28">
        <f t="shared" si="9"/>
        <v>0</v>
      </c>
      <c r="Q29" s="40">
        <f t="shared" si="10"/>
        <v>1</v>
      </c>
      <c r="R29" s="40">
        <f t="shared" si="11"/>
        <v>1</v>
      </c>
      <c r="S29" s="28">
        <f t="shared" si="7"/>
        <v>0</v>
      </c>
      <c r="T29" s="40">
        <f t="shared" si="12"/>
        <v>1</v>
      </c>
      <c r="U29" s="40">
        <f t="shared" si="13"/>
        <v>1</v>
      </c>
    </row>
    <row r="31" spans="1:21" x14ac:dyDescent="0.2">
      <c r="E31" s="33" t="s">
        <v>49</v>
      </c>
      <c r="J31" s="33" t="s">
        <v>22</v>
      </c>
    </row>
    <row r="32" spans="1:21" x14ac:dyDescent="0.2">
      <c r="E32" s="24"/>
      <c r="F32" s="38" t="s">
        <v>24</v>
      </c>
      <c r="G32" s="38" t="s">
        <v>23</v>
      </c>
      <c r="H32" s="38" t="s">
        <v>25</v>
      </c>
      <c r="J32" s="24"/>
      <c r="K32" s="38" t="s">
        <v>23</v>
      </c>
      <c r="L32" s="38" t="s">
        <v>24</v>
      </c>
      <c r="M32" s="38" t="s">
        <v>25</v>
      </c>
      <c r="O32" s="24"/>
      <c r="P32" s="38" t="s">
        <v>127</v>
      </c>
      <c r="Q32" s="11" t="s">
        <v>129</v>
      </c>
      <c r="R32" s="11" t="s">
        <v>128</v>
      </c>
      <c r="S32" s="173"/>
    </row>
    <row r="33" spans="5:19" x14ac:dyDescent="0.2">
      <c r="E33" s="36" t="s">
        <v>2</v>
      </c>
      <c r="F33" s="30">
        <f>'UA PA'!D18</f>
        <v>0.95833333333333337</v>
      </c>
      <c r="G33" s="30">
        <f>'UA PA'!E18</f>
        <v>1</v>
      </c>
      <c r="J33" s="36" t="s">
        <v>2</v>
      </c>
      <c r="K33" s="30">
        <f>B20/B29</f>
        <v>1</v>
      </c>
      <c r="L33" s="30">
        <f>B20/K20</f>
        <v>0.95833333333333315</v>
      </c>
      <c r="M33" s="30"/>
      <c r="O33" s="15" t="s">
        <v>25</v>
      </c>
      <c r="P33" s="1">
        <f>2*(R16)^0.5</f>
        <v>2.867230075851628E-5</v>
      </c>
      <c r="Q33" s="30">
        <f>M42-P33</f>
        <v>0.91929494606307838</v>
      </c>
      <c r="R33" s="30">
        <f>M42+P33</f>
        <v>0.91935229066459545</v>
      </c>
      <c r="S33" s="30"/>
    </row>
    <row r="34" spans="5:19" x14ac:dyDescent="0.2">
      <c r="E34" s="36" t="s">
        <v>3</v>
      </c>
      <c r="F34" s="30">
        <f>'UA PA'!D19</f>
        <v>1</v>
      </c>
      <c r="G34" s="30">
        <f>'UA PA'!E19</f>
        <v>0.97222222222222221</v>
      </c>
      <c r="J34" s="36" t="s">
        <v>3</v>
      </c>
      <c r="K34" s="30">
        <f>C21/C29</f>
        <v>0.94033273911113879</v>
      </c>
      <c r="L34" s="30">
        <f>C21/K21</f>
        <v>1</v>
      </c>
      <c r="M34" s="30"/>
    </row>
    <row r="35" spans="5:19" x14ac:dyDescent="0.2">
      <c r="E35" s="36" t="s">
        <v>4</v>
      </c>
      <c r="F35" s="30">
        <f>'UA PA'!D20</f>
        <v>0.83636363636363631</v>
      </c>
      <c r="G35" s="30">
        <f>'UA PA'!E20</f>
        <v>0.88461538461538458</v>
      </c>
      <c r="J35" s="36" t="s">
        <v>4</v>
      </c>
      <c r="K35" s="30">
        <f>D22/D29</f>
        <v>0.65521548190207002</v>
      </c>
      <c r="L35" s="30">
        <f>D22/K22</f>
        <v>0.83636363636363631</v>
      </c>
      <c r="M35" s="30"/>
    </row>
    <row r="36" spans="5:19" x14ac:dyDescent="0.2">
      <c r="E36" s="36" t="s">
        <v>5</v>
      </c>
      <c r="F36" s="30">
        <f>'UA PA'!D21</f>
        <v>0.90909090909090906</v>
      </c>
      <c r="G36" s="30">
        <f>'UA PA'!E21</f>
        <v>0.9375</v>
      </c>
      <c r="J36" s="36" t="s">
        <v>5</v>
      </c>
      <c r="K36" s="30">
        <f>E23/E29</f>
        <v>0.67307357720547323</v>
      </c>
      <c r="L36" s="30">
        <f>E23/K23</f>
        <v>0.90909090909090906</v>
      </c>
      <c r="M36" s="30"/>
    </row>
    <row r="37" spans="5:19" x14ac:dyDescent="0.2">
      <c r="E37" s="37" t="s">
        <v>6</v>
      </c>
      <c r="F37" s="30">
        <f>'UA PA'!D22</f>
        <v>0.65217391304347827</v>
      </c>
      <c r="G37" s="30">
        <f>'UA PA'!E22</f>
        <v>0.35714285714285715</v>
      </c>
      <c r="J37" s="37" t="s">
        <v>6</v>
      </c>
      <c r="K37" s="30">
        <f>F24/F29</f>
        <v>0.75933657174549951</v>
      </c>
      <c r="L37" s="30">
        <f>F24/K24</f>
        <v>0.65217391304347827</v>
      </c>
      <c r="M37" s="30"/>
    </row>
    <row r="38" spans="5:19" x14ac:dyDescent="0.2">
      <c r="E38" s="36" t="s">
        <v>7</v>
      </c>
      <c r="F38" s="30">
        <f>'UA PA'!D23</f>
        <v>0.80487804878048785</v>
      </c>
      <c r="G38" s="30">
        <f>'UA PA'!E23</f>
        <v>0.95652173913043481</v>
      </c>
      <c r="J38" s="36" t="s">
        <v>7</v>
      </c>
      <c r="K38" s="30">
        <f>G25/G29</f>
        <v>0.99631138329882807</v>
      </c>
      <c r="L38" s="30">
        <f>G25/K25</f>
        <v>0.80487804878048785</v>
      </c>
      <c r="M38" s="30"/>
    </row>
    <row r="39" spans="5:19" x14ac:dyDescent="0.2">
      <c r="E39" s="36" t="s">
        <v>8</v>
      </c>
      <c r="F39" s="30">
        <f>'UA PA'!D24</f>
        <v>0.50793650793650791</v>
      </c>
      <c r="G39" s="30">
        <f>'UA PA'!E24</f>
        <v>0.96969696969696972</v>
      </c>
      <c r="J39" s="36" t="s">
        <v>8</v>
      </c>
      <c r="K39" s="30">
        <f>H26/H29</f>
        <v>0.90048070827399984</v>
      </c>
      <c r="L39" s="30">
        <f>H26/K26</f>
        <v>0.50793650793650791</v>
      </c>
      <c r="M39" s="30"/>
    </row>
    <row r="40" spans="5:19" x14ac:dyDescent="0.2">
      <c r="E40" s="36" t="s">
        <v>9</v>
      </c>
      <c r="F40" s="30">
        <f>'UA PA'!D25</f>
        <v>0.96296296296296291</v>
      </c>
      <c r="G40" s="30">
        <f>'UA PA'!E25</f>
        <v>0.61904761904761907</v>
      </c>
      <c r="J40" s="36" t="s">
        <v>9</v>
      </c>
      <c r="K40" s="30">
        <f>I27/I29</f>
        <v>0.70457316532483438</v>
      </c>
      <c r="L40" s="30">
        <f>I27/K27</f>
        <v>0.96296296296296302</v>
      </c>
      <c r="M40" s="30"/>
    </row>
    <row r="41" spans="5:19" x14ac:dyDescent="0.2">
      <c r="E41" s="39" t="s">
        <v>10</v>
      </c>
      <c r="F41" s="40">
        <f>'UA PA'!D26</f>
        <v>1</v>
      </c>
      <c r="G41" s="40">
        <f>'UA PA'!E26</f>
        <v>1</v>
      </c>
      <c r="H41" s="28"/>
      <c r="J41" s="39" t="s">
        <v>10</v>
      </c>
      <c r="K41" s="40">
        <f>J28/J29</f>
        <v>1</v>
      </c>
      <c r="L41" s="40">
        <f>J28/K28</f>
        <v>1</v>
      </c>
      <c r="M41" s="40"/>
    </row>
    <row r="42" spans="5:19" x14ac:dyDescent="0.2">
      <c r="H42" s="30">
        <f>OA!C7</f>
        <v>0.8729372937293729</v>
      </c>
      <c r="M42" s="30">
        <f>B20+C21+D22+E23+F24+G25+H26+I27+J28</f>
        <v>0.91932361836383691</v>
      </c>
    </row>
  </sheetData>
  <mergeCells count="2">
    <mergeCell ref="P19:R19"/>
    <mergeCell ref="S19:U19"/>
  </mergeCells>
  <pageMargins left="0.7" right="0.7" top="0.75" bottom="0.75" header="0.3" footer="0.3"/>
  <ignoredErrors>
    <ignoredError sqref="L29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U42"/>
  <sheetViews>
    <sheetView zoomScale="90" zoomScaleNormal="90" workbookViewId="0"/>
  </sheetViews>
  <sheetFormatPr baseColWidth="10" defaultRowHeight="15" x14ac:dyDescent="0.2"/>
  <cols>
    <col min="1" max="12" width="10.83203125" style="1" customWidth="1"/>
    <col min="13" max="14" width="10.83203125" style="1"/>
    <col min="15" max="21" width="12.83203125" style="1" customWidth="1"/>
    <col min="22" max="16384" width="10.83203125" style="1"/>
  </cols>
  <sheetData>
    <row r="1" spans="1:19" ht="19" x14ac:dyDescent="0.25">
      <c r="A1" s="3" t="s">
        <v>82</v>
      </c>
    </row>
    <row r="3" spans="1:19" ht="16" x14ac:dyDescent="0.2">
      <c r="A3" s="19" t="s">
        <v>16</v>
      </c>
    </row>
    <row r="5" spans="1:19" ht="15" customHeight="1" x14ac:dyDescent="0.2">
      <c r="A5" s="32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4"/>
      <c r="O5" s="32" t="s">
        <v>125</v>
      </c>
    </row>
    <row r="6" spans="1:19" ht="15" customHeight="1" x14ac:dyDescent="0.2">
      <c r="A6" s="10"/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0</v>
      </c>
      <c r="L6" s="11" t="s">
        <v>18</v>
      </c>
      <c r="M6" s="11" t="s">
        <v>19</v>
      </c>
      <c r="O6" s="10"/>
      <c r="P6" s="11" t="s">
        <v>23</v>
      </c>
      <c r="Q6" s="11" t="s">
        <v>24</v>
      </c>
      <c r="R6" s="11" t="s">
        <v>25</v>
      </c>
      <c r="S6" s="173"/>
    </row>
    <row r="7" spans="1:19" x14ac:dyDescent="0.2">
      <c r="A7" s="15" t="s">
        <v>2</v>
      </c>
      <c r="B7" s="16">
        <f t="array" ref="B7:J15">TRANSPOSE('Error Matrix'!B31:J39)</f>
        <v>46</v>
      </c>
      <c r="C7" s="16">
        <v>0</v>
      </c>
      <c r="D7" s="16">
        <v>1</v>
      </c>
      <c r="E7" s="16">
        <v>0</v>
      </c>
      <c r="F7" s="16">
        <v>1</v>
      </c>
      <c r="G7" s="16">
        <v>0</v>
      </c>
      <c r="H7" s="16">
        <v>0</v>
      </c>
      <c r="I7" s="16">
        <v>0</v>
      </c>
      <c r="J7" s="16">
        <v>0</v>
      </c>
      <c r="K7" s="14">
        <f>SUM(B7:J7)</f>
        <v>48</v>
      </c>
      <c r="L7" s="110">
        <f>Sampling!S21</f>
        <v>38761681</v>
      </c>
      <c r="M7" s="18">
        <f>L7/$L$16</f>
        <v>0.13394903329000568</v>
      </c>
      <c r="O7" s="15" t="s">
        <v>2</v>
      </c>
      <c r="P7" s="135">
        <f>B20*(B29^-4)*(B20*((B21*(M21-B21)/(M21*$L$29))+(B22*(M22-B22)/(M22*$L$29))+(B23*(M23-B23)/(M23*$L$29))+(B24*(M24-B24)/(M24*$L$29))+(B25*(M25-B25)/(M25*$L$29))+(B26*(M26-B26)/(M26*$L$29))+(B27*(M27-B27)/(M27*$L$29))+(B28*(M28-B28)/(M28*$L$29)))+(M20-B20)*((B29-B20)^2)/(M20*$L$29))</f>
        <v>0</v>
      </c>
      <c r="Q7" s="1">
        <f>(B20*(M20-B20))/((M20^2)*$L$29)</f>
        <v>1.379883219048092E-10</v>
      </c>
    </row>
    <row r="8" spans="1:19" x14ac:dyDescent="0.2">
      <c r="A8" s="15" t="s">
        <v>3</v>
      </c>
      <c r="B8" s="16">
        <v>0</v>
      </c>
      <c r="C8" s="16">
        <v>70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4">
        <f t="shared" ref="K8:K15" si="0">SUM(B8:J8)</f>
        <v>70</v>
      </c>
      <c r="L8" s="110">
        <f>Sampling!S7</f>
        <v>5911082</v>
      </c>
      <c r="M8" s="18">
        <f t="shared" ref="M8:M15" si="1">L8/$L$16</f>
        <v>2.0426970636231008E-2</v>
      </c>
      <c r="O8" s="15" t="s">
        <v>3</v>
      </c>
      <c r="P8" s="1">
        <f>C21*(C29^-4)*(C21*((C20*(M20-C20)/(M20*$L$29))+(C22*(M22-C22)/(M22*$L$29))+(C23*(M23-C23)/(M23*$L$29))+(C24*(M24-C24)/(M24*$L$29))+(C25*(M25-C25)/(M25*$L$29))+(C26*(M26-C26)/(M26*$L$29))+(C27*(M27-C27)/(M27*$L$29))+(C28*(M28-C28)/(M28*$L$29)))+(M21-C21)*((C29-C21)^2)/(M21*$L$29))</f>
        <v>8.2397071332066319E-9</v>
      </c>
      <c r="Q8" s="1">
        <f>(C21*(M20-C21))/((M21^2)*$L$29)</f>
        <v>1.9204954804175387E-8</v>
      </c>
    </row>
    <row r="9" spans="1:19" x14ac:dyDescent="0.2">
      <c r="A9" s="15" t="s">
        <v>4</v>
      </c>
      <c r="B9" s="16">
        <v>0</v>
      </c>
      <c r="C9" s="16">
        <v>1</v>
      </c>
      <c r="D9" s="16">
        <v>46</v>
      </c>
      <c r="E9" s="16">
        <v>2</v>
      </c>
      <c r="F9" s="16">
        <v>6</v>
      </c>
      <c r="G9" s="16">
        <v>0</v>
      </c>
      <c r="H9" s="16">
        <v>0</v>
      </c>
      <c r="I9" s="16">
        <v>0</v>
      </c>
      <c r="J9" s="16">
        <v>0</v>
      </c>
      <c r="K9" s="14">
        <f t="shared" si="0"/>
        <v>55</v>
      </c>
      <c r="L9" s="110">
        <f>Sampling!S8</f>
        <v>16047072</v>
      </c>
      <c r="M9" s="18">
        <f t="shared" si="1"/>
        <v>5.5453987703348522E-2</v>
      </c>
      <c r="O9" s="15" t="s">
        <v>4</v>
      </c>
      <c r="P9" s="1">
        <f>D22*(D29^-4)*(D22*((D20*(M20-D20)/(M20*$L$29))+(D21*(M21-D21)/(M21*$L$29))+(D23*(M23-D23)/(M23*$L$29))+(D24*(M24-D24)/(M24*$L$29))+(D25*(M25-D25)/(M25*$L$29))+(D26*(M26-D26)/(M26*$L$29))+(D27*(M27-D27)/(M27*$L$29))+(D28*(M28-D28)/(M28*$L$29)))+(M22-D22)*((D29-D22)^2)/(M22*$L$29))</f>
        <v>6.7438090109431199E-9</v>
      </c>
      <c r="Q9" s="1">
        <f>(D22*(M22-D22))/((M22^2)*$L$29)</f>
        <v>4.7294642033357442E-10</v>
      </c>
    </row>
    <row r="10" spans="1:19" x14ac:dyDescent="0.2">
      <c r="A10" s="15" t="s">
        <v>5</v>
      </c>
      <c r="B10" s="16">
        <v>0</v>
      </c>
      <c r="C10" s="16">
        <v>0</v>
      </c>
      <c r="D10" s="16">
        <v>1</v>
      </c>
      <c r="E10" s="16">
        <v>90</v>
      </c>
      <c r="F10" s="16">
        <v>8</v>
      </c>
      <c r="G10" s="16">
        <v>0</v>
      </c>
      <c r="H10" s="16">
        <v>0</v>
      </c>
      <c r="I10" s="16">
        <v>0</v>
      </c>
      <c r="J10" s="16">
        <v>0</v>
      </c>
      <c r="K10" s="14">
        <f t="shared" si="0"/>
        <v>99</v>
      </c>
      <c r="L10" s="110">
        <f>Sampling!S9</f>
        <v>15140455</v>
      </c>
      <c r="M10" s="18">
        <f t="shared" si="1"/>
        <v>5.2320984500667883E-2</v>
      </c>
      <c r="O10" s="15" t="s">
        <v>5</v>
      </c>
      <c r="P10" s="1">
        <f>E23*(E29^-4)*(E23*(0)+(M23-E23)*((E29-E23)^2)/(M23*$L$29))</f>
        <v>3.1980570133367388E-10</v>
      </c>
      <c r="Q10" s="183">
        <f>(E23*(M23-E23))/((M23^2)*$L$29)</f>
        <v>2.8559566445264166E-10</v>
      </c>
    </row>
    <row r="11" spans="1:19" x14ac:dyDescent="0.2">
      <c r="A11" s="15" t="s">
        <v>6</v>
      </c>
      <c r="B11" s="16">
        <v>0</v>
      </c>
      <c r="C11" s="16">
        <v>0</v>
      </c>
      <c r="D11" s="16">
        <v>4</v>
      </c>
      <c r="E11" s="16">
        <v>4</v>
      </c>
      <c r="F11" s="16">
        <v>15</v>
      </c>
      <c r="G11" s="16">
        <v>0</v>
      </c>
      <c r="H11" s="16">
        <v>0</v>
      </c>
      <c r="I11" s="16">
        <v>0</v>
      </c>
      <c r="J11" s="16">
        <v>0</v>
      </c>
      <c r="K11" s="14">
        <f t="shared" si="0"/>
        <v>23</v>
      </c>
      <c r="L11" s="110">
        <f>Sampling!S10</f>
        <v>35086313</v>
      </c>
      <c r="M11" s="18">
        <f t="shared" si="1"/>
        <v>0.12124803638058315</v>
      </c>
      <c r="O11" s="15" t="s">
        <v>6</v>
      </c>
      <c r="P11" s="1">
        <f>F24*(F29^-4)*(F24*((F20*(M20-F20)/(M20*$L$29))+(F21*(M21-F21)/(M21*$L$29))+(F22*(M22-F22)/(M22*$L$29))+(F23*(M23-F23)/(M23*$L$29))+(F25*(M25-F25)/(M25*$L$29))+(F26*(M26-F26)/(M26*$L$29))+(F27*(M27-F27)/(M27*$L$29))+(F28*(M28-F28)/(M28*$L$29)))+(M24-F24)*((F29-F24)^2)/(M24*$L$29))</f>
        <v>4.595236412263463E-9</v>
      </c>
      <c r="Q11" s="1">
        <f>(F24*(M24-F24))/((M24^2)*$L$29)</f>
        <v>7.8390341169231718E-10</v>
      </c>
    </row>
    <row r="12" spans="1:19" x14ac:dyDescent="0.2">
      <c r="A12" s="15" t="s">
        <v>7</v>
      </c>
      <c r="B12" s="16">
        <v>0</v>
      </c>
      <c r="C12" s="16">
        <v>0</v>
      </c>
      <c r="D12" s="16">
        <v>0</v>
      </c>
      <c r="E12" s="16">
        <v>0</v>
      </c>
      <c r="F12" s="16">
        <v>12</v>
      </c>
      <c r="G12" s="16">
        <v>66</v>
      </c>
      <c r="H12" s="16">
        <v>0</v>
      </c>
      <c r="I12" s="16">
        <v>4</v>
      </c>
      <c r="J12" s="16">
        <v>0</v>
      </c>
      <c r="K12" s="14">
        <f t="shared" si="0"/>
        <v>82</v>
      </c>
      <c r="L12" s="110">
        <f>Sampling!S11</f>
        <v>23716613</v>
      </c>
      <c r="M12" s="18">
        <f t="shared" si="1"/>
        <v>8.1957678364444037E-2</v>
      </c>
      <c r="O12" s="15" t="s">
        <v>7</v>
      </c>
      <c r="P12" s="1">
        <f>G25*(G29^-4)*(G25*((G20*(M20-G20)/(M20*$L$29))+(G21*(M21-G21)/(M21*$L$29))+(G22*(M22-G22)/(M22*$L$29))+(G23*(M23-G23)/(M23*$L$29))+(G24*(M24-G24)/(M24*$L$29))+(G26*(M26-G26)/(M26*$L$29))+(G27*(M27-G27)/(M27*$L$29))+(G28*(M28-G28)/(M28*$L$29)))+(M25-G25)*((G29-G25)^2)/(M25*$L$29))</f>
        <v>1.821403009999166E-10</v>
      </c>
      <c r="Q12" s="1">
        <f>(G25*(M25-G25))/((M25^2)*$L$29)</f>
        <v>5.4271671060530553E-10</v>
      </c>
    </row>
    <row r="13" spans="1:19" x14ac:dyDescent="0.2">
      <c r="A13" s="15" t="s">
        <v>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3</v>
      </c>
      <c r="H13" s="16">
        <v>32</v>
      </c>
      <c r="I13" s="16">
        <v>28</v>
      </c>
      <c r="J13" s="16">
        <v>0</v>
      </c>
      <c r="K13" s="14">
        <f t="shared" si="0"/>
        <v>63</v>
      </c>
      <c r="L13" s="110">
        <f>Sampling!S12</f>
        <v>1484125</v>
      </c>
      <c r="M13" s="18">
        <f t="shared" si="1"/>
        <v>5.1287019526198999E-3</v>
      </c>
      <c r="O13" s="15" t="s">
        <v>8</v>
      </c>
      <c r="P13" s="1">
        <f>H26*(H29^-4)*(H26*((H20*(M20-H20)/(M20*$L$29))+(H21*(M21-H21)/(M21*$L$29))+(H22*(M22-H22)/(M22*$L$29))+(H23*(M23-H23)/(M23*$L$29))+(H24*(M24-H24)/(M24*$L$29))+(H25*(M25-H25)/(M25*$L$29))+(H27*(M27-H27)/(M27*$L$29))+(H28*(M28-H28)/(M28*$L$29)))+(M26-H26)*((H29-H26)^2)/(M26*$L$29))</f>
        <v>9.9851149113020079E-8</v>
      </c>
      <c r="Q13" s="1">
        <f>(H26*(M26-H26))/((M26^2)*$L$29)</f>
        <v>8.6370921631593561E-10</v>
      </c>
    </row>
    <row r="14" spans="1:19" x14ac:dyDescent="0.2">
      <c r="A14" s="15" t="s">
        <v>9</v>
      </c>
      <c r="B14" s="16">
        <v>0</v>
      </c>
      <c r="C14" s="16">
        <v>1</v>
      </c>
      <c r="D14" s="16">
        <v>0</v>
      </c>
      <c r="E14" s="16">
        <v>0</v>
      </c>
      <c r="F14" s="16">
        <v>0</v>
      </c>
      <c r="G14" s="16">
        <v>0</v>
      </c>
      <c r="H14" s="16">
        <v>1</v>
      </c>
      <c r="I14" s="16">
        <v>52</v>
      </c>
      <c r="J14" s="16">
        <v>0</v>
      </c>
      <c r="K14" s="14">
        <f t="shared" si="0"/>
        <v>54</v>
      </c>
      <c r="L14" s="110">
        <f>Sampling!S13</f>
        <v>4498902</v>
      </c>
      <c r="M14" s="18">
        <f t="shared" si="1"/>
        <v>1.5546889562567555E-2</v>
      </c>
      <c r="O14" s="15" t="s">
        <v>9</v>
      </c>
      <c r="P14" s="1">
        <f>I27*(I29^-4)*(I27*((I20*(M20-I20)/(M20*$L$29))+(I21*(M21-I21)/(M21*$L$29))+(I22*(M22-I22)/(M22*$L$29))+(I23*(M23-I23)/(M23*$L$29))+(I24*(M24-I24)/(M24*$L$29))+(I25*(M25-I25)/(M25*$L$29))+(I26*(M26-I26)/(M26*$L$29))+(I28*(M28-I28)/(M28*$L$29)))+(M27-I27)*((I29-I27)^2)/(M27*$L$29))</f>
        <v>1.9631443309603616E-8</v>
      </c>
      <c r="Q14" s="1">
        <f>(I27*(M27-I27))/((M27^2)*$L$29)</f>
        <v>1.232488285827175E-10</v>
      </c>
    </row>
    <row r="15" spans="1:19" x14ac:dyDescent="0.2">
      <c r="A15" s="15" t="s">
        <v>10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112</v>
      </c>
      <c r="K15" s="14">
        <f t="shared" si="0"/>
        <v>112</v>
      </c>
      <c r="L15" s="110">
        <f>Sampling!S29</f>
        <v>148730097</v>
      </c>
      <c r="M15" s="18">
        <f t="shared" si="1"/>
        <v>0.5139677176095323</v>
      </c>
      <c r="O15" s="12" t="s">
        <v>10</v>
      </c>
      <c r="P15" s="28">
        <f>J28*(J29^-4)*(J28*((J20*(M20-J20)/(M20*$L$29))+(J21*(M21-J21)/(M21*$L$29))+(J22*(M22-J22)/(M22*$L$29))+(J23*(M23-J23)/(M23*$L$29))+(J24*(M24-J24)/(M24*$L$29))+(J25*(M25-J25)/(M25*$L$29))+(J26*(M26-J26)/(M26*$L$29))+(J27*(M27-J27)/(M27*$L$29)))+(M28-J28)*((J29-J28)^2)/(M28*$L$29))</f>
        <v>0</v>
      </c>
      <c r="Q15" s="28">
        <f>(J28*(M28-J28))/((M28^2)*$L$29)</f>
        <v>0</v>
      </c>
      <c r="R15" s="28"/>
      <c r="S15" s="14"/>
    </row>
    <row r="16" spans="1:19" ht="15" customHeight="1" x14ac:dyDescent="0.2">
      <c r="A16" s="23" t="s">
        <v>0</v>
      </c>
      <c r="B16" s="24">
        <f>SUM(B7:B15)</f>
        <v>46</v>
      </c>
      <c r="C16" s="24">
        <f t="shared" ref="C16:J16" si="2">SUM(C7:C15)</f>
        <v>72</v>
      </c>
      <c r="D16" s="24">
        <f t="shared" si="2"/>
        <v>52</v>
      </c>
      <c r="E16" s="24">
        <f t="shared" si="2"/>
        <v>96</v>
      </c>
      <c r="F16" s="24">
        <f t="shared" si="2"/>
        <v>42</v>
      </c>
      <c r="G16" s="24">
        <f t="shared" si="2"/>
        <v>69</v>
      </c>
      <c r="H16" s="24">
        <f t="shared" si="2"/>
        <v>33</v>
      </c>
      <c r="I16" s="24">
        <f t="shared" si="2"/>
        <v>84</v>
      </c>
      <c r="J16" s="24">
        <f t="shared" si="2"/>
        <v>112</v>
      </c>
      <c r="K16" s="24">
        <f>SUM(K7:K15)</f>
        <v>606</v>
      </c>
      <c r="L16" s="25">
        <f>SUM(L7:L15)</f>
        <v>289376340</v>
      </c>
      <c r="M16" s="26">
        <f>SUM(M7:M15)</f>
        <v>1</v>
      </c>
      <c r="R16" s="1">
        <f>((B20*((M20-B20)/(M20*L29)))+(C21*((M21-C21)/(M21*L29)))+(D22*((M22-D22)/(M22*L29)))+(E23*((M23-E23)/(M23*L29)))+(F24*((M24-F24)/(M24*L29)))+(G25*((M25-G25)/(M25*L29)))+(H26*((M26-H26)/(M26*L29)))+(I27*((M27-I27)/(M27*L29)))+(J28*((M28-J28)/(M28*L29))))</f>
        <v>2.0552520769670331E-10</v>
      </c>
    </row>
    <row r="18" spans="1:21" x14ac:dyDescent="0.2">
      <c r="A18" s="32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4"/>
      <c r="O18" s="32" t="s">
        <v>126</v>
      </c>
    </row>
    <row r="19" spans="1:21" x14ac:dyDescent="0.2">
      <c r="A19" s="10"/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  <c r="J19" s="11" t="s">
        <v>10</v>
      </c>
      <c r="K19" s="11" t="s">
        <v>0</v>
      </c>
      <c r="L19" s="11" t="s">
        <v>18</v>
      </c>
      <c r="M19" s="11" t="s">
        <v>19</v>
      </c>
      <c r="O19" s="151"/>
      <c r="P19" s="203" t="s">
        <v>23</v>
      </c>
      <c r="Q19" s="203"/>
      <c r="R19" s="203"/>
      <c r="S19" s="203" t="s">
        <v>24</v>
      </c>
      <c r="T19" s="203"/>
      <c r="U19" s="203"/>
    </row>
    <row r="20" spans="1:21" x14ac:dyDescent="0.2">
      <c r="A20" s="15" t="s">
        <v>2</v>
      </c>
      <c r="B20" s="20">
        <f>$M7*B7/$K7</f>
        <v>0.12836782356958878</v>
      </c>
      <c r="C20" s="20">
        <f t="shared" ref="C20:J21" si="3">$M7*C7/$K7</f>
        <v>0</v>
      </c>
      <c r="D20" s="20">
        <f t="shared" si="3"/>
        <v>2.7906048602084517E-3</v>
      </c>
      <c r="E20" s="20">
        <f t="shared" si="3"/>
        <v>0</v>
      </c>
      <c r="F20" s="20">
        <f t="shared" si="3"/>
        <v>2.7906048602084517E-3</v>
      </c>
      <c r="G20" s="20">
        <f t="shared" si="3"/>
        <v>0</v>
      </c>
      <c r="H20" s="20">
        <f t="shared" si="3"/>
        <v>0</v>
      </c>
      <c r="I20" s="20">
        <f t="shared" si="3"/>
        <v>0</v>
      </c>
      <c r="J20" s="20">
        <f t="shared" si="3"/>
        <v>0</v>
      </c>
      <c r="K20" s="21">
        <f>SUM(B20:J20)</f>
        <v>0.13394903329000571</v>
      </c>
      <c r="L20" s="1">
        <f>L7</f>
        <v>38761681</v>
      </c>
      <c r="M20" s="18">
        <f>L20/$L$29</f>
        <v>0.13394903329000568</v>
      </c>
      <c r="O20" s="174"/>
      <c r="P20" s="11" t="s">
        <v>127</v>
      </c>
      <c r="Q20" s="11" t="s">
        <v>129</v>
      </c>
      <c r="R20" s="11" t="s">
        <v>128</v>
      </c>
      <c r="S20" s="11" t="s">
        <v>127</v>
      </c>
      <c r="T20" s="11" t="s">
        <v>129</v>
      </c>
      <c r="U20" s="11" t="s">
        <v>128</v>
      </c>
    </row>
    <row r="21" spans="1:21" x14ac:dyDescent="0.2">
      <c r="A21" s="15" t="s">
        <v>3</v>
      </c>
      <c r="B21" s="20">
        <f>$M8*B8/$K8</f>
        <v>0</v>
      </c>
      <c r="C21" s="20">
        <f t="shared" si="3"/>
        <v>2.0426970636231008E-2</v>
      </c>
      <c r="D21" s="20">
        <f t="shared" si="3"/>
        <v>0</v>
      </c>
      <c r="E21" s="20">
        <f t="shared" si="3"/>
        <v>0</v>
      </c>
      <c r="F21" s="20">
        <f t="shared" si="3"/>
        <v>0</v>
      </c>
      <c r="G21" s="20">
        <f t="shared" si="3"/>
        <v>0</v>
      </c>
      <c r="H21" s="20">
        <f t="shared" si="3"/>
        <v>0</v>
      </c>
      <c r="I21" s="20">
        <f t="shared" si="3"/>
        <v>0</v>
      </c>
      <c r="J21" s="20">
        <f t="shared" si="3"/>
        <v>0</v>
      </c>
      <c r="K21" s="21">
        <f t="shared" ref="K21:K28" si="4">SUM(B21:J21)</f>
        <v>2.0426970636231008E-2</v>
      </c>
      <c r="L21" s="1">
        <f t="shared" ref="L21:L28" si="5">L8</f>
        <v>5911082</v>
      </c>
      <c r="M21" s="18">
        <f t="shared" ref="M21:M28" si="6">L21/$L$29</f>
        <v>2.0426970636231008E-2</v>
      </c>
      <c r="O21" s="15" t="s">
        <v>2</v>
      </c>
      <c r="P21" s="1">
        <f>2*(P7^0.5)</f>
        <v>0</v>
      </c>
      <c r="Q21" s="30">
        <f>K33-P21</f>
        <v>1</v>
      </c>
      <c r="R21" s="30">
        <f>K33+P21</f>
        <v>1</v>
      </c>
      <c r="S21" s="1">
        <f t="shared" ref="S21:S29" si="7">2*(Q7^0.5)</f>
        <v>2.3493686122429505E-5</v>
      </c>
      <c r="T21" s="30">
        <f>L33-S21</f>
        <v>0.95830983964721073</v>
      </c>
      <c r="U21" s="30">
        <f>L33+S21</f>
        <v>0.95835682701945557</v>
      </c>
    </row>
    <row r="22" spans="1:21" x14ac:dyDescent="0.2">
      <c r="A22" s="15" t="s">
        <v>4</v>
      </c>
      <c r="B22" s="20">
        <f t="shared" ref="B22:J28" si="8">$M9*B9/$K9</f>
        <v>0</v>
      </c>
      <c r="C22" s="20">
        <f t="shared" si="8"/>
        <v>1.0082543218790641E-3</v>
      </c>
      <c r="D22" s="20">
        <f t="shared" si="8"/>
        <v>4.6379698806436949E-2</v>
      </c>
      <c r="E22" s="20">
        <f t="shared" si="8"/>
        <v>2.0165086437581282E-3</v>
      </c>
      <c r="F22" s="20">
        <f t="shared" si="8"/>
        <v>6.049525931274384E-3</v>
      </c>
      <c r="G22" s="20">
        <f t="shared" si="8"/>
        <v>0</v>
      </c>
      <c r="H22" s="20">
        <f t="shared" si="8"/>
        <v>0</v>
      </c>
      <c r="I22" s="20">
        <f t="shared" si="8"/>
        <v>0</v>
      </c>
      <c r="J22" s="20">
        <f t="shared" si="8"/>
        <v>0</v>
      </c>
      <c r="K22" s="21">
        <f t="shared" si="4"/>
        <v>5.5453987703348528E-2</v>
      </c>
      <c r="L22" s="1">
        <f t="shared" si="5"/>
        <v>16047072</v>
      </c>
      <c r="M22" s="18">
        <f t="shared" si="6"/>
        <v>5.5453987703348522E-2</v>
      </c>
      <c r="O22" s="15" t="s">
        <v>3</v>
      </c>
      <c r="P22" s="1">
        <f t="shared" ref="P22:P29" si="9">2*(P8^0.5)</f>
        <v>1.8154566514468621E-4</v>
      </c>
      <c r="Q22" s="30">
        <f t="shared" ref="Q22:Q29" si="10">K34-P22</f>
        <v>0.94015119344599407</v>
      </c>
      <c r="R22" s="30">
        <f t="shared" ref="R22:R29" si="11">K34+P22</f>
        <v>0.94051428477628352</v>
      </c>
      <c r="S22" s="1">
        <f t="shared" si="7"/>
        <v>2.771638851234077E-4</v>
      </c>
      <c r="T22" s="30">
        <f t="shared" ref="T22:T29" si="12">L34-S22</f>
        <v>0.99972283611487656</v>
      </c>
      <c r="U22" s="30">
        <f t="shared" ref="U22:U29" si="13">L34+S22</f>
        <v>1.0002771638851233</v>
      </c>
    </row>
    <row r="23" spans="1:21" x14ac:dyDescent="0.2">
      <c r="A23" s="15" t="s">
        <v>5</v>
      </c>
      <c r="B23" s="20">
        <f t="shared" si="8"/>
        <v>0</v>
      </c>
      <c r="C23" s="20">
        <f t="shared" si="8"/>
        <v>0</v>
      </c>
      <c r="D23" s="20">
        <f t="shared" si="8"/>
        <v>5.2849479293603922E-4</v>
      </c>
      <c r="E23" s="20">
        <f t="shared" si="8"/>
        <v>4.7564531364243531E-2</v>
      </c>
      <c r="F23" s="20">
        <f t="shared" si="8"/>
        <v>4.2279583434883137E-3</v>
      </c>
      <c r="G23" s="20">
        <f t="shared" si="8"/>
        <v>0</v>
      </c>
      <c r="H23" s="20">
        <f t="shared" si="8"/>
        <v>0</v>
      </c>
      <c r="I23" s="20">
        <f t="shared" si="8"/>
        <v>0</v>
      </c>
      <c r="J23" s="20">
        <f t="shared" si="8"/>
        <v>0</v>
      </c>
      <c r="K23" s="21">
        <f t="shared" si="4"/>
        <v>5.2320984500667883E-2</v>
      </c>
      <c r="L23" s="1">
        <f t="shared" si="5"/>
        <v>15140455</v>
      </c>
      <c r="M23" s="18">
        <f t="shared" si="6"/>
        <v>5.2320984500667883E-2</v>
      </c>
      <c r="O23" s="15" t="s">
        <v>4</v>
      </c>
      <c r="P23" s="1">
        <f t="shared" si="9"/>
        <v>1.6424139564608089E-4</v>
      </c>
      <c r="Q23" s="30">
        <f t="shared" si="10"/>
        <v>0.65505124050642394</v>
      </c>
      <c r="R23" s="30">
        <f t="shared" si="11"/>
        <v>0.6553797232977161</v>
      </c>
      <c r="S23" s="1">
        <f t="shared" si="7"/>
        <v>4.3494662676405456E-5</v>
      </c>
      <c r="T23" s="30">
        <f t="shared" si="12"/>
        <v>0.83632014170095992</v>
      </c>
      <c r="U23" s="30">
        <f t="shared" si="13"/>
        <v>0.8364071310263127</v>
      </c>
    </row>
    <row r="24" spans="1:21" x14ac:dyDescent="0.2">
      <c r="A24" s="15" t="s">
        <v>6</v>
      </c>
      <c r="B24" s="20">
        <f t="shared" si="8"/>
        <v>0</v>
      </c>
      <c r="C24" s="20">
        <f t="shared" si="8"/>
        <v>0</v>
      </c>
      <c r="D24" s="20">
        <f t="shared" si="8"/>
        <v>2.1086615022710115E-2</v>
      </c>
      <c r="E24" s="20">
        <f t="shared" si="8"/>
        <v>2.1086615022710115E-2</v>
      </c>
      <c r="F24" s="20">
        <f t="shared" si="8"/>
        <v>7.9074806335162923E-2</v>
      </c>
      <c r="G24" s="20">
        <f t="shared" si="8"/>
        <v>0</v>
      </c>
      <c r="H24" s="20">
        <f t="shared" si="8"/>
        <v>0</v>
      </c>
      <c r="I24" s="20">
        <f t="shared" si="8"/>
        <v>0</v>
      </c>
      <c r="J24" s="20">
        <f t="shared" si="8"/>
        <v>0</v>
      </c>
      <c r="K24" s="21">
        <f t="shared" si="4"/>
        <v>0.12124803638058315</v>
      </c>
      <c r="L24" s="1">
        <f t="shared" si="5"/>
        <v>35086313</v>
      </c>
      <c r="M24" s="18">
        <f t="shared" si="6"/>
        <v>0.12124803638058315</v>
      </c>
      <c r="O24" s="15" t="s">
        <v>5</v>
      </c>
      <c r="P24" s="1">
        <f t="shared" si="9"/>
        <v>3.5766224365100313E-5</v>
      </c>
      <c r="Q24" s="30">
        <f t="shared" si="10"/>
        <v>0.67303781098110815</v>
      </c>
      <c r="R24" s="30">
        <f t="shared" si="11"/>
        <v>0.6731093434298383</v>
      </c>
      <c r="S24" s="1">
        <f t="shared" si="7"/>
        <v>3.3799151732115505E-5</v>
      </c>
      <c r="T24" s="30">
        <f t="shared" si="12"/>
        <v>0.90905710993917699</v>
      </c>
      <c r="U24" s="30">
        <f t="shared" si="13"/>
        <v>0.90912470824264113</v>
      </c>
    </row>
    <row r="25" spans="1:21" x14ac:dyDescent="0.2">
      <c r="A25" s="15" t="s">
        <v>7</v>
      </c>
      <c r="B25" s="20">
        <f t="shared" si="8"/>
        <v>0</v>
      </c>
      <c r="C25" s="20">
        <f t="shared" si="8"/>
        <v>0</v>
      </c>
      <c r="D25" s="20">
        <f t="shared" si="8"/>
        <v>0</v>
      </c>
      <c r="E25" s="20">
        <f t="shared" si="8"/>
        <v>0</v>
      </c>
      <c r="F25" s="20">
        <f t="shared" si="8"/>
        <v>1.1993806589918639E-2</v>
      </c>
      <c r="G25" s="20">
        <f t="shared" si="8"/>
        <v>6.596593624455252E-2</v>
      </c>
      <c r="H25" s="20">
        <f t="shared" si="8"/>
        <v>0</v>
      </c>
      <c r="I25" s="20">
        <f t="shared" si="8"/>
        <v>3.99793552997288E-3</v>
      </c>
      <c r="J25" s="20">
        <f t="shared" si="8"/>
        <v>0</v>
      </c>
      <c r="K25" s="21">
        <f t="shared" si="4"/>
        <v>8.1957678364444037E-2</v>
      </c>
      <c r="L25" s="1">
        <f t="shared" si="5"/>
        <v>23716613</v>
      </c>
      <c r="M25" s="18">
        <f t="shared" si="6"/>
        <v>8.1957678364444037E-2</v>
      </c>
      <c r="O25" s="15" t="s">
        <v>6</v>
      </c>
      <c r="P25" s="1">
        <f t="shared" si="9"/>
        <v>1.3557634620041156E-4</v>
      </c>
      <c r="Q25" s="30">
        <f t="shared" si="10"/>
        <v>0.75920099539929908</v>
      </c>
      <c r="R25" s="30">
        <f t="shared" si="11"/>
        <v>0.75947214809169994</v>
      </c>
      <c r="S25" s="1">
        <f t="shared" si="7"/>
        <v>5.5996550311329611E-5</v>
      </c>
      <c r="T25" s="30">
        <f t="shared" si="12"/>
        <v>0.65211791649316697</v>
      </c>
      <c r="U25" s="30">
        <f t="shared" si="13"/>
        <v>0.65222990959378957</v>
      </c>
    </row>
    <row r="26" spans="1:21" ht="15" customHeight="1" x14ac:dyDescent="0.2">
      <c r="A26" s="15" t="s">
        <v>8</v>
      </c>
      <c r="B26" s="20">
        <f t="shared" si="8"/>
        <v>0</v>
      </c>
      <c r="C26" s="20">
        <f t="shared" si="8"/>
        <v>0</v>
      </c>
      <c r="D26" s="20">
        <f t="shared" si="8"/>
        <v>0</v>
      </c>
      <c r="E26" s="20">
        <f t="shared" si="8"/>
        <v>0</v>
      </c>
      <c r="F26" s="20">
        <f t="shared" si="8"/>
        <v>0</v>
      </c>
      <c r="G26" s="20">
        <f t="shared" si="8"/>
        <v>2.4422390250570955E-4</v>
      </c>
      <c r="H26" s="20">
        <f t="shared" si="8"/>
        <v>2.6050549600609017E-3</v>
      </c>
      <c r="I26" s="20">
        <f t="shared" si="8"/>
        <v>2.2794230900532891E-3</v>
      </c>
      <c r="J26" s="20">
        <f t="shared" si="8"/>
        <v>0</v>
      </c>
      <c r="K26" s="21">
        <f t="shared" si="4"/>
        <v>5.1287019526199008E-3</v>
      </c>
      <c r="L26" s="1">
        <f t="shared" si="5"/>
        <v>1484125</v>
      </c>
      <c r="M26" s="18">
        <f t="shared" si="6"/>
        <v>5.1287019526198999E-3</v>
      </c>
      <c r="O26" s="15" t="s">
        <v>7</v>
      </c>
      <c r="P26" s="1">
        <f t="shared" si="9"/>
        <v>2.6991872925005896E-5</v>
      </c>
      <c r="Q26" s="30">
        <f t="shared" si="10"/>
        <v>0.99628439142590308</v>
      </c>
      <c r="R26" s="30">
        <f t="shared" si="11"/>
        <v>0.99633837517175305</v>
      </c>
      <c r="S26" s="1">
        <f t="shared" si="7"/>
        <v>4.6592562093334406E-5</v>
      </c>
      <c r="T26" s="30">
        <f t="shared" si="12"/>
        <v>0.80483145621839447</v>
      </c>
      <c r="U26" s="30">
        <f t="shared" si="13"/>
        <v>0.80492464134258124</v>
      </c>
    </row>
    <row r="27" spans="1:21" x14ac:dyDescent="0.2">
      <c r="A27" s="15" t="s">
        <v>9</v>
      </c>
      <c r="B27" s="20">
        <f t="shared" si="8"/>
        <v>0</v>
      </c>
      <c r="C27" s="20">
        <f t="shared" si="8"/>
        <v>2.8790536226976955E-4</v>
      </c>
      <c r="D27" s="20">
        <f t="shared" si="8"/>
        <v>0</v>
      </c>
      <c r="E27" s="20">
        <f t="shared" si="8"/>
        <v>0</v>
      </c>
      <c r="F27" s="20">
        <f t="shared" si="8"/>
        <v>0</v>
      </c>
      <c r="G27" s="20">
        <f t="shared" si="8"/>
        <v>0</v>
      </c>
      <c r="H27" s="20">
        <f t="shared" si="8"/>
        <v>2.8790536226976955E-4</v>
      </c>
      <c r="I27" s="20">
        <f t="shared" si="8"/>
        <v>1.4971078838028016E-2</v>
      </c>
      <c r="J27" s="20">
        <f t="shared" si="8"/>
        <v>0</v>
      </c>
      <c r="K27" s="21">
        <f t="shared" si="4"/>
        <v>1.5546889562567555E-2</v>
      </c>
      <c r="L27" s="1">
        <f t="shared" si="5"/>
        <v>4498902</v>
      </c>
      <c r="M27" s="18">
        <f t="shared" si="6"/>
        <v>1.5546889562567555E-2</v>
      </c>
      <c r="O27" s="15" t="s">
        <v>8</v>
      </c>
      <c r="P27" s="1">
        <f t="shared" si="9"/>
        <v>6.3198464890539886E-4</v>
      </c>
      <c r="Q27" s="30">
        <f t="shared" si="10"/>
        <v>0.89984872362509449</v>
      </c>
      <c r="R27" s="30">
        <f t="shared" si="11"/>
        <v>0.90111269292290519</v>
      </c>
      <c r="S27" s="1">
        <f t="shared" si="7"/>
        <v>5.8777860332473336E-5</v>
      </c>
      <c r="T27" s="30">
        <f t="shared" si="12"/>
        <v>0.50787773007617543</v>
      </c>
      <c r="U27" s="30">
        <f t="shared" si="13"/>
        <v>0.50799528579684039</v>
      </c>
    </row>
    <row r="28" spans="1:21" x14ac:dyDescent="0.2">
      <c r="A28" s="15" t="s">
        <v>10</v>
      </c>
      <c r="B28" s="20">
        <f t="shared" si="8"/>
        <v>0</v>
      </c>
      <c r="C28" s="20">
        <f t="shared" si="8"/>
        <v>0</v>
      </c>
      <c r="D28" s="20">
        <f t="shared" si="8"/>
        <v>0</v>
      </c>
      <c r="E28" s="20">
        <f t="shared" si="8"/>
        <v>0</v>
      </c>
      <c r="F28" s="20">
        <f t="shared" si="8"/>
        <v>0</v>
      </c>
      <c r="G28" s="20">
        <f t="shared" si="8"/>
        <v>0</v>
      </c>
      <c r="H28" s="20">
        <f t="shared" si="8"/>
        <v>0</v>
      </c>
      <c r="I28" s="20">
        <f t="shared" si="8"/>
        <v>0</v>
      </c>
      <c r="J28" s="20">
        <f t="shared" si="8"/>
        <v>0.5139677176095323</v>
      </c>
      <c r="K28" s="21">
        <f t="shared" si="4"/>
        <v>0.5139677176095323</v>
      </c>
      <c r="L28" s="1">
        <f t="shared" si="5"/>
        <v>148730097</v>
      </c>
      <c r="M28" s="18">
        <f t="shared" si="6"/>
        <v>0.5139677176095323</v>
      </c>
      <c r="O28" s="15" t="s">
        <v>9</v>
      </c>
      <c r="P28" s="1">
        <f t="shared" si="9"/>
        <v>2.8022450506409046E-4</v>
      </c>
      <c r="Q28" s="30">
        <f t="shared" si="10"/>
        <v>0.70429294081977034</v>
      </c>
      <c r="R28" s="30">
        <f t="shared" si="11"/>
        <v>0.70485338982989842</v>
      </c>
      <c r="S28" s="1">
        <f t="shared" si="7"/>
        <v>2.2203497794961722E-5</v>
      </c>
      <c r="T28" s="30">
        <f t="shared" si="12"/>
        <v>0.96294075946516811</v>
      </c>
      <c r="U28" s="30">
        <f t="shared" si="13"/>
        <v>0.96298516646075794</v>
      </c>
    </row>
    <row r="29" spans="1:21" x14ac:dyDescent="0.2">
      <c r="A29" s="23" t="s">
        <v>0</v>
      </c>
      <c r="B29" s="27">
        <f>SUM(B20:B28)</f>
        <v>0.12836782356958878</v>
      </c>
      <c r="C29" s="27">
        <f t="shared" ref="C29:J29" si="14">SUM(C20:C28)</f>
        <v>2.1723130320379844E-2</v>
      </c>
      <c r="D29" s="27">
        <f t="shared" si="14"/>
        <v>7.0785413482291559E-2</v>
      </c>
      <c r="E29" s="27">
        <f t="shared" si="14"/>
        <v>7.0667655030711776E-2</v>
      </c>
      <c r="F29" s="27">
        <f t="shared" si="14"/>
        <v>0.10413670206005271</v>
      </c>
      <c r="G29" s="27">
        <f t="shared" si="14"/>
        <v>6.6210160147058231E-2</v>
      </c>
      <c r="H29" s="27">
        <f t="shared" si="14"/>
        <v>2.8929603223306712E-3</v>
      </c>
      <c r="I29" s="27">
        <f t="shared" si="14"/>
        <v>2.1248437458054187E-2</v>
      </c>
      <c r="J29" s="27">
        <f t="shared" si="14"/>
        <v>0.5139677176095323</v>
      </c>
      <c r="K29" s="27">
        <f>SUM(K20:K28)</f>
        <v>1</v>
      </c>
      <c r="L29" s="24">
        <f>L16</f>
        <v>289376340</v>
      </c>
      <c r="M29" s="26">
        <f>SUM(M20:M28)</f>
        <v>1</v>
      </c>
      <c r="O29" s="12" t="s">
        <v>10</v>
      </c>
      <c r="P29" s="28">
        <f t="shared" si="9"/>
        <v>0</v>
      </c>
      <c r="Q29" s="40">
        <f t="shared" si="10"/>
        <v>1</v>
      </c>
      <c r="R29" s="40">
        <f t="shared" si="11"/>
        <v>1</v>
      </c>
      <c r="S29" s="28">
        <f t="shared" si="7"/>
        <v>0</v>
      </c>
      <c r="T29" s="40">
        <f t="shared" si="12"/>
        <v>1</v>
      </c>
      <c r="U29" s="40">
        <f t="shared" si="13"/>
        <v>1</v>
      </c>
    </row>
    <row r="31" spans="1:21" x14ac:dyDescent="0.2">
      <c r="E31" s="33" t="s">
        <v>49</v>
      </c>
      <c r="J31" s="33" t="s">
        <v>22</v>
      </c>
    </row>
    <row r="32" spans="1:21" x14ac:dyDescent="0.2">
      <c r="E32" s="24"/>
      <c r="F32" s="38" t="s">
        <v>24</v>
      </c>
      <c r="G32" s="38" t="s">
        <v>23</v>
      </c>
      <c r="H32" s="38" t="s">
        <v>25</v>
      </c>
      <c r="J32" s="24"/>
      <c r="K32" s="38" t="s">
        <v>23</v>
      </c>
      <c r="L32" s="38" t="s">
        <v>24</v>
      </c>
      <c r="M32" s="38" t="s">
        <v>25</v>
      </c>
      <c r="O32" s="24"/>
      <c r="P32" s="38" t="s">
        <v>127</v>
      </c>
      <c r="Q32" s="11" t="s">
        <v>129</v>
      </c>
      <c r="R32" s="11" t="s">
        <v>128</v>
      </c>
      <c r="S32" s="173"/>
    </row>
    <row r="33" spans="5:19" x14ac:dyDescent="0.2">
      <c r="E33" s="36" t="s">
        <v>2</v>
      </c>
      <c r="F33" s="30">
        <f>'UA PA'!F18</f>
        <v>0.95833333333333337</v>
      </c>
      <c r="G33" s="30">
        <f>'UA PA'!G18</f>
        <v>1</v>
      </c>
      <c r="J33" s="36" t="s">
        <v>2</v>
      </c>
      <c r="K33" s="30">
        <f>B20/B29</f>
        <v>1</v>
      </c>
      <c r="L33" s="30">
        <f>B20/K20</f>
        <v>0.95833333333333315</v>
      </c>
      <c r="M33" s="30"/>
      <c r="O33" s="15" t="s">
        <v>25</v>
      </c>
      <c r="P33" s="1">
        <f>2*(R16)^0.5</f>
        <v>2.867230075851628E-5</v>
      </c>
      <c r="Q33" s="30">
        <f>M42-P33</f>
        <v>0.91929494606307838</v>
      </c>
      <c r="R33" s="30">
        <f>M42+P33</f>
        <v>0.91935229066459545</v>
      </c>
      <c r="S33" s="30"/>
    </row>
    <row r="34" spans="5:19" x14ac:dyDescent="0.2">
      <c r="E34" s="36" t="s">
        <v>3</v>
      </c>
      <c r="F34" s="30">
        <f>'UA PA'!F19</f>
        <v>1</v>
      </c>
      <c r="G34" s="30">
        <f>'UA PA'!G19</f>
        <v>0.97222222222222221</v>
      </c>
      <c r="J34" s="36" t="s">
        <v>3</v>
      </c>
      <c r="K34" s="30">
        <f>C21/C29</f>
        <v>0.94033273911113879</v>
      </c>
      <c r="L34" s="30">
        <f>C21/K21</f>
        <v>1</v>
      </c>
      <c r="M34" s="30"/>
    </row>
    <row r="35" spans="5:19" x14ac:dyDescent="0.2">
      <c r="E35" s="36" t="s">
        <v>4</v>
      </c>
      <c r="F35" s="30">
        <f>'UA PA'!F20</f>
        <v>0.83636363636363631</v>
      </c>
      <c r="G35" s="30">
        <f>'UA PA'!G20</f>
        <v>0.88461538461538458</v>
      </c>
      <c r="J35" s="36" t="s">
        <v>4</v>
      </c>
      <c r="K35" s="30">
        <f>D22/D29</f>
        <v>0.65521548190207002</v>
      </c>
      <c r="L35" s="30">
        <f>D22/K22</f>
        <v>0.83636363636363631</v>
      </c>
      <c r="M35" s="30"/>
    </row>
    <row r="36" spans="5:19" x14ac:dyDescent="0.2">
      <c r="E36" s="36" t="s">
        <v>5</v>
      </c>
      <c r="F36" s="30">
        <f>'UA PA'!F21</f>
        <v>0.90909090909090906</v>
      </c>
      <c r="G36" s="30">
        <f>'UA PA'!G21</f>
        <v>0.9375</v>
      </c>
      <c r="J36" s="36" t="s">
        <v>5</v>
      </c>
      <c r="K36" s="30">
        <f>E23/E29</f>
        <v>0.67307357720547323</v>
      </c>
      <c r="L36" s="30">
        <f>E23/K23</f>
        <v>0.90909090909090906</v>
      </c>
      <c r="M36" s="30"/>
    </row>
    <row r="37" spans="5:19" x14ac:dyDescent="0.2">
      <c r="E37" s="37" t="s">
        <v>6</v>
      </c>
      <c r="F37" s="30">
        <f>'UA PA'!F22</f>
        <v>0.65217391304347827</v>
      </c>
      <c r="G37" s="30">
        <f>'UA PA'!G22</f>
        <v>0.35714285714285715</v>
      </c>
      <c r="J37" s="37" t="s">
        <v>6</v>
      </c>
      <c r="K37" s="30">
        <f>F24/F29</f>
        <v>0.75933657174549951</v>
      </c>
      <c r="L37" s="30">
        <f>F24/K24</f>
        <v>0.65217391304347827</v>
      </c>
      <c r="M37" s="30"/>
    </row>
    <row r="38" spans="5:19" x14ac:dyDescent="0.2">
      <c r="E38" s="36" t="s">
        <v>7</v>
      </c>
      <c r="F38" s="30">
        <f>'UA PA'!F23</f>
        <v>0.80487804878048785</v>
      </c>
      <c r="G38" s="30">
        <f>'UA PA'!G23</f>
        <v>0.95652173913043481</v>
      </c>
      <c r="J38" s="36" t="s">
        <v>7</v>
      </c>
      <c r="K38" s="30">
        <f>G25/G29</f>
        <v>0.99631138329882807</v>
      </c>
      <c r="L38" s="30">
        <f>G25/K25</f>
        <v>0.80487804878048785</v>
      </c>
      <c r="M38" s="30"/>
    </row>
    <row r="39" spans="5:19" x14ac:dyDescent="0.2">
      <c r="E39" s="36" t="s">
        <v>8</v>
      </c>
      <c r="F39" s="30">
        <f>'UA PA'!F24</f>
        <v>0.50793650793650791</v>
      </c>
      <c r="G39" s="30">
        <f>'UA PA'!G24</f>
        <v>0.96969696969696972</v>
      </c>
      <c r="J39" s="36" t="s">
        <v>8</v>
      </c>
      <c r="K39" s="30">
        <f>H26/H29</f>
        <v>0.90048070827399984</v>
      </c>
      <c r="L39" s="30">
        <f>H26/K26</f>
        <v>0.50793650793650791</v>
      </c>
      <c r="M39" s="30"/>
    </row>
    <row r="40" spans="5:19" x14ac:dyDescent="0.2">
      <c r="E40" s="36" t="s">
        <v>9</v>
      </c>
      <c r="F40" s="30">
        <f>'UA PA'!F25</f>
        <v>0.96296296296296291</v>
      </c>
      <c r="G40" s="30">
        <f>'UA PA'!G25</f>
        <v>0.61904761904761907</v>
      </c>
      <c r="J40" s="36" t="s">
        <v>9</v>
      </c>
      <c r="K40" s="30">
        <f>I27/I29</f>
        <v>0.70457316532483438</v>
      </c>
      <c r="L40" s="30">
        <f>I27/K27</f>
        <v>0.96296296296296302</v>
      </c>
      <c r="M40" s="30"/>
    </row>
    <row r="41" spans="5:19" x14ac:dyDescent="0.2">
      <c r="E41" s="39" t="s">
        <v>10</v>
      </c>
      <c r="F41" s="40">
        <f>'UA PA'!F26</f>
        <v>1</v>
      </c>
      <c r="G41" s="40">
        <f>'UA PA'!G26</f>
        <v>1</v>
      </c>
      <c r="H41" s="28"/>
      <c r="J41" s="39" t="s">
        <v>10</v>
      </c>
      <c r="K41" s="40">
        <f>J28/J29</f>
        <v>1</v>
      </c>
      <c r="L41" s="40">
        <f>J28/K28</f>
        <v>1</v>
      </c>
      <c r="M41" s="40"/>
    </row>
    <row r="42" spans="5:19" x14ac:dyDescent="0.2">
      <c r="H42" s="30">
        <f>OA!D7</f>
        <v>0.8729372937293729</v>
      </c>
      <c r="M42" s="30">
        <f>B20+C21+D22+E23+F24+G25+H26+I27+J28</f>
        <v>0.91932361836383691</v>
      </c>
    </row>
  </sheetData>
  <mergeCells count="2">
    <mergeCell ref="P19:R19"/>
    <mergeCell ref="S19:U19"/>
  </mergeCells>
  <pageMargins left="0.7" right="0.7" top="0.75" bottom="0.75" header="0.3" footer="0.3"/>
  <ignoredErrors>
    <ignoredError sqref="L29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42"/>
  <sheetViews>
    <sheetView zoomScale="90" zoomScaleNormal="90" workbookViewId="0"/>
  </sheetViews>
  <sheetFormatPr baseColWidth="10" defaultRowHeight="15" x14ac:dyDescent="0.2"/>
  <cols>
    <col min="1" max="12" width="10.83203125" style="1" customWidth="1"/>
    <col min="13" max="14" width="10.83203125" style="1"/>
    <col min="15" max="21" width="12.83203125" style="1" customWidth="1"/>
    <col min="22" max="16384" width="10.83203125" style="1"/>
  </cols>
  <sheetData>
    <row r="1" spans="1:19" ht="19" x14ac:dyDescent="0.25">
      <c r="A1" s="3" t="s">
        <v>83</v>
      </c>
    </row>
    <row r="3" spans="1:19" ht="16" x14ac:dyDescent="0.2">
      <c r="A3" s="19" t="s">
        <v>14</v>
      </c>
    </row>
    <row r="5" spans="1:19" ht="15" customHeight="1" x14ac:dyDescent="0.2">
      <c r="A5" s="32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4"/>
      <c r="O5" s="32" t="s">
        <v>125</v>
      </c>
    </row>
    <row r="6" spans="1:19" ht="15" customHeight="1" x14ac:dyDescent="0.2">
      <c r="A6" s="10"/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0</v>
      </c>
      <c r="L6" s="11" t="s">
        <v>18</v>
      </c>
      <c r="M6" s="11" t="s">
        <v>19</v>
      </c>
      <c r="O6" s="10"/>
      <c r="P6" s="11" t="s">
        <v>23</v>
      </c>
      <c r="Q6" s="11" t="s">
        <v>24</v>
      </c>
      <c r="R6" s="11" t="s">
        <v>25</v>
      </c>
      <c r="S6" s="173"/>
    </row>
    <row r="7" spans="1:19" x14ac:dyDescent="0.2">
      <c r="A7" s="15" t="s">
        <v>2</v>
      </c>
      <c r="B7" s="16">
        <f t="array" ref="B7:J15">TRANSPOSE('Error Matrix'!B47:J55)</f>
        <v>23</v>
      </c>
      <c r="C7" s="16">
        <v>5</v>
      </c>
      <c r="D7" s="16">
        <v>4</v>
      </c>
      <c r="E7" s="16">
        <v>13</v>
      </c>
      <c r="F7" s="16">
        <v>6</v>
      </c>
      <c r="G7" s="16">
        <v>2</v>
      </c>
      <c r="H7" s="16">
        <v>3</v>
      </c>
      <c r="I7" s="16">
        <v>7</v>
      </c>
      <c r="J7" s="16">
        <v>0</v>
      </c>
      <c r="K7" s="14">
        <f>SUM(B7:J7)</f>
        <v>63</v>
      </c>
      <c r="L7" s="110">
        <f>Sampling!T6</f>
        <v>57893258</v>
      </c>
      <c r="M7" s="18">
        <f>L7/$L$16</f>
        <v>0.1389302750542013</v>
      </c>
      <c r="O7" s="15" t="s">
        <v>2</v>
      </c>
      <c r="P7" s="135">
        <f>B20*(B29^-4)*(B20*((B21*(M21-B21)/(M21*$L$29))+(B22*(M22-B22)/(M22*$L$29))+(B23*(M23-B23)/(M23*$L$29))+(B24*(M24-B24)/(M24*$L$29))+(B25*(M25-B25)/(M25*$L$29))+(B26*(M26-B26)/(M26*$L$29))+(B27*(M27-B27)/(M27*$L$29))+(B28*(M28-B28)/(M28*$L$29)))+(M20-B20)*((B29-B20)^2)/(M20*$L$29))</f>
        <v>5.5415989796101266E-9</v>
      </c>
      <c r="Q7" s="1">
        <f>(B20*(M20-B20))/((M20^2)*$L$29)</f>
        <v>5.5625718460885159E-10</v>
      </c>
    </row>
    <row r="8" spans="1:19" x14ac:dyDescent="0.2">
      <c r="A8" s="15" t="s">
        <v>3</v>
      </c>
      <c r="B8" s="16">
        <v>5</v>
      </c>
      <c r="C8" s="16">
        <v>4</v>
      </c>
      <c r="D8" s="16">
        <v>4</v>
      </c>
      <c r="E8" s="16">
        <v>2</v>
      </c>
      <c r="F8" s="16">
        <v>0</v>
      </c>
      <c r="G8" s="16">
        <v>1</v>
      </c>
      <c r="H8" s="16">
        <v>0</v>
      </c>
      <c r="I8" s="16">
        <v>1</v>
      </c>
      <c r="J8" s="16">
        <v>0</v>
      </c>
      <c r="K8" s="14">
        <f t="shared" ref="K8:K15" si="0">SUM(B8:J8)</f>
        <v>17</v>
      </c>
      <c r="L8" s="110">
        <f>Sampling!T7</f>
        <v>868014</v>
      </c>
      <c r="M8" s="18">
        <f t="shared" ref="M8:M15" si="1">L8/$L$16</f>
        <v>2.0830305278534762E-3</v>
      </c>
      <c r="O8" s="15" t="s">
        <v>3</v>
      </c>
      <c r="P8" s="1">
        <f>C21*(C29^-4)*(C21*((C20*(M20-C20)/(M20*$L$29))+(C22*(M22-C22)/(M22*$L$29))+(C23*(M23-C23)/(M23*$L$29))+(C24*(M24-C24)/(M24*$L$29))+(C25*(M25-C25)/(M25*$L$29))+(C26*(M26-C26)/(M26*$L$29))+(C27*(M27-C27)/(M27*$L$29))+(C28*(M28-C28)/(M28*$L$29)))+(M21-C21)*((C29-C21)^2)/(M21*$L$29))</f>
        <v>1.4165613757464492E-10</v>
      </c>
      <c r="Q8" s="1">
        <f>(C21*(M20-C21))/((M21^2)*$L$29)</f>
        <v>3.7527220752096336E-8</v>
      </c>
    </row>
    <row r="9" spans="1:19" x14ac:dyDescent="0.2">
      <c r="A9" s="15" t="s">
        <v>4</v>
      </c>
      <c r="B9" s="16">
        <v>12</v>
      </c>
      <c r="C9" s="16">
        <v>60</v>
      </c>
      <c r="D9" s="16">
        <v>53</v>
      </c>
      <c r="E9" s="16">
        <v>69</v>
      </c>
      <c r="F9" s="16">
        <v>0</v>
      </c>
      <c r="G9" s="16">
        <v>0</v>
      </c>
      <c r="H9" s="16">
        <v>0</v>
      </c>
      <c r="I9" s="16">
        <v>6</v>
      </c>
      <c r="J9" s="16">
        <v>0</v>
      </c>
      <c r="K9" s="14">
        <f t="shared" si="0"/>
        <v>200</v>
      </c>
      <c r="L9" s="110">
        <f>Sampling!T8</f>
        <v>28272057</v>
      </c>
      <c r="M9" s="18">
        <f t="shared" si="1"/>
        <v>6.7846322543430829E-2</v>
      </c>
      <c r="O9" s="15" t="s">
        <v>4</v>
      </c>
      <c r="P9" s="1">
        <f>D22*(D29^-4)*(D22*((D20*(M20-D20)/(M20*$L$29))+(D21*(M21-D21)/(M21*$L$29))+(D23*(M23-D23)/(M23*$L$29))+(D24*(M24-D24)/(M24*$L$29))+(D25*(M25-D25)/(M25*$L$29))+(D26*(M26-D26)/(M26*$L$29))+(D27*(M27-D27)/(M27*$L$29))+(D28*(M28-D28)/(M28*$L$29)))+(M22-D22)*((D29-D22)^2)/(M22*$L$29))</f>
        <v>8.840987999539008E-9</v>
      </c>
      <c r="Q9" s="1">
        <f>(D22*(M22-D22))/((M22^2)*$L$29)</f>
        <v>4.6741443232788966E-10</v>
      </c>
    </row>
    <row r="10" spans="1:19" x14ac:dyDescent="0.2">
      <c r="A10" s="15" t="s">
        <v>5</v>
      </c>
      <c r="B10" s="16">
        <v>24</v>
      </c>
      <c r="C10" s="16">
        <v>21</v>
      </c>
      <c r="D10" s="16">
        <v>31</v>
      </c>
      <c r="E10" s="16">
        <v>26</v>
      </c>
      <c r="F10" s="16">
        <v>1</v>
      </c>
      <c r="G10" s="16">
        <v>2</v>
      </c>
      <c r="H10" s="16">
        <v>0</v>
      </c>
      <c r="I10" s="16">
        <v>6</v>
      </c>
      <c r="J10" s="16">
        <v>0</v>
      </c>
      <c r="K10" s="14">
        <f t="shared" si="0"/>
        <v>111</v>
      </c>
      <c r="L10" s="110">
        <f>Sampling!T9</f>
        <v>21031053</v>
      </c>
      <c r="M10" s="18">
        <f t="shared" si="1"/>
        <v>5.046960697857919E-2</v>
      </c>
      <c r="O10" s="15" t="s">
        <v>5</v>
      </c>
      <c r="P10" s="1">
        <f>E23*(E29^-4)*(E23*(0)+(M23-E23)*((E29-E23)^2)/(M23*$L$29))</f>
        <v>2.7554545381178423E-9</v>
      </c>
      <c r="Q10" s="183">
        <f>(E23*(M23-E23))/((M23^2)*$L$29)</f>
        <v>4.304425752625155E-10</v>
      </c>
    </row>
    <row r="11" spans="1:19" x14ac:dyDescent="0.2">
      <c r="A11" s="15" t="s">
        <v>6</v>
      </c>
      <c r="B11" s="16">
        <v>0</v>
      </c>
      <c r="C11" s="16">
        <v>22</v>
      </c>
      <c r="D11" s="16">
        <v>0</v>
      </c>
      <c r="E11" s="16">
        <v>3</v>
      </c>
      <c r="F11" s="16">
        <v>2</v>
      </c>
      <c r="G11" s="16">
        <v>7</v>
      </c>
      <c r="H11" s="16">
        <v>0</v>
      </c>
      <c r="I11" s="16">
        <v>21</v>
      </c>
      <c r="J11" s="16">
        <v>0</v>
      </c>
      <c r="K11" s="14">
        <f t="shared" si="0"/>
        <v>55</v>
      </c>
      <c r="L11" s="110">
        <f>Sampling!T10</f>
        <v>5823808</v>
      </c>
      <c r="M11" s="18">
        <f t="shared" si="1"/>
        <v>1.3975776718298666E-2</v>
      </c>
      <c r="O11" s="15" t="s">
        <v>6</v>
      </c>
      <c r="P11" s="1">
        <f>F24*(F29^-4)*(F24*((F20*(M20-F20)/(M20*$L$29))+(F21*(M21-F21)/(M21*$L$29))+(F22*(M22-F22)/(M22*$L$29))+(F23*(M23-F23)/(M23*$L$29))+(F25*(M25-F25)/(M25*$L$29))+(F26*(M26-F26)/(M26*$L$29))+(F27*(M27-F27)/(M27*$L$29))+(F28*(M28-F28)/(M28*$L$29)))+(M24-F24)*((F29-F24)^2)/(M24*$L$29))</f>
        <v>1.7070014354244992E-9</v>
      </c>
      <c r="Q11" s="1">
        <f>(F24*(M24-F24))/((M24^2)*$L$29)</f>
        <v>8.4090975625414463E-11</v>
      </c>
    </row>
    <row r="12" spans="1:19" x14ac:dyDescent="0.2">
      <c r="A12" s="15" t="s">
        <v>7</v>
      </c>
      <c r="B12" s="16">
        <v>9</v>
      </c>
      <c r="C12" s="16">
        <v>40</v>
      </c>
      <c r="D12" s="16">
        <v>9</v>
      </c>
      <c r="E12" s="16">
        <v>14</v>
      </c>
      <c r="F12" s="16">
        <v>14</v>
      </c>
      <c r="G12" s="16">
        <v>58</v>
      </c>
      <c r="H12" s="16">
        <v>0</v>
      </c>
      <c r="I12" s="16">
        <v>51</v>
      </c>
      <c r="J12" s="16">
        <v>0</v>
      </c>
      <c r="K12" s="14">
        <f t="shared" si="0"/>
        <v>195</v>
      </c>
      <c r="L12" s="110">
        <f>Sampling!T11</f>
        <v>54346074</v>
      </c>
      <c r="M12" s="18">
        <f t="shared" si="1"/>
        <v>0.13041786331900646</v>
      </c>
      <c r="O12" s="15" t="s">
        <v>7</v>
      </c>
      <c r="P12" s="1">
        <f>G25*(G29^-4)*(G25*((G20*(M20-G20)/(M20*$L$29))+(G21*(M21-G21)/(M21*$L$29))+(G22*(M22-G22)/(M22*$L$29))+(G23*(M23-G23)/(M23*$L$29))+(G24*(M24-G24)/(M24*$L$29))+(G26*(M26-G26)/(M26*$L$29))+(G27*(M27-G27)/(M27*$L$29))+(G28*(M28-G28)/(M28*$L$29)))+(M25-G25)*((G29-G25)^2)/(M25*$L$29))</f>
        <v>7.5738651615244918E-9</v>
      </c>
      <c r="Q12" s="1">
        <f>(G25*(M25-G25))/((M25^2)*$L$29)</f>
        <v>5.0147379436731517E-10</v>
      </c>
    </row>
    <row r="13" spans="1:19" x14ac:dyDescent="0.2">
      <c r="A13" s="15" t="s">
        <v>8</v>
      </c>
      <c r="B13" s="16">
        <v>3</v>
      </c>
      <c r="C13" s="16">
        <v>6</v>
      </c>
      <c r="D13" s="16">
        <v>0</v>
      </c>
      <c r="E13" s="16">
        <v>0</v>
      </c>
      <c r="F13" s="16">
        <v>0</v>
      </c>
      <c r="G13" s="16">
        <v>0</v>
      </c>
      <c r="H13" s="16">
        <v>59</v>
      </c>
      <c r="I13" s="16">
        <v>0</v>
      </c>
      <c r="J13" s="16">
        <v>0</v>
      </c>
      <c r="K13" s="14">
        <f t="shared" si="0"/>
        <v>68</v>
      </c>
      <c r="L13" s="110">
        <f>Sampling!T12</f>
        <v>10891824</v>
      </c>
      <c r="M13" s="18">
        <f t="shared" si="1"/>
        <v>2.6137829454371889E-2</v>
      </c>
      <c r="O13" s="15" t="s">
        <v>8</v>
      </c>
      <c r="P13" s="1">
        <f>H26*(H29^-4)*(H26*((H20*(M20-H20)/(M20*$L$29))+(H21*(M21-H21)/(M21*$L$29))+(H22*(M22-H22)/(M22*$L$29))+(H23*(M23-H23)/(M23*$L$29))+(H24*(M24-H24)/(M24*$L$29))+(H25*(M25-H25)/(M25*$L$29))+(H27*(M27-H27)/(M27*$L$29))+(H28*(M28-H28)/(M28*$L$29)))+(M26-H26)*((H29-H26)^2)/(M26*$L$29))</f>
        <v>1.098799565252035E-8</v>
      </c>
      <c r="Q13" s="1">
        <f>(H26*(M26-H26))/((M26^2)*$L$29)</f>
        <v>2.7557867049828746E-10</v>
      </c>
    </row>
    <row r="14" spans="1:19" x14ac:dyDescent="0.2">
      <c r="A14" s="15" t="s">
        <v>9</v>
      </c>
      <c r="B14" s="16">
        <v>8</v>
      </c>
      <c r="C14" s="16">
        <v>7</v>
      </c>
      <c r="D14" s="16">
        <v>3</v>
      </c>
      <c r="E14" s="16">
        <v>1</v>
      </c>
      <c r="F14" s="16">
        <v>5</v>
      </c>
      <c r="G14" s="16">
        <v>18</v>
      </c>
      <c r="H14" s="16">
        <v>0</v>
      </c>
      <c r="I14" s="16">
        <v>50</v>
      </c>
      <c r="J14" s="16">
        <v>26</v>
      </c>
      <c r="K14" s="14">
        <f t="shared" si="0"/>
        <v>118</v>
      </c>
      <c r="L14" s="110">
        <f>Sampling!T13</f>
        <v>23717194</v>
      </c>
      <c r="M14" s="18">
        <f t="shared" si="1"/>
        <v>5.691571695505291E-2</v>
      </c>
      <c r="O14" s="15" t="s">
        <v>9</v>
      </c>
      <c r="P14" s="1">
        <f>I27*(I29^-4)*(I27*((I20*(M20-I20)/(M20*$L$29))+(I21*(M21-I21)/(M21*$L$29))+(I22*(M22-I22)/(M22*$L$29))+(I23*(M23-I23)/(M23*$L$29))+(I24*(M24-I24)/(M24*$L$29))+(I25*(M25-I25)/(M25*$L$29))+(I26*(M26-I26)/(M26*$L$29))+(I28*(M28-I28)/(M28*$L$29)))+(M27-I27)*((I29-I27)^2)/(M27*$L$29))</f>
        <v>2.1362745497354154E-9</v>
      </c>
      <c r="Q14" s="1">
        <f>(I27*(M27-I27))/((M27^2)*$L$29)</f>
        <v>5.8598136806504017E-10</v>
      </c>
    </row>
    <row r="15" spans="1:19" x14ac:dyDescent="0.2">
      <c r="A15" s="15" t="s">
        <v>10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5</v>
      </c>
      <c r="J15" s="16">
        <v>74</v>
      </c>
      <c r="K15" s="14">
        <f t="shared" si="0"/>
        <v>79</v>
      </c>
      <c r="L15" s="110">
        <f>Sampling!T14</f>
        <v>213864005</v>
      </c>
      <c r="M15" s="18">
        <f t="shared" si="1"/>
        <v>0.5132235784492053</v>
      </c>
      <c r="O15" s="12" t="s">
        <v>10</v>
      </c>
      <c r="P15" s="28">
        <f>J28*(J29^-4)*(J28*((J20*(M20-J20)/(M20*$L$29))+(J21*(M21-J21)/(M21*$L$29))+(J22*(M22-J22)/(M22*$L$29))+(J23*(M23-J23)/(M23*$L$29))+(J24*(M24-J24)/(M24*$L$29))+(J25*(M25-J25)/(M25*$L$29))+(J26*(M26-J26)/(M26*$L$29))+(J27*(M27-J27)/(M27*$L$29)))+(M28-J28)*((J29-J28)^2)/(M28*$L$29))</f>
        <v>9.1782309197713499E-11</v>
      </c>
      <c r="Q15" s="28">
        <f>(J28*(M28-J28))/((M28^2)*$L$29)</f>
        <v>1.4227102041089366E-10</v>
      </c>
      <c r="R15" s="28"/>
      <c r="S15" s="14"/>
    </row>
    <row r="16" spans="1:19" ht="15" customHeight="1" x14ac:dyDescent="0.2">
      <c r="A16" s="23" t="s">
        <v>0</v>
      </c>
      <c r="B16" s="24">
        <f>SUM(B7:B15)</f>
        <v>84</v>
      </c>
      <c r="C16" s="24">
        <f t="shared" ref="C16:J16" si="2">SUM(C7:C15)</f>
        <v>165</v>
      </c>
      <c r="D16" s="24">
        <f t="shared" si="2"/>
        <v>104</v>
      </c>
      <c r="E16" s="24">
        <f t="shared" si="2"/>
        <v>128</v>
      </c>
      <c r="F16" s="24">
        <f t="shared" si="2"/>
        <v>28</v>
      </c>
      <c r="G16" s="24">
        <f t="shared" si="2"/>
        <v>88</v>
      </c>
      <c r="H16" s="24">
        <f t="shared" si="2"/>
        <v>62</v>
      </c>
      <c r="I16" s="24">
        <f t="shared" si="2"/>
        <v>147</v>
      </c>
      <c r="J16" s="24">
        <f t="shared" si="2"/>
        <v>100</v>
      </c>
      <c r="K16" s="24">
        <f>SUM(K7:K15)</f>
        <v>906</v>
      </c>
      <c r="L16" s="25">
        <f>SUM(L7:L15)</f>
        <v>416707287</v>
      </c>
      <c r="M16" s="26">
        <f>SUM(M7:M15)</f>
        <v>1</v>
      </c>
      <c r="R16" s="1">
        <f>((B20*((M20-B20)/(M20*L29)))+(C21*((M21-C21)/(M21*L29)))+(D22*((M22-D22)/(M22*L29)))+(E23*((M23-E23)/(M23*L29)))+(F24*((M24-F24)/(M24*L29)))+(G25*((M25-G25)/(M25*L29)))+(H26*((M26-H26)/(M26*L29)))+(I27*((M27-I27)/(M27*L29)))+(J28*((M28-J28)/(M28*L29))))</f>
        <v>3.1176481478137111E-10</v>
      </c>
    </row>
    <row r="18" spans="1:21" x14ac:dyDescent="0.2">
      <c r="A18" s="32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4"/>
      <c r="O18" s="32" t="s">
        <v>126</v>
      </c>
    </row>
    <row r="19" spans="1:21" x14ac:dyDescent="0.2">
      <c r="A19" s="10"/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  <c r="J19" s="11" t="s">
        <v>10</v>
      </c>
      <c r="K19" s="11" t="s">
        <v>0</v>
      </c>
      <c r="L19" s="11" t="s">
        <v>18</v>
      </c>
      <c r="M19" s="11" t="s">
        <v>19</v>
      </c>
      <c r="O19" s="151"/>
      <c r="P19" s="203" t="s">
        <v>23</v>
      </c>
      <c r="Q19" s="203"/>
      <c r="R19" s="203"/>
      <c r="S19" s="203" t="s">
        <v>24</v>
      </c>
      <c r="T19" s="203"/>
      <c r="U19" s="203"/>
    </row>
    <row r="20" spans="1:21" x14ac:dyDescent="0.2">
      <c r="A20" s="15" t="s">
        <v>2</v>
      </c>
      <c r="B20" s="20">
        <f>$M7*B7/$K7</f>
        <v>5.0720576607089361E-2</v>
      </c>
      <c r="C20" s="20">
        <f t="shared" ref="C20:J21" si="3">$M7*C7/$K7</f>
        <v>1.1026212305888992E-2</v>
      </c>
      <c r="D20" s="20">
        <f t="shared" si="3"/>
        <v>8.820969844711193E-3</v>
      </c>
      <c r="E20" s="20">
        <f t="shared" si="3"/>
        <v>2.8668151995311381E-2</v>
      </c>
      <c r="F20" s="20">
        <f t="shared" si="3"/>
        <v>1.323145476706679E-2</v>
      </c>
      <c r="G20" s="20">
        <f t="shared" si="3"/>
        <v>4.4104849223555965E-3</v>
      </c>
      <c r="H20" s="20">
        <f t="shared" si="3"/>
        <v>6.6157273835333952E-3</v>
      </c>
      <c r="I20" s="20">
        <f t="shared" si="3"/>
        <v>1.5436697228244589E-2</v>
      </c>
      <c r="J20" s="20">
        <f t="shared" si="3"/>
        <v>0</v>
      </c>
      <c r="K20" s="21">
        <f>SUM(B20:J20)</f>
        <v>0.1389302750542013</v>
      </c>
      <c r="L20" s="1">
        <f>L7</f>
        <v>57893258</v>
      </c>
      <c r="M20" s="18">
        <f>L20/$L$29</f>
        <v>0.1389302750542013</v>
      </c>
      <c r="O20" s="174"/>
      <c r="P20" s="11" t="s">
        <v>127</v>
      </c>
      <c r="Q20" s="11" t="s">
        <v>129</v>
      </c>
      <c r="R20" s="11" t="s">
        <v>128</v>
      </c>
      <c r="S20" s="11" t="s">
        <v>127</v>
      </c>
      <c r="T20" s="11" t="s">
        <v>129</v>
      </c>
      <c r="U20" s="11" t="s">
        <v>128</v>
      </c>
    </row>
    <row r="21" spans="1:21" x14ac:dyDescent="0.2">
      <c r="A21" s="15" t="s">
        <v>3</v>
      </c>
      <c r="B21" s="20">
        <f>$M8*B8/$K8</f>
        <v>6.1265603760396361E-4</v>
      </c>
      <c r="C21" s="20">
        <f t="shared" si="3"/>
        <v>4.9012483008317091E-4</v>
      </c>
      <c r="D21" s="20">
        <f t="shared" si="3"/>
        <v>4.9012483008317091E-4</v>
      </c>
      <c r="E21" s="20">
        <f t="shared" si="3"/>
        <v>2.4506241504158546E-4</v>
      </c>
      <c r="F21" s="20">
        <f t="shared" si="3"/>
        <v>0</v>
      </c>
      <c r="G21" s="20">
        <f t="shared" si="3"/>
        <v>1.2253120752079273E-4</v>
      </c>
      <c r="H21" s="20">
        <f t="shared" si="3"/>
        <v>0</v>
      </c>
      <c r="I21" s="20">
        <f t="shared" si="3"/>
        <v>1.2253120752079273E-4</v>
      </c>
      <c r="J21" s="20">
        <f t="shared" si="3"/>
        <v>0</v>
      </c>
      <c r="K21" s="21">
        <f t="shared" ref="K21:K28" si="4">SUM(B21:J21)</f>
        <v>2.0830305278534762E-3</v>
      </c>
      <c r="L21" s="1">
        <f t="shared" ref="L21:L28" si="5">L8</f>
        <v>868014</v>
      </c>
      <c r="M21" s="18">
        <f t="shared" ref="M21:M28" si="6">L21/$L$29</f>
        <v>2.0830305278534762E-3</v>
      </c>
      <c r="O21" s="15" t="s">
        <v>2</v>
      </c>
      <c r="P21" s="1">
        <f>2*(P7^0.5)</f>
        <v>1.4888383363696847E-4</v>
      </c>
      <c r="Q21" s="30">
        <f>K33-P21</f>
        <v>0.65560070413998794</v>
      </c>
      <c r="R21" s="30">
        <f>K33+P21</f>
        <v>0.65589847180726191</v>
      </c>
      <c r="S21" s="1">
        <f t="shared" ref="S21:S29" si="7">2*(Q7^0.5)</f>
        <v>4.7170210286105427E-5</v>
      </c>
      <c r="T21" s="30">
        <f>L33-S21</f>
        <v>0.36503219486907895</v>
      </c>
      <c r="U21" s="30">
        <f>L33+S21</f>
        <v>0.36512653528965117</v>
      </c>
    </row>
    <row r="22" spans="1:21" x14ac:dyDescent="0.2">
      <c r="A22" s="15" t="s">
        <v>4</v>
      </c>
      <c r="B22" s="20">
        <f t="shared" ref="B22:J28" si="8">$M9*B9/$K9</f>
        <v>4.07077935260585E-3</v>
      </c>
      <c r="C22" s="20">
        <f t="shared" si="8"/>
        <v>2.0353896763029247E-2</v>
      </c>
      <c r="D22" s="20">
        <f t="shared" si="8"/>
        <v>1.7979275474009168E-2</v>
      </c>
      <c r="E22" s="20">
        <f t="shared" si="8"/>
        <v>2.3406981277483637E-2</v>
      </c>
      <c r="F22" s="20">
        <f t="shared" si="8"/>
        <v>0</v>
      </c>
      <c r="G22" s="20">
        <f t="shared" si="8"/>
        <v>0</v>
      </c>
      <c r="H22" s="20">
        <f t="shared" si="8"/>
        <v>0</v>
      </c>
      <c r="I22" s="20">
        <f t="shared" si="8"/>
        <v>2.035389676302925E-3</v>
      </c>
      <c r="J22" s="20">
        <f t="shared" si="8"/>
        <v>0</v>
      </c>
      <c r="K22" s="21">
        <f t="shared" si="4"/>
        <v>6.7846322543430829E-2</v>
      </c>
      <c r="L22" s="1">
        <f t="shared" si="5"/>
        <v>28272057</v>
      </c>
      <c r="M22" s="18">
        <f t="shared" si="6"/>
        <v>6.7846322543430829E-2</v>
      </c>
      <c r="O22" s="15" t="s">
        <v>3</v>
      </c>
      <c r="P22" s="1">
        <f t="shared" ref="P22:P29" si="9">2*(P8^0.5)</f>
        <v>2.3803876791366984E-5</v>
      </c>
      <c r="Q22" s="30">
        <f t="shared" ref="Q22:Q29" si="10">K34-P22</f>
        <v>6.1456445001705487E-3</v>
      </c>
      <c r="R22" s="30">
        <f t="shared" ref="R22:R29" si="11">K34+P22</f>
        <v>6.1932522537532829E-3</v>
      </c>
      <c r="S22" s="1">
        <f t="shared" si="7"/>
        <v>3.8743887648038798E-4</v>
      </c>
      <c r="T22" s="30">
        <f t="shared" ref="T22:T29" si="12">L34-S22</f>
        <v>0.23490667877057847</v>
      </c>
      <c r="U22" s="30">
        <f t="shared" ref="U22:U29" si="13">L34+S22</f>
        <v>0.23568155652353923</v>
      </c>
    </row>
    <row r="23" spans="1:21" x14ac:dyDescent="0.2">
      <c r="A23" s="15" t="s">
        <v>5</v>
      </c>
      <c r="B23" s="20">
        <f t="shared" si="8"/>
        <v>1.0912347454827933E-2</v>
      </c>
      <c r="C23" s="20">
        <f t="shared" si="8"/>
        <v>9.5483040229744406E-3</v>
      </c>
      <c r="D23" s="20">
        <f t="shared" si="8"/>
        <v>1.4095115462486079E-2</v>
      </c>
      <c r="E23" s="20">
        <f t="shared" si="8"/>
        <v>1.1821709742730261E-2</v>
      </c>
      <c r="F23" s="20">
        <f t="shared" si="8"/>
        <v>4.5468114395116389E-4</v>
      </c>
      <c r="G23" s="20">
        <f t="shared" si="8"/>
        <v>9.0936228790232778E-4</v>
      </c>
      <c r="H23" s="20">
        <f t="shared" si="8"/>
        <v>0</v>
      </c>
      <c r="I23" s="20">
        <f t="shared" si="8"/>
        <v>2.7280868637069833E-3</v>
      </c>
      <c r="J23" s="20">
        <f t="shared" si="8"/>
        <v>0</v>
      </c>
      <c r="K23" s="21">
        <f t="shared" si="4"/>
        <v>5.046960697857919E-2</v>
      </c>
      <c r="L23" s="1">
        <f t="shared" si="5"/>
        <v>21031053</v>
      </c>
      <c r="M23" s="18">
        <f t="shared" si="6"/>
        <v>5.046960697857919E-2</v>
      </c>
      <c r="O23" s="15" t="s">
        <v>4</v>
      </c>
      <c r="P23" s="1">
        <f t="shared" si="9"/>
        <v>1.8805305633824734E-4</v>
      </c>
      <c r="Q23" s="30">
        <f t="shared" si="10"/>
        <v>0.36784920110529767</v>
      </c>
      <c r="R23" s="30">
        <f t="shared" si="11"/>
        <v>0.36822530721797414</v>
      </c>
      <c r="S23" s="1">
        <f t="shared" si="7"/>
        <v>4.3239538958129039E-5</v>
      </c>
      <c r="T23" s="30">
        <f t="shared" si="12"/>
        <v>0.26495676046104183</v>
      </c>
      <c r="U23" s="30">
        <f t="shared" si="13"/>
        <v>0.26504323953895809</v>
      </c>
    </row>
    <row r="24" spans="1:21" x14ac:dyDescent="0.2">
      <c r="A24" s="15" t="s">
        <v>6</v>
      </c>
      <c r="B24" s="20">
        <f t="shared" si="8"/>
        <v>0</v>
      </c>
      <c r="C24" s="20">
        <f t="shared" si="8"/>
        <v>5.5903106873194663E-3</v>
      </c>
      <c r="D24" s="20">
        <f t="shared" si="8"/>
        <v>0</v>
      </c>
      <c r="E24" s="20">
        <f t="shared" si="8"/>
        <v>7.6231509372538179E-4</v>
      </c>
      <c r="F24" s="20">
        <f t="shared" si="8"/>
        <v>5.082100624835879E-4</v>
      </c>
      <c r="G24" s="20">
        <f t="shared" si="8"/>
        <v>1.7787352186925574E-3</v>
      </c>
      <c r="H24" s="20">
        <f t="shared" si="8"/>
        <v>0</v>
      </c>
      <c r="I24" s="20">
        <f t="shared" si="8"/>
        <v>5.3362056560776723E-3</v>
      </c>
      <c r="J24" s="20">
        <f t="shared" si="8"/>
        <v>0</v>
      </c>
      <c r="K24" s="21">
        <f t="shared" si="4"/>
        <v>1.3975776718298666E-2</v>
      </c>
      <c r="L24" s="1">
        <f t="shared" si="5"/>
        <v>5823808</v>
      </c>
      <c r="M24" s="18">
        <f t="shared" si="6"/>
        <v>1.3975776718298666E-2</v>
      </c>
      <c r="O24" s="15" t="s">
        <v>5</v>
      </c>
      <c r="P24" s="1">
        <f t="shared" si="9"/>
        <v>1.049848472517409E-4</v>
      </c>
      <c r="Q24" s="30">
        <f t="shared" si="10"/>
        <v>0.15804520912230569</v>
      </c>
      <c r="R24" s="30">
        <f t="shared" si="11"/>
        <v>0.15825517881680917</v>
      </c>
      <c r="S24" s="1">
        <f t="shared" si="7"/>
        <v>4.1494220092081041E-5</v>
      </c>
      <c r="T24" s="30">
        <f t="shared" si="12"/>
        <v>0.23419274001414214</v>
      </c>
      <c r="U24" s="30">
        <f t="shared" si="13"/>
        <v>0.23427572845432632</v>
      </c>
    </row>
    <row r="25" spans="1:21" x14ac:dyDescent="0.2">
      <c r="A25" s="15" t="s">
        <v>7</v>
      </c>
      <c r="B25" s="20">
        <f t="shared" si="8"/>
        <v>6.0192859993387594E-3</v>
      </c>
      <c r="C25" s="20">
        <f t="shared" si="8"/>
        <v>2.6752382219283378E-2</v>
      </c>
      <c r="D25" s="20">
        <f t="shared" si="8"/>
        <v>6.0192859993387594E-3</v>
      </c>
      <c r="E25" s="20">
        <f t="shared" si="8"/>
        <v>9.3633337767491803E-3</v>
      </c>
      <c r="F25" s="20">
        <f t="shared" si="8"/>
        <v>9.3633337767491803E-3</v>
      </c>
      <c r="G25" s="20">
        <f t="shared" si="8"/>
        <v>3.8790954217960895E-2</v>
      </c>
      <c r="H25" s="20">
        <f t="shared" si="8"/>
        <v>0</v>
      </c>
      <c r="I25" s="20">
        <f t="shared" si="8"/>
        <v>3.4109287329586305E-2</v>
      </c>
      <c r="J25" s="20">
        <f t="shared" si="8"/>
        <v>0</v>
      </c>
      <c r="K25" s="21">
        <f t="shared" si="4"/>
        <v>0.13041786331900646</v>
      </c>
      <c r="L25" s="1">
        <f t="shared" si="5"/>
        <v>54346074</v>
      </c>
      <c r="M25" s="18">
        <f t="shared" si="6"/>
        <v>0.13041786331900646</v>
      </c>
      <c r="O25" s="15" t="s">
        <v>6</v>
      </c>
      <c r="P25" s="1">
        <f t="shared" si="9"/>
        <v>8.2631747783149288E-5</v>
      </c>
      <c r="Q25" s="30">
        <f t="shared" si="10"/>
        <v>1.9486969127715775E-2</v>
      </c>
      <c r="R25" s="30">
        <f t="shared" si="11"/>
        <v>1.965223262328207E-2</v>
      </c>
      <c r="S25" s="1">
        <f t="shared" si="7"/>
        <v>1.8340226348157699E-5</v>
      </c>
      <c r="T25" s="30">
        <f t="shared" si="12"/>
        <v>3.6345296137288208E-2</v>
      </c>
      <c r="U25" s="30">
        <f t="shared" si="13"/>
        <v>3.638197658998453E-2</v>
      </c>
    </row>
    <row r="26" spans="1:21" ht="15" customHeight="1" x14ac:dyDescent="0.2">
      <c r="A26" s="15" t="s">
        <v>8</v>
      </c>
      <c r="B26" s="20">
        <f t="shared" si="8"/>
        <v>1.1531395347517009E-3</v>
      </c>
      <c r="C26" s="20">
        <f t="shared" si="8"/>
        <v>2.3062790695034018E-3</v>
      </c>
      <c r="D26" s="20">
        <f t="shared" si="8"/>
        <v>0</v>
      </c>
      <c r="E26" s="20">
        <f t="shared" si="8"/>
        <v>0</v>
      </c>
      <c r="F26" s="20">
        <f t="shared" si="8"/>
        <v>0</v>
      </c>
      <c r="G26" s="20">
        <f t="shared" si="8"/>
        <v>0</v>
      </c>
      <c r="H26" s="20">
        <f t="shared" si="8"/>
        <v>2.2678410850116786E-2</v>
      </c>
      <c r="I26" s="20">
        <f t="shared" si="8"/>
        <v>0</v>
      </c>
      <c r="J26" s="20">
        <f t="shared" si="8"/>
        <v>0</v>
      </c>
      <c r="K26" s="21">
        <f t="shared" si="4"/>
        <v>2.6137829454371889E-2</v>
      </c>
      <c r="L26" s="1">
        <f t="shared" si="5"/>
        <v>10891824</v>
      </c>
      <c r="M26" s="18">
        <f t="shared" si="6"/>
        <v>2.6137829454371889E-2</v>
      </c>
      <c r="O26" s="15" t="s">
        <v>7</v>
      </c>
      <c r="P26" s="1">
        <f t="shared" si="9"/>
        <v>1.740559124135057E-4</v>
      </c>
      <c r="Q26" s="30">
        <f t="shared" si="10"/>
        <v>0.70906031330333719</v>
      </c>
      <c r="R26" s="30">
        <f t="shared" si="11"/>
        <v>0.70940842512816416</v>
      </c>
      <c r="S26" s="1">
        <f t="shared" si="7"/>
        <v>4.478722114029024E-5</v>
      </c>
      <c r="T26" s="30">
        <f t="shared" si="12"/>
        <v>0.29739111021475717</v>
      </c>
      <c r="U26" s="30">
        <f t="shared" si="13"/>
        <v>0.2974806846570377</v>
      </c>
    </row>
    <row r="27" spans="1:21" x14ac:dyDescent="0.2">
      <c r="A27" s="15" t="s">
        <v>9</v>
      </c>
      <c r="B27" s="20">
        <f t="shared" si="8"/>
        <v>3.8586926749188412E-3</v>
      </c>
      <c r="C27" s="20">
        <f t="shared" si="8"/>
        <v>3.3763560905539858E-3</v>
      </c>
      <c r="D27" s="20">
        <f t="shared" si="8"/>
        <v>1.4470097530945656E-3</v>
      </c>
      <c r="E27" s="20">
        <f t="shared" si="8"/>
        <v>4.8233658436485515E-4</v>
      </c>
      <c r="F27" s="20">
        <f t="shared" si="8"/>
        <v>2.4116829218242758E-3</v>
      </c>
      <c r="G27" s="20">
        <f t="shared" si="8"/>
        <v>8.6820585185673916E-3</v>
      </c>
      <c r="H27" s="20">
        <f t="shared" si="8"/>
        <v>0</v>
      </c>
      <c r="I27" s="20">
        <f t="shared" si="8"/>
        <v>2.411682921824276E-2</v>
      </c>
      <c r="J27" s="20">
        <f t="shared" si="8"/>
        <v>1.2540751193486235E-2</v>
      </c>
      <c r="K27" s="21">
        <f t="shared" si="4"/>
        <v>5.691571695505291E-2</v>
      </c>
      <c r="L27" s="1">
        <f t="shared" si="5"/>
        <v>23717194</v>
      </c>
      <c r="M27" s="18">
        <f t="shared" si="6"/>
        <v>5.691571695505291E-2</v>
      </c>
      <c r="O27" s="15" t="s">
        <v>8</v>
      </c>
      <c r="P27" s="1">
        <f t="shared" si="9"/>
        <v>2.0964728142783392E-4</v>
      </c>
      <c r="Q27" s="30">
        <f t="shared" si="10"/>
        <v>0.77395242805370157</v>
      </c>
      <c r="R27" s="30">
        <f t="shared" si="11"/>
        <v>0.77437172261655718</v>
      </c>
      <c r="S27" s="1">
        <f t="shared" si="7"/>
        <v>3.3201124709761712E-5</v>
      </c>
      <c r="T27" s="30">
        <f t="shared" si="12"/>
        <v>0.86761385769881971</v>
      </c>
      <c r="U27" s="30">
        <f t="shared" si="13"/>
        <v>0.86768025994823916</v>
      </c>
    </row>
    <row r="28" spans="1:21" x14ac:dyDescent="0.2">
      <c r="A28" s="15" t="s">
        <v>10</v>
      </c>
      <c r="B28" s="20">
        <f t="shared" si="8"/>
        <v>0</v>
      </c>
      <c r="C28" s="20">
        <f t="shared" si="8"/>
        <v>0</v>
      </c>
      <c r="D28" s="20">
        <f t="shared" si="8"/>
        <v>0</v>
      </c>
      <c r="E28" s="20">
        <f t="shared" si="8"/>
        <v>0</v>
      </c>
      <c r="F28" s="20">
        <f t="shared" si="8"/>
        <v>0</v>
      </c>
      <c r="G28" s="20">
        <f t="shared" si="8"/>
        <v>0</v>
      </c>
      <c r="H28" s="20">
        <f t="shared" si="8"/>
        <v>0</v>
      </c>
      <c r="I28" s="20">
        <f t="shared" si="8"/>
        <v>3.2482504965139575E-2</v>
      </c>
      <c r="J28" s="20">
        <f t="shared" si="8"/>
        <v>0.48074107348406575</v>
      </c>
      <c r="K28" s="21">
        <f t="shared" si="4"/>
        <v>0.5132235784492053</v>
      </c>
      <c r="L28" s="1">
        <f t="shared" si="5"/>
        <v>213864005</v>
      </c>
      <c r="M28" s="18">
        <f t="shared" si="6"/>
        <v>0.5132235784492053</v>
      </c>
      <c r="O28" s="15" t="s">
        <v>9</v>
      </c>
      <c r="P28" s="1">
        <f t="shared" si="9"/>
        <v>9.2439700339960328E-5</v>
      </c>
      <c r="Q28" s="30">
        <f t="shared" si="10"/>
        <v>0.20715462289293485</v>
      </c>
      <c r="R28" s="30">
        <f t="shared" si="11"/>
        <v>0.20733950229361475</v>
      </c>
      <c r="S28" s="1">
        <f t="shared" si="7"/>
        <v>4.8414104063383854E-5</v>
      </c>
      <c r="T28" s="30">
        <f t="shared" si="12"/>
        <v>0.4236803994552587</v>
      </c>
      <c r="U28" s="30">
        <f t="shared" si="13"/>
        <v>0.42377722766338544</v>
      </c>
    </row>
    <row r="29" spans="1:21" x14ac:dyDescent="0.2">
      <c r="A29" s="23" t="s">
        <v>0</v>
      </c>
      <c r="B29" s="27">
        <f>SUM(B20:B28)</f>
        <v>7.7347477661136407E-2</v>
      </c>
      <c r="C29" s="27">
        <f t="shared" ref="C29:J29" si="14">SUM(C20:C28)</f>
        <v>7.9443865988636092E-2</v>
      </c>
      <c r="D29" s="27">
        <f t="shared" si="14"/>
        <v>4.8851781363722938E-2</v>
      </c>
      <c r="E29" s="27">
        <f t="shared" si="14"/>
        <v>7.4749890885406303E-2</v>
      </c>
      <c r="F29" s="27">
        <f t="shared" si="14"/>
        <v>2.5969362672074996E-2</v>
      </c>
      <c r="G29" s="27">
        <f t="shared" si="14"/>
        <v>5.4694126372999557E-2</v>
      </c>
      <c r="H29" s="27">
        <f t="shared" si="14"/>
        <v>2.929413823365018E-2</v>
      </c>
      <c r="I29" s="27">
        <f t="shared" si="14"/>
        <v>0.11636753214482159</v>
      </c>
      <c r="J29" s="27">
        <f t="shared" si="14"/>
        <v>0.49328182467755199</v>
      </c>
      <c r="K29" s="27">
        <f>SUM(K20:K28)</f>
        <v>1</v>
      </c>
      <c r="L29" s="24">
        <f>L16</f>
        <v>416707287</v>
      </c>
      <c r="M29" s="26">
        <f>SUM(M20:M28)</f>
        <v>1</v>
      </c>
      <c r="O29" s="12" t="s">
        <v>10</v>
      </c>
      <c r="P29" s="28">
        <f t="shared" si="9"/>
        <v>1.9160616816555097E-5</v>
      </c>
      <c r="Q29" s="40">
        <f t="shared" si="10"/>
        <v>0.97455774336361323</v>
      </c>
      <c r="R29" s="40">
        <f t="shared" si="11"/>
        <v>0.97459606459724624</v>
      </c>
      <c r="S29" s="28">
        <f t="shared" si="7"/>
        <v>2.385548326158107E-5</v>
      </c>
      <c r="T29" s="40">
        <f t="shared" si="12"/>
        <v>0.93668500527623222</v>
      </c>
      <c r="U29" s="40">
        <f t="shared" si="13"/>
        <v>0.93673271624275534</v>
      </c>
    </row>
    <row r="31" spans="1:21" x14ac:dyDescent="0.2">
      <c r="E31" s="33" t="s">
        <v>49</v>
      </c>
      <c r="J31" s="33" t="s">
        <v>22</v>
      </c>
    </row>
    <row r="32" spans="1:21" x14ac:dyDescent="0.2">
      <c r="E32" s="24"/>
      <c r="F32" s="38" t="s">
        <v>24</v>
      </c>
      <c r="G32" s="38" t="s">
        <v>23</v>
      </c>
      <c r="H32" s="38" t="s">
        <v>25</v>
      </c>
      <c r="J32" s="24"/>
      <c r="K32" s="38" t="s">
        <v>23</v>
      </c>
      <c r="L32" s="38" t="s">
        <v>24</v>
      </c>
      <c r="M32" s="38" t="s">
        <v>25</v>
      </c>
      <c r="O32" s="24"/>
      <c r="P32" s="38" t="s">
        <v>127</v>
      </c>
      <c r="Q32" s="11" t="s">
        <v>129</v>
      </c>
      <c r="R32" s="11" t="s">
        <v>128</v>
      </c>
      <c r="S32" s="173"/>
    </row>
    <row r="33" spans="5:19" x14ac:dyDescent="0.2">
      <c r="E33" s="36" t="s">
        <v>2</v>
      </c>
      <c r="F33" s="30">
        <f>'UA PA'!B28</f>
        <v>0.36507936507936506</v>
      </c>
      <c r="G33" s="30">
        <f>'UA PA'!C28</f>
        <v>0.27380952380952384</v>
      </c>
      <c r="J33" s="36" t="s">
        <v>2</v>
      </c>
      <c r="K33" s="30">
        <f>B20/B29</f>
        <v>0.65574958797362493</v>
      </c>
      <c r="L33" s="30">
        <f>B20/K20</f>
        <v>0.36507936507936506</v>
      </c>
      <c r="M33" s="30"/>
      <c r="O33" s="15" t="s">
        <v>25</v>
      </c>
      <c r="P33" s="1">
        <f>2*(R16)^0.5</f>
        <v>3.5313726214115162E-5</v>
      </c>
      <c r="Q33" s="30">
        <f>M42-P33</f>
        <v>0.64781185076056769</v>
      </c>
      <c r="R33" s="30">
        <f>M42+P33</f>
        <v>0.64788247821299594</v>
      </c>
      <c r="S33" s="30"/>
    </row>
    <row r="34" spans="5:19" x14ac:dyDescent="0.2">
      <c r="E34" s="36" t="s">
        <v>3</v>
      </c>
      <c r="F34" s="30">
        <f>'UA PA'!B29</f>
        <v>0.23529411764705882</v>
      </c>
      <c r="G34" s="30">
        <f>'UA PA'!C29</f>
        <v>2.4242424242424242E-2</v>
      </c>
      <c r="J34" s="36" t="s">
        <v>3</v>
      </c>
      <c r="K34" s="30">
        <f>C21/C29</f>
        <v>6.1694483769619158E-3</v>
      </c>
      <c r="L34" s="30">
        <f>C21/K21</f>
        <v>0.23529411764705885</v>
      </c>
      <c r="M34" s="30"/>
    </row>
    <row r="35" spans="5:19" x14ac:dyDescent="0.2">
      <c r="E35" s="36" t="s">
        <v>4</v>
      </c>
      <c r="F35" s="30">
        <f>'UA PA'!B30</f>
        <v>0.26500000000000001</v>
      </c>
      <c r="G35" s="30">
        <f>'UA PA'!C30</f>
        <v>0.50961538461538458</v>
      </c>
      <c r="J35" s="36" t="s">
        <v>4</v>
      </c>
      <c r="K35" s="30">
        <f>D22/D29</f>
        <v>0.36803725416163591</v>
      </c>
      <c r="L35" s="30">
        <f>D22/K22</f>
        <v>0.26499999999999996</v>
      </c>
      <c r="M35" s="30"/>
    </row>
    <row r="36" spans="5:19" x14ac:dyDescent="0.2">
      <c r="E36" s="36" t="s">
        <v>5</v>
      </c>
      <c r="F36" s="30">
        <f>'UA PA'!B31</f>
        <v>0.23423423423423423</v>
      </c>
      <c r="G36" s="30">
        <f>'UA PA'!C31</f>
        <v>0.203125</v>
      </c>
      <c r="J36" s="36" t="s">
        <v>5</v>
      </c>
      <c r="K36" s="30">
        <f>E23/E29</f>
        <v>0.15815019396955743</v>
      </c>
      <c r="L36" s="30">
        <f>E23/K23</f>
        <v>0.23423423423423423</v>
      </c>
      <c r="M36" s="30"/>
    </row>
    <row r="37" spans="5:19" x14ac:dyDescent="0.2">
      <c r="E37" s="37" t="s">
        <v>6</v>
      </c>
      <c r="F37" s="30">
        <f>'UA PA'!B32</f>
        <v>3.6363636363636362E-2</v>
      </c>
      <c r="G37" s="30">
        <f>'UA PA'!C32</f>
        <v>7.1428571428571425E-2</v>
      </c>
      <c r="J37" s="37" t="s">
        <v>6</v>
      </c>
      <c r="K37" s="30">
        <f>F24/F29</f>
        <v>1.9569600875498923E-2</v>
      </c>
      <c r="L37" s="30">
        <f>F24/K24</f>
        <v>3.6363636363636369E-2</v>
      </c>
      <c r="M37" s="30"/>
    </row>
    <row r="38" spans="5:19" x14ac:dyDescent="0.2">
      <c r="E38" s="36" t="s">
        <v>7</v>
      </c>
      <c r="F38" s="30">
        <f>'UA PA'!B33</f>
        <v>0.29743589743589743</v>
      </c>
      <c r="G38" s="30">
        <f>'UA PA'!C33</f>
        <v>0.65909090909090906</v>
      </c>
      <c r="J38" s="36" t="s">
        <v>7</v>
      </c>
      <c r="K38" s="30">
        <f>G25/G29</f>
        <v>0.70923436921575067</v>
      </c>
      <c r="L38" s="30">
        <f>G25/K25</f>
        <v>0.29743589743589743</v>
      </c>
      <c r="M38" s="30"/>
    </row>
    <row r="39" spans="5:19" x14ac:dyDescent="0.2">
      <c r="E39" s="36" t="s">
        <v>8</v>
      </c>
      <c r="F39" s="30">
        <f>'UA PA'!B34</f>
        <v>0.86764705882352944</v>
      </c>
      <c r="G39" s="30">
        <f>'UA PA'!C34</f>
        <v>0.95161290322580649</v>
      </c>
      <c r="J39" s="36" t="s">
        <v>8</v>
      </c>
      <c r="K39" s="30">
        <f>H26/H29</f>
        <v>0.77416207533512937</v>
      </c>
      <c r="L39" s="30">
        <f>H26/K26</f>
        <v>0.86764705882352944</v>
      </c>
      <c r="M39" s="30"/>
    </row>
    <row r="40" spans="5:19" x14ac:dyDescent="0.2">
      <c r="E40" s="36" t="s">
        <v>9</v>
      </c>
      <c r="F40" s="30">
        <f>'UA PA'!B35</f>
        <v>0.42372881355932202</v>
      </c>
      <c r="G40" s="30">
        <f>'UA PA'!C35</f>
        <v>0.3401360544217687</v>
      </c>
      <c r="J40" s="36" t="s">
        <v>9</v>
      </c>
      <c r="K40" s="30">
        <f>I27/I29</f>
        <v>0.2072470625932748</v>
      </c>
      <c r="L40" s="30">
        <f>I27/K27</f>
        <v>0.42372881355932207</v>
      </c>
      <c r="M40" s="30"/>
    </row>
    <row r="41" spans="5:19" x14ac:dyDescent="0.2">
      <c r="E41" s="39" t="s">
        <v>10</v>
      </c>
      <c r="F41" s="40">
        <f>'UA PA'!B36</f>
        <v>0.93670886075949367</v>
      </c>
      <c r="G41" s="40">
        <f>'UA PA'!C36</f>
        <v>0.74</v>
      </c>
      <c r="H41" s="28"/>
      <c r="J41" s="39" t="s">
        <v>10</v>
      </c>
      <c r="K41" s="40">
        <f>J28/J29</f>
        <v>0.97457690398042973</v>
      </c>
      <c r="L41" s="40">
        <f>J28/K28</f>
        <v>0.93670886075949378</v>
      </c>
      <c r="M41" s="40"/>
    </row>
    <row r="42" spans="5:19" x14ac:dyDescent="0.2">
      <c r="H42" s="30">
        <f>OA!B8</f>
        <v>0.38520971302428259</v>
      </c>
      <c r="M42" s="30">
        <f>B20+C21+D22+E23+F24+G25+H26+I27+J28</f>
        <v>0.64784716448678181</v>
      </c>
    </row>
  </sheetData>
  <mergeCells count="2">
    <mergeCell ref="P19:R19"/>
    <mergeCell ref="S19:U19"/>
  </mergeCells>
  <pageMargins left="0.7" right="0.7" top="0.75" bottom="0.75" header="0.3" footer="0.3"/>
  <ignoredErrors>
    <ignoredError sqref="L29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U42"/>
  <sheetViews>
    <sheetView zoomScale="90" zoomScaleNormal="90" workbookViewId="0"/>
  </sheetViews>
  <sheetFormatPr baseColWidth="10" defaultRowHeight="15" x14ac:dyDescent="0.2"/>
  <cols>
    <col min="1" max="12" width="10.83203125" style="1" customWidth="1"/>
    <col min="13" max="14" width="10.83203125" style="1"/>
    <col min="15" max="21" width="12.83203125" style="1" customWidth="1"/>
    <col min="22" max="16384" width="10.83203125" style="1"/>
  </cols>
  <sheetData>
    <row r="1" spans="1:19" ht="19" x14ac:dyDescent="0.25">
      <c r="A1" s="3" t="s">
        <v>83</v>
      </c>
    </row>
    <row r="3" spans="1:19" ht="16" x14ac:dyDescent="0.2">
      <c r="A3" s="19" t="s">
        <v>15</v>
      </c>
    </row>
    <row r="5" spans="1:19" ht="15" customHeight="1" x14ac:dyDescent="0.2">
      <c r="A5" s="32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4"/>
      <c r="O5" s="32" t="s">
        <v>125</v>
      </c>
    </row>
    <row r="6" spans="1:19" ht="15" customHeight="1" x14ac:dyDescent="0.2">
      <c r="A6" s="10"/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0</v>
      </c>
      <c r="L6" s="11" t="s">
        <v>18</v>
      </c>
      <c r="M6" s="11" t="s">
        <v>19</v>
      </c>
      <c r="O6" s="10"/>
      <c r="P6" s="11" t="s">
        <v>23</v>
      </c>
      <c r="Q6" s="11" t="s">
        <v>24</v>
      </c>
      <c r="R6" s="11" t="s">
        <v>25</v>
      </c>
      <c r="S6" s="173"/>
    </row>
    <row r="7" spans="1:19" x14ac:dyDescent="0.2">
      <c r="A7" s="15" t="s">
        <v>2</v>
      </c>
      <c r="B7" s="16">
        <f t="array" ref="B7:J15">TRANSPOSE('Error Matrix'!B59:J67)</f>
        <v>10</v>
      </c>
      <c r="C7" s="16">
        <v>2</v>
      </c>
      <c r="D7" s="16">
        <v>6</v>
      </c>
      <c r="E7" s="16">
        <v>1</v>
      </c>
      <c r="F7" s="16">
        <v>8</v>
      </c>
      <c r="G7" s="16">
        <v>4</v>
      </c>
      <c r="H7" s="16">
        <v>0</v>
      </c>
      <c r="I7" s="16">
        <v>13</v>
      </c>
      <c r="J7" s="16">
        <v>0</v>
      </c>
      <c r="K7" s="14">
        <f>SUM(B7:J7)</f>
        <v>44</v>
      </c>
      <c r="L7" s="110">
        <f>Sampling!U21</f>
        <v>43657422</v>
      </c>
      <c r="M7" s="18">
        <f>L7/$L$16</f>
        <v>0.1047675991324817</v>
      </c>
      <c r="O7" s="15" t="s">
        <v>2</v>
      </c>
      <c r="P7" s="135">
        <f>B20*(B29^-4)*(B20*((B21*(M21-B21)/(M21*$L$29))+(B22*(M22-B22)/(M22*$L$29))+(B23*(M23-B23)/(M23*$L$29))+(B24*(M24-B24)/(M24*$L$29))+(B25*(M25-B25)/(M25*$L$29))+(B26*(M26-B26)/(M26*$L$29))+(B27*(M27-B27)/(M27*$L$29))+(B28*(M28-B28)/(M28*$L$29)))+(M20-B20)*((B29-B20)^2)/(M20*$L$29))</f>
        <v>6.148010535350202E-9</v>
      </c>
      <c r="Q7" s="1">
        <f>(B20*(M20-B20))/((M20^2)*$L$29)</f>
        <v>4.214465169905795E-10</v>
      </c>
    </row>
    <row r="8" spans="1:19" x14ac:dyDescent="0.2">
      <c r="A8" s="15" t="s">
        <v>3</v>
      </c>
      <c r="B8" s="16">
        <v>20</v>
      </c>
      <c r="C8" s="16">
        <v>88</v>
      </c>
      <c r="D8" s="16">
        <v>0</v>
      </c>
      <c r="E8" s="16">
        <v>9</v>
      </c>
      <c r="F8" s="16">
        <v>8</v>
      </c>
      <c r="G8" s="16">
        <v>0</v>
      </c>
      <c r="H8" s="16">
        <v>5</v>
      </c>
      <c r="I8" s="16">
        <v>0</v>
      </c>
      <c r="J8" s="16">
        <v>0</v>
      </c>
      <c r="K8" s="14">
        <f t="shared" ref="K8:K15" si="0">SUM(B8:J8)</f>
        <v>130</v>
      </c>
      <c r="L8" s="110">
        <f>Sampling!U7</f>
        <v>12335217</v>
      </c>
      <c r="M8" s="18">
        <f t="shared" ref="M8:M15" si="1">L8/$L$16</f>
        <v>2.9601634972128529E-2</v>
      </c>
      <c r="O8" s="15" t="s">
        <v>3</v>
      </c>
      <c r="P8" s="1">
        <f>C21*(C29^-4)*(C21*((C20*(M20-C20)/(M20*$L$29))+(C22*(M22-C22)/(M22*$L$29))+(C23*(M23-C23)/(M23*$L$29))+(C24*(M24-C24)/(M24*$L$29))+(C25*(M25-C25)/(M25*$L$29))+(C26*(M26-C26)/(M26*$L$29))+(C27*(M27-C27)/(M27*$L$29))+(C28*(M28-C28)/(M28*$L$29)))+(M21-C21)*((C29-C21)^2)/(M21*$L$29))</f>
        <v>1.0281856411712075E-8</v>
      </c>
      <c r="Q8" s="1">
        <f>(C21*(M20-C21))/((M21^2)*$L$29)</f>
        <v>4.64972774783285E-9</v>
      </c>
    </row>
    <row r="9" spans="1:19" x14ac:dyDescent="0.2">
      <c r="A9" s="15" t="s">
        <v>4</v>
      </c>
      <c r="B9" s="16">
        <v>25</v>
      </c>
      <c r="C9" s="16">
        <v>6</v>
      </c>
      <c r="D9" s="16">
        <v>48</v>
      </c>
      <c r="E9" s="16">
        <v>25</v>
      </c>
      <c r="F9" s="16">
        <v>13</v>
      </c>
      <c r="G9" s="16">
        <v>0</v>
      </c>
      <c r="H9" s="16">
        <v>0</v>
      </c>
      <c r="I9" s="16">
        <v>11</v>
      </c>
      <c r="J9" s="16">
        <v>0</v>
      </c>
      <c r="K9" s="14">
        <f t="shared" si="0"/>
        <v>128</v>
      </c>
      <c r="L9" s="110">
        <f>Sampling!U8</f>
        <v>45973025</v>
      </c>
      <c r="M9" s="18">
        <f t="shared" si="1"/>
        <v>0.11032450459643629</v>
      </c>
      <c r="O9" s="15" t="s">
        <v>4</v>
      </c>
      <c r="P9" s="1">
        <f>D22*(D29^-4)*(D22*((D20*(M20-D20)/(M20*$L$29))+(D21*(M21-D21)/(M21*$L$29))+(D23*(M23-D23)/(M23*$L$29))+(D24*(M24-D24)/(M24*$L$29))+(D25*(M25-D25)/(M25*$L$29))+(D26*(M26-D26)/(M26*$L$29))+(D27*(M27-D27)/(M27*$L$29))+(D28*(M28-D28)/(M28*$L$29)))+(M22-D22)*((D29-D22)^2)/(M22*$L$29))</f>
        <v>6.195447270917183E-9</v>
      </c>
      <c r="Q9" s="1">
        <f>(D22*(M22-D22))/((M22^2)*$L$29)</f>
        <v>5.6244516789551598E-10</v>
      </c>
    </row>
    <row r="10" spans="1:19" x14ac:dyDescent="0.2">
      <c r="A10" s="15" t="s">
        <v>5</v>
      </c>
      <c r="B10" s="16">
        <v>1</v>
      </c>
      <c r="C10" s="16">
        <v>7</v>
      </c>
      <c r="D10" s="16">
        <v>25</v>
      </c>
      <c r="E10" s="16">
        <v>92</v>
      </c>
      <c r="F10" s="16">
        <v>24</v>
      </c>
      <c r="G10" s="16">
        <v>0</v>
      </c>
      <c r="H10" s="16">
        <v>0</v>
      </c>
      <c r="I10" s="16">
        <v>0</v>
      </c>
      <c r="J10" s="16">
        <v>0</v>
      </c>
      <c r="K10" s="14">
        <f t="shared" si="0"/>
        <v>149</v>
      </c>
      <c r="L10" s="110">
        <f>Sampling!U9</f>
        <v>32311672</v>
      </c>
      <c r="M10" s="18">
        <f t="shared" si="1"/>
        <v>7.7540453474239338E-2</v>
      </c>
      <c r="O10" s="15" t="s">
        <v>5</v>
      </c>
      <c r="P10" s="1">
        <f>E23*(E29^-4)*(E23*(0)+(M23-E23)*((E29-E23)^2)/(M23*$L$29))</f>
        <v>1.0467143032395128E-9</v>
      </c>
      <c r="Q10" s="183">
        <f>(E23*(M23-E23))/((M23^2)*$L$29)</f>
        <v>5.6683812281255055E-10</v>
      </c>
    </row>
    <row r="11" spans="1:19" x14ac:dyDescent="0.2">
      <c r="A11" s="15" t="s">
        <v>6</v>
      </c>
      <c r="B11" s="16">
        <v>5</v>
      </c>
      <c r="C11" s="16">
        <v>2</v>
      </c>
      <c r="D11" s="16">
        <v>1</v>
      </c>
      <c r="E11" s="16">
        <v>1</v>
      </c>
      <c r="F11" s="16">
        <v>7</v>
      </c>
      <c r="G11" s="16">
        <v>0</v>
      </c>
      <c r="H11" s="16">
        <v>0</v>
      </c>
      <c r="I11" s="16">
        <v>6</v>
      </c>
      <c r="J11" s="16">
        <v>0</v>
      </c>
      <c r="K11" s="14">
        <f t="shared" si="0"/>
        <v>22</v>
      </c>
      <c r="L11" s="110">
        <f>Sampling!U10</f>
        <v>15112107</v>
      </c>
      <c r="M11" s="18">
        <f t="shared" si="1"/>
        <v>3.6265521317845349E-2</v>
      </c>
      <c r="O11" s="15" t="s">
        <v>6</v>
      </c>
      <c r="P11" s="1">
        <f>F24*(F29^-4)*(F24*((F20*(M20-F20)/(M20*$L$29))+(F21*(M21-F21)/(M21*$L$29))+(F22*(M22-F22)/(M22*$L$29))+(F23*(M23-F23)/(M23*$L$29))+(F25*(M25-F25)/(M25*$L$29))+(F26*(M26-F26)/(M26*$L$29))+(F27*(M27-F27)/(M27*$L$29))+(F28*(M28-F28)/(M28*$L$29)))+(M24-F24)*((F29-F24)^2)/(M24*$L$29))</f>
        <v>4.9283887209299692E-9</v>
      </c>
      <c r="Q11" s="1">
        <f>(F24*(M24-F24))/((M24^2)*$L$29)</f>
        <v>5.2061040334130411E-10</v>
      </c>
    </row>
    <row r="12" spans="1:19" x14ac:dyDescent="0.2">
      <c r="A12" s="15" t="s">
        <v>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34</v>
      </c>
      <c r="H12" s="16">
        <v>0</v>
      </c>
      <c r="I12" s="16">
        <v>31</v>
      </c>
      <c r="J12" s="16">
        <v>9</v>
      </c>
      <c r="K12" s="14">
        <f t="shared" si="0"/>
        <v>74</v>
      </c>
      <c r="L12" s="110">
        <f>Sampling!U11</f>
        <v>26401148</v>
      </c>
      <c r="M12" s="18">
        <f t="shared" si="1"/>
        <v>6.3356578643175968E-2</v>
      </c>
      <c r="O12" s="15" t="s">
        <v>7</v>
      </c>
      <c r="P12" s="1">
        <f>G25*(G29^-4)*(G25*((G20*(M20-G20)/(M20*$L$29))+(G21*(M21-G21)/(M21*$L$29))+(G22*(M22-G22)/(M22*$L$29))+(G23*(M23-G23)/(M23*$L$29))+(G24*(M24-G24)/(M24*$L$29))+(G26*(M26-G26)/(M26*$L$29))+(G27*(M27-G27)/(M27*$L$29))+(G28*(M28-G28)/(M28*$L$29)))+(M25-G25)*((G29-G25)^2)/(M25*$L$29))</f>
        <v>1.2720510052448661E-9</v>
      </c>
      <c r="Q12" s="1">
        <f>(G25*(M25-G25))/((M25^2)*$L$29)</f>
        <v>5.959974119019444E-10</v>
      </c>
    </row>
    <row r="13" spans="1:19" x14ac:dyDescent="0.2">
      <c r="A13" s="15" t="s">
        <v>8</v>
      </c>
      <c r="B13" s="16">
        <v>15</v>
      </c>
      <c r="C13" s="16">
        <v>4</v>
      </c>
      <c r="D13" s="16">
        <v>0</v>
      </c>
      <c r="E13" s="16">
        <v>3</v>
      </c>
      <c r="F13" s="16">
        <v>2</v>
      </c>
      <c r="G13" s="16">
        <v>0</v>
      </c>
      <c r="H13" s="16">
        <v>48</v>
      </c>
      <c r="I13" s="16">
        <v>0</v>
      </c>
      <c r="J13" s="16">
        <v>0</v>
      </c>
      <c r="K13" s="14">
        <f t="shared" si="0"/>
        <v>72</v>
      </c>
      <c r="L13" s="110">
        <f>Sampling!U12</f>
        <v>7460886</v>
      </c>
      <c r="M13" s="18">
        <f t="shared" si="1"/>
        <v>1.7904380923389036E-2</v>
      </c>
      <c r="O13" s="15" t="s">
        <v>8</v>
      </c>
      <c r="P13" s="1">
        <f>H26*(H29^-4)*(H26*((H20*(M20-H20)/(M20*$L$29))+(H21*(M21-H21)/(M21*$L$29))+(H22*(M22-H22)/(M22*$L$29))+(H23*(M23-H23)/(M23*$L$29))+(H24*(M24-H24)/(M24*$L$29))+(H25*(M25-H25)/(M25*$L$29))+(H27*(M27-H27)/(M27*$L$29))+(H28*(M28-H28)/(M28*$L$29)))+(M26-H26)*((H29-H26)^2)/(M26*$L$29))</f>
        <v>1.3231372386969075E-8</v>
      </c>
      <c r="Q13" s="1">
        <f>(H26*(M26-H26))/((M26^2)*$L$29)</f>
        <v>5.3328134437500791E-10</v>
      </c>
    </row>
    <row r="14" spans="1:19" x14ac:dyDescent="0.2">
      <c r="A14" s="15" t="s">
        <v>9</v>
      </c>
      <c r="B14" s="16">
        <v>4</v>
      </c>
      <c r="C14" s="16">
        <v>0</v>
      </c>
      <c r="D14" s="16">
        <v>1</v>
      </c>
      <c r="E14" s="16">
        <v>0</v>
      </c>
      <c r="F14" s="16">
        <v>0</v>
      </c>
      <c r="G14" s="16">
        <v>26</v>
      </c>
      <c r="H14" s="16">
        <v>0</v>
      </c>
      <c r="I14" s="16">
        <v>23</v>
      </c>
      <c r="J14" s="16">
        <v>0</v>
      </c>
      <c r="K14" s="14">
        <f t="shared" si="0"/>
        <v>54</v>
      </c>
      <c r="L14" s="110">
        <f>Sampling!U13</f>
        <v>39698660</v>
      </c>
      <c r="M14" s="18">
        <f t="shared" si="1"/>
        <v>9.5267496486088565E-2</v>
      </c>
      <c r="O14" s="15" t="s">
        <v>9</v>
      </c>
      <c r="P14" s="1">
        <f>I27*(I29^-4)*(I27*((I20*(M20-I20)/(M20*$L$29))+(I21*(M21-I21)/(M21*$L$29))+(I22*(M22-I22)/(M22*$L$29))+(I23*(M23-I23)/(M23*$L$29))+(I24*(M24-I24)/(M24*$L$29))+(I25*(M25-I25)/(M25*$L$29))+(I26*(M26-I26)/(M26*$L$29))+(I28*(M28-I28)/(M28*$L$29)))+(M27-I27)*((I29-I27)^2)/(M27*$L$29))</f>
        <v>1.5556640117471718E-9</v>
      </c>
      <c r="Q14" s="1">
        <f>(I27*(M27-I27))/((M27^2)*$L$29)</f>
        <v>5.8677407182003171E-10</v>
      </c>
    </row>
    <row r="15" spans="1:19" x14ac:dyDescent="0.2">
      <c r="A15" s="15" t="s">
        <v>10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32</v>
      </c>
      <c r="H15" s="16">
        <v>0</v>
      </c>
      <c r="I15" s="16">
        <v>23</v>
      </c>
      <c r="J15" s="16">
        <v>140</v>
      </c>
      <c r="K15" s="14">
        <f t="shared" si="0"/>
        <v>195</v>
      </c>
      <c r="L15" s="110">
        <f>Sampling!U29</f>
        <v>193757150</v>
      </c>
      <c r="M15" s="18">
        <f t="shared" si="1"/>
        <v>0.4649718304542152</v>
      </c>
      <c r="O15" s="12" t="s">
        <v>10</v>
      </c>
      <c r="P15" s="28">
        <f>J28*(J29^-4)*(J28*((J20*(M20-J20)/(M20*$L$29))+(J21*(M21-J21)/(M21*$L$29))+(J22*(M22-J22)/(M22*$L$29))+(J23*(M23-J23)/(M23*$L$29))+(J24*(M24-J24)/(M24*$L$29))+(J25*(M25-J25)/(M25*$L$29))+(J26*(M26-J26)/(M26*$L$29))+(J27*(M27-J27)/(M27*$L$29)))+(M28-J28)*((J29-J28)^2)/(M28*$L$29))</f>
        <v>1.3402240229740304E-10</v>
      </c>
      <c r="Q15" s="28">
        <f>(J28*(M28-J28))/((M28^2)*$L$29)</f>
        <v>4.8594868067308397E-10</v>
      </c>
      <c r="R15" s="28"/>
      <c r="S15" s="14"/>
    </row>
    <row r="16" spans="1:19" ht="15" customHeight="1" x14ac:dyDescent="0.2">
      <c r="A16" s="23" t="s">
        <v>0</v>
      </c>
      <c r="B16" s="24">
        <f>SUM(B7:B15)</f>
        <v>80</v>
      </c>
      <c r="C16" s="24">
        <f t="shared" ref="C16:J16" si="2">SUM(C7:C15)</f>
        <v>109</v>
      </c>
      <c r="D16" s="24">
        <f t="shared" si="2"/>
        <v>81</v>
      </c>
      <c r="E16" s="24">
        <f t="shared" si="2"/>
        <v>131</v>
      </c>
      <c r="F16" s="24">
        <f t="shared" si="2"/>
        <v>62</v>
      </c>
      <c r="G16" s="24">
        <f t="shared" si="2"/>
        <v>96</v>
      </c>
      <c r="H16" s="24">
        <f t="shared" si="2"/>
        <v>53</v>
      </c>
      <c r="I16" s="24">
        <f t="shared" si="2"/>
        <v>107</v>
      </c>
      <c r="J16" s="24">
        <f t="shared" si="2"/>
        <v>149</v>
      </c>
      <c r="K16" s="24">
        <f>SUM(K7:K15)</f>
        <v>868</v>
      </c>
      <c r="L16" s="25">
        <f>SUM(L7:L15)</f>
        <v>416707287</v>
      </c>
      <c r="M16" s="26">
        <f>SUM(M7:M15)</f>
        <v>0.99999999999999989</v>
      </c>
      <c r="R16" s="1">
        <f>((B20*((M20-B20)/(M20*L29)))+(C21*((M21-C21)/(M21*L29)))+(D22*((M22-D22)/(M22*L29)))+(E23*((M23-E23)/(M23*L29)))+(F24*((M24-F24)/(M24*L29)))+(G25*((M25-G25)/(M25*L29)))+(H26*((M26-H26)/(M26*L29)))+(I27*((M27-I27)/(M27*L29)))+(J28*((M28-J28)/(M28*L29))))</f>
        <v>5.1373555613786921E-10</v>
      </c>
    </row>
    <row r="18" spans="1:21" x14ac:dyDescent="0.2">
      <c r="A18" s="32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4"/>
      <c r="O18" s="32" t="s">
        <v>126</v>
      </c>
    </row>
    <row r="19" spans="1:21" x14ac:dyDescent="0.2">
      <c r="A19" s="10"/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  <c r="J19" s="11" t="s">
        <v>10</v>
      </c>
      <c r="K19" s="11" t="s">
        <v>0</v>
      </c>
      <c r="L19" s="11" t="s">
        <v>18</v>
      </c>
      <c r="M19" s="11" t="s">
        <v>19</v>
      </c>
      <c r="O19" s="151"/>
      <c r="P19" s="203" t="s">
        <v>23</v>
      </c>
      <c r="Q19" s="203"/>
      <c r="R19" s="203"/>
      <c r="S19" s="203" t="s">
        <v>24</v>
      </c>
      <c r="T19" s="203"/>
      <c r="U19" s="203"/>
    </row>
    <row r="20" spans="1:21" x14ac:dyDescent="0.2">
      <c r="A20" s="15" t="s">
        <v>2</v>
      </c>
      <c r="B20" s="20">
        <f>$M7*B7/$K7</f>
        <v>2.3810817984654932E-2</v>
      </c>
      <c r="C20" s="20">
        <f t="shared" ref="C20:J21" si="3">$M7*C7/$K7</f>
        <v>4.7621635969309862E-3</v>
      </c>
      <c r="D20" s="20">
        <f t="shared" si="3"/>
        <v>1.428649079079296E-2</v>
      </c>
      <c r="E20" s="20">
        <f t="shared" si="3"/>
        <v>2.3810817984654931E-3</v>
      </c>
      <c r="F20" s="20">
        <f t="shared" si="3"/>
        <v>1.9048654387723945E-2</v>
      </c>
      <c r="G20" s="20">
        <f t="shared" si="3"/>
        <v>9.5243271938619724E-3</v>
      </c>
      <c r="H20" s="20">
        <f t="shared" si="3"/>
        <v>0</v>
      </c>
      <c r="I20" s="20">
        <f t="shared" si="3"/>
        <v>3.0954063380051411E-2</v>
      </c>
      <c r="J20" s="20">
        <f t="shared" si="3"/>
        <v>0</v>
      </c>
      <c r="K20" s="21">
        <f>SUM(B20:J20)</f>
        <v>0.1047675991324817</v>
      </c>
      <c r="L20" s="1">
        <f>L7</f>
        <v>43657422</v>
      </c>
      <c r="M20" s="18">
        <f>L20/$L$29</f>
        <v>0.1047675991324817</v>
      </c>
      <c r="O20" s="174"/>
      <c r="P20" s="11" t="s">
        <v>127</v>
      </c>
      <c r="Q20" s="11" t="s">
        <v>129</v>
      </c>
      <c r="R20" s="11" t="s">
        <v>128</v>
      </c>
      <c r="S20" s="11" t="s">
        <v>127</v>
      </c>
      <c r="T20" s="11" t="s">
        <v>129</v>
      </c>
      <c r="U20" s="11" t="s">
        <v>128</v>
      </c>
    </row>
    <row r="21" spans="1:21" x14ac:dyDescent="0.2">
      <c r="A21" s="15" t="s">
        <v>3</v>
      </c>
      <c r="B21" s="20">
        <f>$M8*B8/$K8</f>
        <v>4.5540976880197731E-3</v>
      </c>
      <c r="C21" s="20">
        <f t="shared" si="3"/>
        <v>2.0038029827287002E-2</v>
      </c>
      <c r="D21" s="20">
        <f t="shared" si="3"/>
        <v>0</v>
      </c>
      <c r="E21" s="20">
        <f t="shared" si="3"/>
        <v>2.0493439596088979E-3</v>
      </c>
      <c r="F21" s="20">
        <f t="shared" si="3"/>
        <v>1.8216390752079095E-3</v>
      </c>
      <c r="G21" s="20">
        <f t="shared" si="3"/>
        <v>0</v>
      </c>
      <c r="H21" s="20">
        <f t="shared" si="3"/>
        <v>1.1385244220049433E-3</v>
      </c>
      <c r="I21" s="20">
        <f t="shared" si="3"/>
        <v>0</v>
      </c>
      <c r="J21" s="20">
        <f t="shared" si="3"/>
        <v>0</v>
      </c>
      <c r="K21" s="21">
        <f t="shared" ref="K21:K28" si="4">SUM(B21:J21)</f>
        <v>2.9601634972128525E-2</v>
      </c>
      <c r="L21" s="1">
        <f t="shared" ref="L21:L28" si="5">L8</f>
        <v>12335217</v>
      </c>
      <c r="M21" s="18">
        <f t="shared" ref="M21:M28" si="6">L21/$L$29</f>
        <v>2.9601634972128529E-2</v>
      </c>
      <c r="O21" s="15" t="s">
        <v>2</v>
      </c>
      <c r="P21" s="1">
        <f>2*(P7^0.5)</f>
        <v>1.5681850063497231E-4</v>
      </c>
      <c r="Q21" s="30">
        <f>K33-P21</f>
        <v>0.34263145907000847</v>
      </c>
      <c r="R21" s="30">
        <f>K33+P21</f>
        <v>0.34294509607127843</v>
      </c>
      <c r="S21" s="1">
        <f t="shared" ref="S21:S29" si="7">2*(Q7^0.5)</f>
        <v>4.1058325196752948E-5</v>
      </c>
      <c r="T21" s="30">
        <f>L33-S21</f>
        <v>0.22723166894753055</v>
      </c>
      <c r="U21" s="30">
        <f>L33+S21</f>
        <v>0.22731378559792403</v>
      </c>
    </row>
    <row r="22" spans="1:21" x14ac:dyDescent="0.2">
      <c r="A22" s="15" t="s">
        <v>4</v>
      </c>
      <c r="B22" s="20">
        <f t="shared" ref="B22:J28" si="8">$M9*B9/$K9</f>
        <v>2.1547754803991463E-2</v>
      </c>
      <c r="C22" s="20">
        <f t="shared" si="8"/>
        <v>5.1714611529579515E-3</v>
      </c>
      <c r="D22" s="20">
        <f t="shared" si="8"/>
        <v>4.1371689223663612E-2</v>
      </c>
      <c r="E22" s="20">
        <f t="shared" si="8"/>
        <v>2.1547754803991463E-2</v>
      </c>
      <c r="F22" s="20">
        <f t="shared" si="8"/>
        <v>1.1204832498075561E-2</v>
      </c>
      <c r="G22" s="20">
        <f t="shared" si="8"/>
        <v>0</v>
      </c>
      <c r="H22" s="20">
        <f t="shared" si="8"/>
        <v>0</v>
      </c>
      <c r="I22" s="20">
        <f t="shared" si="8"/>
        <v>9.4810121137562445E-3</v>
      </c>
      <c r="J22" s="20">
        <f t="shared" si="8"/>
        <v>0</v>
      </c>
      <c r="K22" s="21">
        <f t="shared" si="4"/>
        <v>0.11032450459643631</v>
      </c>
      <c r="L22" s="1">
        <f t="shared" si="5"/>
        <v>45973025</v>
      </c>
      <c r="M22" s="18">
        <f t="shared" si="6"/>
        <v>0.11032450459643629</v>
      </c>
      <c r="O22" s="15" t="s">
        <v>3</v>
      </c>
      <c r="P22" s="1">
        <f t="shared" ref="P22:P29" si="9">2*(P8^0.5)</f>
        <v>2.0279897841667818E-4</v>
      </c>
      <c r="Q22" s="30">
        <f t="shared" ref="Q22:Q29" si="10">K34-P22</f>
        <v>0.5284207543589664</v>
      </c>
      <c r="R22" s="30">
        <f t="shared" ref="R22:R29" si="11">K34+P22</f>
        <v>0.52882635231579977</v>
      </c>
      <c r="S22" s="1">
        <f t="shared" si="7"/>
        <v>1.363778244119307E-4</v>
      </c>
      <c r="T22" s="30">
        <f t="shared" ref="T22:T29" si="12">L34-S22</f>
        <v>0.67678669909866507</v>
      </c>
      <c r="U22" s="30">
        <f t="shared" ref="U22:U29" si="13">L34+S22</f>
        <v>0.67705945474748885</v>
      </c>
    </row>
    <row r="23" spans="1:21" x14ac:dyDescent="0.2">
      <c r="A23" s="15" t="s">
        <v>5</v>
      </c>
      <c r="B23" s="20">
        <f t="shared" si="8"/>
        <v>5.2040572801502916E-4</v>
      </c>
      <c r="C23" s="20">
        <f t="shared" si="8"/>
        <v>3.6428400961052037E-3</v>
      </c>
      <c r="D23" s="20">
        <f t="shared" si="8"/>
        <v>1.3010143200375728E-2</v>
      </c>
      <c r="E23" s="20">
        <f t="shared" si="8"/>
        <v>4.787732697738268E-2</v>
      </c>
      <c r="F23" s="20">
        <f t="shared" si="8"/>
        <v>1.24897374723607E-2</v>
      </c>
      <c r="G23" s="20">
        <f t="shared" si="8"/>
        <v>0</v>
      </c>
      <c r="H23" s="20">
        <f t="shared" si="8"/>
        <v>0</v>
      </c>
      <c r="I23" s="20">
        <f t="shared" si="8"/>
        <v>0</v>
      </c>
      <c r="J23" s="20">
        <f t="shared" si="8"/>
        <v>0</v>
      </c>
      <c r="K23" s="21">
        <f t="shared" si="4"/>
        <v>7.7540453474239351E-2</v>
      </c>
      <c r="L23" s="1">
        <f t="shared" si="5"/>
        <v>32311672</v>
      </c>
      <c r="M23" s="18">
        <f t="shared" si="6"/>
        <v>7.7540453474239338E-2</v>
      </c>
      <c r="O23" s="15" t="s">
        <v>4</v>
      </c>
      <c r="P23" s="1">
        <f t="shared" si="9"/>
        <v>1.5742232714475012E-4</v>
      </c>
      <c r="Q23" s="30">
        <f t="shared" si="10"/>
        <v>0.5738039138629738</v>
      </c>
      <c r="R23" s="30">
        <f t="shared" si="11"/>
        <v>0.57411875851726335</v>
      </c>
      <c r="S23" s="1">
        <f t="shared" si="7"/>
        <v>4.7431852921660817E-5</v>
      </c>
      <c r="T23" s="30">
        <f t="shared" si="12"/>
        <v>0.37495256814707828</v>
      </c>
      <c r="U23" s="30">
        <f t="shared" si="13"/>
        <v>0.37504743185292161</v>
      </c>
    </row>
    <row r="24" spans="1:21" x14ac:dyDescent="0.2">
      <c r="A24" s="15" t="s">
        <v>6</v>
      </c>
      <c r="B24" s="20">
        <f t="shared" si="8"/>
        <v>8.2421639358739428E-3</v>
      </c>
      <c r="C24" s="20">
        <f t="shared" si="8"/>
        <v>3.2968655743495774E-3</v>
      </c>
      <c r="D24" s="20">
        <f t="shared" si="8"/>
        <v>1.6484327871747887E-3</v>
      </c>
      <c r="E24" s="20">
        <f t="shared" si="8"/>
        <v>1.6484327871747887E-3</v>
      </c>
      <c r="F24" s="20">
        <f t="shared" si="8"/>
        <v>1.1539029510223521E-2</v>
      </c>
      <c r="G24" s="20">
        <f t="shared" si="8"/>
        <v>0</v>
      </c>
      <c r="H24" s="20">
        <f t="shared" si="8"/>
        <v>0</v>
      </c>
      <c r="I24" s="20">
        <f t="shared" si="8"/>
        <v>9.8905967230487318E-3</v>
      </c>
      <c r="J24" s="20">
        <f t="shared" si="8"/>
        <v>0</v>
      </c>
      <c r="K24" s="21">
        <f t="shared" si="4"/>
        <v>3.6265521317845349E-2</v>
      </c>
      <c r="L24" s="1">
        <f t="shared" si="5"/>
        <v>15112107</v>
      </c>
      <c r="M24" s="18">
        <f t="shared" si="6"/>
        <v>3.6265521317845349E-2</v>
      </c>
      <c r="O24" s="15" t="s">
        <v>5</v>
      </c>
      <c r="P24" s="1">
        <f t="shared" si="9"/>
        <v>6.4705928731129814E-5</v>
      </c>
      <c r="Q24" s="30">
        <f t="shared" si="10"/>
        <v>0.62783502496144528</v>
      </c>
      <c r="R24" s="30">
        <f t="shared" si="11"/>
        <v>0.62796443681890746</v>
      </c>
      <c r="S24" s="1">
        <f t="shared" si="7"/>
        <v>4.7616724911003721E-5</v>
      </c>
      <c r="T24" s="30">
        <f t="shared" si="12"/>
        <v>0.61740204770461904</v>
      </c>
      <c r="U24" s="30">
        <f t="shared" si="13"/>
        <v>0.61749728115444114</v>
      </c>
    </row>
    <row r="25" spans="1:21" x14ac:dyDescent="0.2">
      <c r="A25" s="15" t="s">
        <v>7</v>
      </c>
      <c r="B25" s="20">
        <f t="shared" si="8"/>
        <v>0</v>
      </c>
      <c r="C25" s="20">
        <f t="shared" si="8"/>
        <v>0</v>
      </c>
      <c r="D25" s="20">
        <f t="shared" si="8"/>
        <v>0</v>
      </c>
      <c r="E25" s="20">
        <f t="shared" si="8"/>
        <v>0</v>
      </c>
      <c r="F25" s="20">
        <f t="shared" si="8"/>
        <v>0</v>
      </c>
      <c r="G25" s="20">
        <f t="shared" si="8"/>
        <v>2.9109779376594366E-2</v>
      </c>
      <c r="H25" s="20">
        <f t="shared" si="8"/>
        <v>0</v>
      </c>
      <c r="I25" s="20">
        <f t="shared" si="8"/>
        <v>2.6541269431600744E-2</v>
      </c>
      <c r="J25" s="20">
        <f t="shared" si="8"/>
        <v>7.7055298349808614E-3</v>
      </c>
      <c r="K25" s="21">
        <f t="shared" si="4"/>
        <v>6.3356578643175968E-2</v>
      </c>
      <c r="L25" s="1">
        <f t="shared" si="5"/>
        <v>26401148</v>
      </c>
      <c r="M25" s="18">
        <f t="shared" si="6"/>
        <v>6.3356578643175968E-2</v>
      </c>
      <c r="O25" s="15" t="s">
        <v>6</v>
      </c>
      <c r="P25" s="1">
        <f t="shared" si="9"/>
        <v>1.4040496744673913E-4</v>
      </c>
      <c r="Q25" s="30">
        <f t="shared" si="10"/>
        <v>0.203724919374243</v>
      </c>
      <c r="R25" s="30">
        <f t="shared" si="11"/>
        <v>0.20400572930913649</v>
      </c>
      <c r="S25" s="1">
        <f t="shared" si="7"/>
        <v>4.5633777110438894E-5</v>
      </c>
      <c r="T25" s="30">
        <f t="shared" si="12"/>
        <v>0.31813618440470776</v>
      </c>
      <c r="U25" s="30">
        <f t="shared" si="13"/>
        <v>0.3182274519589286</v>
      </c>
    </row>
    <row r="26" spans="1:21" ht="15" customHeight="1" x14ac:dyDescent="0.2">
      <c r="A26" s="15" t="s">
        <v>8</v>
      </c>
      <c r="B26" s="20">
        <f t="shared" si="8"/>
        <v>3.7300793590393827E-3</v>
      </c>
      <c r="C26" s="20">
        <f t="shared" si="8"/>
        <v>9.9468782907716864E-4</v>
      </c>
      <c r="D26" s="20">
        <f t="shared" si="8"/>
        <v>0</v>
      </c>
      <c r="E26" s="20">
        <f t="shared" si="8"/>
        <v>7.4601587180787648E-4</v>
      </c>
      <c r="F26" s="20">
        <f t="shared" si="8"/>
        <v>4.9734391453858432E-4</v>
      </c>
      <c r="G26" s="20">
        <f t="shared" si="8"/>
        <v>0</v>
      </c>
      <c r="H26" s="20">
        <f t="shared" si="8"/>
        <v>1.1936253948926024E-2</v>
      </c>
      <c r="I26" s="20">
        <f t="shared" si="8"/>
        <v>0</v>
      </c>
      <c r="J26" s="20">
        <f t="shared" si="8"/>
        <v>0</v>
      </c>
      <c r="K26" s="21">
        <f t="shared" si="4"/>
        <v>1.7904380923389036E-2</v>
      </c>
      <c r="L26" s="1">
        <f t="shared" si="5"/>
        <v>7460886</v>
      </c>
      <c r="M26" s="18">
        <f t="shared" si="6"/>
        <v>1.7904380923389036E-2</v>
      </c>
      <c r="O26" s="15" t="s">
        <v>7</v>
      </c>
      <c r="P26" s="1">
        <f t="shared" si="9"/>
        <v>7.1331648102223634E-5</v>
      </c>
      <c r="Q26" s="30">
        <f t="shared" si="10"/>
        <v>0.18095207900360669</v>
      </c>
      <c r="R26" s="30">
        <f t="shared" si="11"/>
        <v>0.18109474229981112</v>
      </c>
      <c r="S26" s="1">
        <f t="shared" si="7"/>
        <v>4.8826116450192693E-5</v>
      </c>
      <c r="T26" s="30">
        <f t="shared" si="12"/>
        <v>0.4594106333430093</v>
      </c>
      <c r="U26" s="30">
        <f t="shared" si="13"/>
        <v>0.45950828557590967</v>
      </c>
    </row>
    <row r="27" spans="1:21" x14ac:dyDescent="0.2">
      <c r="A27" s="15" t="s">
        <v>9</v>
      </c>
      <c r="B27" s="20">
        <f t="shared" si="8"/>
        <v>7.0568515915621155E-3</v>
      </c>
      <c r="C27" s="20">
        <f t="shared" si="8"/>
        <v>0</v>
      </c>
      <c r="D27" s="20">
        <f t="shared" si="8"/>
        <v>1.7642128978905289E-3</v>
      </c>
      <c r="E27" s="20">
        <f t="shared" si="8"/>
        <v>0</v>
      </c>
      <c r="F27" s="20">
        <f t="shared" si="8"/>
        <v>0</v>
      </c>
      <c r="G27" s="20">
        <f t="shared" si="8"/>
        <v>4.5869535345153749E-2</v>
      </c>
      <c r="H27" s="20">
        <f t="shared" si="8"/>
        <v>0</v>
      </c>
      <c r="I27" s="20">
        <f t="shared" si="8"/>
        <v>4.0576896651482168E-2</v>
      </c>
      <c r="J27" s="20">
        <f t="shared" si="8"/>
        <v>0</v>
      </c>
      <c r="K27" s="21">
        <f t="shared" si="4"/>
        <v>9.5267496486088565E-2</v>
      </c>
      <c r="L27" s="1">
        <f t="shared" si="5"/>
        <v>39698660</v>
      </c>
      <c r="M27" s="18">
        <f t="shared" si="6"/>
        <v>9.5267496486088565E-2</v>
      </c>
      <c r="O27" s="15" t="s">
        <v>8</v>
      </c>
      <c r="P27" s="1">
        <f t="shared" si="9"/>
        <v>2.3005540538721602E-4</v>
      </c>
      <c r="Q27" s="30">
        <f t="shared" si="10"/>
        <v>0.91269203094246143</v>
      </c>
      <c r="R27" s="30">
        <f t="shared" si="11"/>
        <v>0.91315214175323589</v>
      </c>
      <c r="S27" s="1">
        <f t="shared" si="7"/>
        <v>4.618577029237503E-5</v>
      </c>
      <c r="T27" s="30">
        <f t="shared" si="12"/>
        <v>0.66662048089637427</v>
      </c>
      <c r="U27" s="30">
        <f t="shared" si="13"/>
        <v>0.66671285243695899</v>
      </c>
    </row>
    <row r="28" spans="1:21" x14ac:dyDescent="0.2">
      <c r="A28" s="15" t="s">
        <v>10</v>
      </c>
      <c r="B28" s="20">
        <f t="shared" si="8"/>
        <v>0</v>
      </c>
      <c r="C28" s="20">
        <f t="shared" si="8"/>
        <v>0</v>
      </c>
      <c r="D28" s="20">
        <f t="shared" si="8"/>
        <v>0</v>
      </c>
      <c r="E28" s="20">
        <f t="shared" si="8"/>
        <v>0</v>
      </c>
      <c r="F28" s="20">
        <f t="shared" si="8"/>
        <v>0</v>
      </c>
      <c r="G28" s="20">
        <f t="shared" si="8"/>
        <v>7.6303069612999416E-2</v>
      </c>
      <c r="H28" s="20">
        <f t="shared" si="8"/>
        <v>0</v>
      </c>
      <c r="I28" s="20">
        <f t="shared" si="8"/>
        <v>5.4842831284343328E-2</v>
      </c>
      <c r="J28" s="20">
        <f t="shared" si="8"/>
        <v>0.33382592955687246</v>
      </c>
      <c r="K28" s="21">
        <f t="shared" si="4"/>
        <v>0.4649718304542152</v>
      </c>
      <c r="L28" s="1">
        <f t="shared" si="5"/>
        <v>193757150</v>
      </c>
      <c r="M28" s="18">
        <f t="shared" si="6"/>
        <v>0.4649718304542152</v>
      </c>
      <c r="O28" s="15" t="s">
        <v>9</v>
      </c>
      <c r="P28" s="1">
        <f t="shared" si="9"/>
        <v>7.8883813593085667E-5</v>
      </c>
      <c r="Q28" s="30">
        <f t="shared" si="10"/>
        <v>0.23544076927037319</v>
      </c>
      <c r="R28" s="30">
        <f t="shared" si="11"/>
        <v>0.23559853689755936</v>
      </c>
      <c r="S28" s="1">
        <f t="shared" si="7"/>
        <v>4.8446839806948467E-5</v>
      </c>
      <c r="T28" s="30">
        <f t="shared" si="12"/>
        <v>0.425877479086119</v>
      </c>
      <c r="U28" s="30">
        <f t="shared" si="13"/>
        <v>0.42597437276573286</v>
      </c>
    </row>
    <row r="29" spans="1:21" x14ac:dyDescent="0.2">
      <c r="A29" s="23" t="s">
        <v>0</v>
      </c>
      <c r="B29" s="27">
        <f>SUM(B20:B28)</f>
        <v>6.9462171091156655E-2</v>
      </c>
      <c r="C29" s="27">
        <f t="shared" ref="C29:J29" si="14">SUM(C20:C28)</f>
        <v>3.7906048076707888E-2</v>
      </c>
      <c r="D29" s="27">
        <f t="shared" si="14"/>
        <v>7.208096889989761E-2</v>
      </c>
      <c r="E29" s="27">
        <f t="shared" si="14"/>
        <v>7.6249956198431196E-2</v>
      </c>
      <c r="F29" s="27">
        <f t="shared" si="14"/>
        <v>5.6601236858130219E-2</v>
      </c>
      <c r="G29" s="27">
        <f t="shared" si="14"/>
        <v>0.16080671152860948</v>
      </c>
      <c r="H29" s="27">
        <f t="shared" si="14"/>
        <v>1.3074778370930967E-2</v>
      </c>
      <c r="I29" s="27">
        <f t="shared" si="14"/>
        <v>0.17228666958428263</v>
      </c>
      <c r="J29" s="27">
        <f t="shared" si="14"/>
        <v>0.34153145939185331</v>
      </c>
      <c r="K29" s="27">
        <f>SUM(K20:K28)</f>
        <v>1</v>
      </c>
      <c r="L29" s="24">
        <f>L16</f>
        <v>416707287</v>
      </c>
      <c r="M29" s="26">
        <f>SUM(M20:M28)</f>
        <v>0.99999999999999989</v>
      </c>
      <c r="O29" s="12" t="s">
        <v>10</v>
      </c>
      <c r="P29" s="28">
        <f t="shared" si="9"/>
        <v>2.315360898844092E-5</v>
      </c>
      <c r="Q29" s="40">
        <f t="shared" si="10"/>
        <v>0.97741514783269523</v>
      </c>
      <c r="R29" s="40">
        <f t="shared" si="11"/>
        <v>0.97746145505067206</v>
      </c>
      <c r="S29" s="28">
        <f t="shared" si="7"/>
        <v>4.4088487416697975E-5</v>
      </c>
      <c r="T29" s="40">
        <f t="shared" si="12"/>
        <v>0.71790462946130129</v>
      </c>
      <c r="U29" s="40">
        <f t="shared" si="13"/>
        <v>0.71799280643613461</v>
      </c>
    </row>
    <row r="31" spans="1:21" x14ac:dyDescent="0.2">
      <c r="E31" s="33" t="s">
        <v>49</v>
      </c>
      <c r="J31" s="33" t="s">
        <v>22</v>
      </c>
    </row>
    <row r="32" spans="1:21" x14ac:dyDescent="0.2">
      <c r="E32" s="24"/>
      <c r="F32" s="38" t="s">
        <v>24</v>
      </c>
      <c r="G32" s="38" t="s">
        <v>23</v>
      </c>
      <c r="H32" s="38" t="s">
        <v>25</v>
      </c>
      <c r="J32" s="24"/>
      <c r="K32" s="38" t="s">
        <v>23</v>
      </c>
      <c r="L32" s="38" t="s">
        <v>24</v>
      </c>
      <c r="M32" s="38" t="s">
        <v>25</v>
      </c>
      <c r="O32" s="24"/>
      <c r="P32" s="38" t="s">
        <v>127</v>
      </c>
      <c r="Q32" s="11" t="s">
        <v>129</v>
      </c>
      <c r="R32" s="11" t="s">
        <v>128</v>
      </c>
      <c r="S32" s="173"/>
    </row>
    <row r="33" spans="5:19" x14ac:dyDescent="0.2">
      <c r="E33" s="36" t="s">
        <v>2</v>
      </c>
      <c r="F33" s="30">
        <f>'UA PA'!D28</f>
        <v>0.22727272727272727</v>
      </c>
      <c r="G33" s="30">
        <f>'UA PA'!E28</f>
        <v>0.125</v>
      </c>
      <c r="J33" s="36" t="s">
        <v>2</v>
      </c>
      <c r="K33" s="30">
        <f>B20/B29</f>
        <v>0.34278827757064345</v>
      </c>
      <c r="L33" s="30">
        <f>B20/K20</f>
        <v>0.22727272727272729</v>
      </c>
      <c r="M33" s="30"/>
      <c r="O33" s="15" t="s">
        <v>25</v>
      </c>
      <c r="P33" s="1">
        <f>2*(R16)^0.5</f>
        <v>4.5331470575655018E-5</v>
      </c>
      <c r="Q33" s="30">
        <f>M42-P33</f>
        <v>0.56004042158651113</v>
      </c>
      <c r="R33" s="30">
        <f>M42+P33</f>
        <v>0.56013108452766236</v>
      </c>
      <c r="S33" s="30"/>
    </row>
    <row r="34" spans="5:19" x14ac:dyDescent="0.2">
      <c r="E34" s="36" t="s">
        <v>3</v>
      </c>
      <c r="F34" s="30">
        <f>'UA PA'!D29</f>
        <v>0.67692307692307696</v>
      </c>
      <c r="G34" s="30">
        <f>'UA PA'!E29</f>
        <v>0.80733944954128445</v>
      </c>
      <c r="J34" s="36" t="s">
        <v>3</v>
      </c>
      <c r="K34" s="30">
        <f>C21/C29</f>
        <v>0.52862355333738309</v>
      </c>
      <c r="L34" s="30">
        <f>C21/K21</f>
        <v>0.67692307692307696</v>
      </c>
      <c r="M34" s="30"/>
    </row>
    <row r="35" spans="5:19" x14ac:dyDescent="0.2">
      <c r="E35" s="36" t="s">
        <v>4</v>
      </c>
      <c r="F35" s="30">
        <f>'UA PA'!D30</f>
        <v>0.375</v>
      </c>
      <c r="G35" s="30">
        <f>'UA PA'!E30</f>
        <v>0.59259259259259256</v>
      </c>
      <c r="J35" s="36" t="s">
        <v>4</v>
      </c>
      <c r="K35" s="30">
        <f>D22/D29</f>
        <v>0.57396133619011858</v>
      </c>
      <c r="L35" s="30">
        <f>D22/K22</f>
        <v>0.37499999999999994</v>
      </c>
      <c r="M35" s="30"/>
    </row>
    <row r="36" spans="5:19" x14ac:dyDescent="0.2">
      <c r="E36" s="36" t="s">
        <v>5</v>
      </c>
      <c r="F36" s="30">
        <f>'UA PA'!D31</f>
        <v>0.6174496644295302</v>
      </c>
      <c r="G36" s="30">
        <f>'UA PA'!E31</f>
        <v>0.70229007633587781</v>
      </c>
      <c r="J36" s="36" t="s">
        <v>5</v>
      </c>
      <c r="K36" s="30">
        <f>E23/E29</f>
        <v>0.62789973089017637</v>
      </c>
      <c r="L36" s="30">
        <f>E23/K23</f>
        <v>0.61744966442953009</v>
      </c>
      <c r="M36" s="30"/>
    </row>
    <row r="37" spans="5:19" x14ac:dyDescent="0.2">
      <c r="E37" s="37" t="s">
        <v>6</v>
      </c>
      <c r="F37" s="30">
        <f>'UA PA'!D32</f>
        <v>0.31818181818181818</v>
      </c>
      <c r="G37" s="30">
        <f>'UA PA'!E32</f>
        <v>0.11290322580645161</v>
      </c>
      <c r="J37" s="37" t="s">
        <v>6</v>
      </c>
      <c r="K37" s="30">
        <f>F24/F29</f>
        <v>0.20386532434168975</v>
      </c>
      <c r="L37" s="30">
        <f>F24/K24</f>
        <v>0.31818181818181818</v>
      </c>
      <c r="M37" s="30"/>
    </row>
    <row r="38" spans="5:19" x14ac:dyDescent="0.2">
      <c r="E38" s="36" t="s">
        <v>7</v>
      </c>
      <c r="F38" s="30">
        <f>'UA PA'!D33</f>
        <v>0.45945945945945948</v>
      </c>
      <c r="G38" s="30">
        <f>'UA PA'!E33</f>
        <v>0.35416666666666669</v>
      </c>
      <c r="J38" s="36" t="s">
        <v>7</v>
      </c>
      <c r="K38" s="30">
        <f>G25/G29</f>
        <v>0.1810234106517089</v>
      </c>
      <c r="L38" s="30">
        <f>G25/K25</f>
        <v>0.45945945945945948</v>
      </c>
      <c r="M38" s="30"/>
    </row>
    <row r="39" spans="5:19" x14ac:dyDescent="0.2">
      <c r="E39" s="36" t="s">
        <v>8</v>
      </c>
      <c r="F39" s="30">
        <f>'UA PA'!D34</f>
        <v>0.66666666666666663</v>
      </c>
      <c r="G39" s="30">
        <f>'UA PA'!E34</f>
        <v>0.90566037735849059</v>
      </c>
      <c r="J39" s="36" t="s">
        <v>8</v>
      </c>
      <c r="K39" s="30">
        <f>H26/H29</f>
        <v>0.91292208634784866</v>
      </c>
      <c r="L39" s="30">
        <f>H26/K26</f>
        <v>0.66666666666666663</v>
      </c>
      <c r="M39" s="30"/>
    </row>
    <row r="40" spans="5:19" x14ac:dyDescent="0.2">
      <c r="E40" s="36" t="s">
        <v>9</v>
      </c>
      <c r="F40" s="30">
        <f>'UA PA'!D35</f>
        <v>0.42592592592592593</v>
      </c>
      <c r="G40" s="30">
        <f>'UA PA'!E35</f>
        <v>0.21495327102803738</v>
      </c>
      <c r="J40" s="36" t="s">
        <v>9</v>
      </c>
      <c r="K40" s="30">
        <f>I27/I29</f>
        <v>0.23551965308396627</v>
      </c>
      <c r="L40" s="30">
        <f>I27/K27</f>
        <v>0.42592592592592593</v>
      </c>
      <c r="M40" s="30"/>
    </row>
    <row r="41" spans="5:19" x14ac:dyDescent="0.2">
      <c r="E41" s="39" t="s">
        <v>10</v>
      </c>
      <c r="F41" s="40">
        <f>'UA PA'!D36</f>
        <v>0.71794871794871795</v>
      </c>
      <c r="G41" s="40">
        <f>'UA PA'!E36</f>
        <v>0.93959731543624159</v>
      </c>
      <c r="H41" s="28"/>
      <c r="J41" s="39" t="s">
        <v>10</v>
      </c>
      <c r="K41" s="40">
        <f>J28/J29</f>
        <v>0.97743830144168364</v>
      </c>
      <c r="L41" s="40">
        <f>J28/K28</f>
        <v>0.71794871794871795</v>
      </c>
      <c r="M41" s="40"/>
    </row>
    <row r="42" spans="5:19" x14ac:dyDescent="0.2">
      <c r="H42" s="30">
        <f>OA!C8</f>
        <v>0.56451612903225812</v>
      </c>
      <c r="M42" s="30">
        <f>B20+C21+D22+E23+F24+G25+H26+I27+J28</f>
        <v>0.56008575305708674</v>
      </c>
    </row>
  </sheetData>
  <mergeCells count="2">
    <mergeCell ref="P19:R19"/>
    <mergeCell ref="S19:U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U42"/>
  <sheetViews>
    <sheetView zoomScale="90" zoomScaleNormal="90" workbookViewId="0"/>
  </sheetViews>
  <sheetFormatPr baseColWidth="10" defaultRowHeight="15" x14ac:dyDescent="0.2"/>
  <cols>
    <col min="1" max="12" width="10.83203125" style="1" customWidth="1"/>
    <col min="13" max="14" width="10.83203125" style="1"/>
    <col min="15" max="21" width="12.83203125" style="1" customWidth="1"/>
    <col min="22" max="16384" width="10.83203125" style="1"/>
  </cols>
  <sheetData>
    <row r="1" spans="1:19" ht="19" x14ac:dyDescent="0.25">
      <c r="A1" s="3" t="s">
        <v>83</v>
      </c>
    </row>
    <row r="3" spans="1:19" ht="16" x14ac:dyDescent="0.2">
      <c r="A3" s="19" t="s">
        <v>16</v>
      </c>
    </row>
    <row r="5" spans="1:19" ht="15" customHeight="1" x14ac:dyDescent="0.2">
      <c r="A5" s="32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4"/>
      <c r="O5" s="32" t="s">
        <v>125</v>
      </c>
    </row>
    <row r="6" spans="1:19" ht="15" customHeight="1" x14ac:dyDescent="0.2">
      <c r="A6" s="10"/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0</v>
      </c>
      <c r="L6" s="11" t="s">
        <v>18</v>
      </c>
      <c r="M6" s="11" t="s">
        <v>19</v>
      </c>
      <c r="O6" s="10"/>
      <c r="P6" s="11" t="s">
        <v>23</v>
      </c>
      <c r="Q6" s="11" t="s">
        <v>24</v>
      </c>
      <c r="R6" s="11" t="s">
        <v>25</v>
      </c>
      <c r="S6" s="173"/>
    </row>
    <row r="7" spans="1:19" x14ac:dyDescent="0.2">
      <c r="A7" s="15" t="s">
        <v>2</v>
      </c>
      <c r="B7" s="16">
        <f t="array" ref="B7:J15">TRANSPOSE('Error Matrix'!B71:J79)</f>
        <v>41</v>
      </c>
      <c r="C7" s="16">
        <v>0</v>
      </c>
      <c r="D7" s="16">
        <v>3</v>
      </c>
      <c r="E7" s="16">
        <v>6</v>
      </c>
      <c r="F7" s="16">
        <v>18</v>
      </c>
      <c r="G7" s="16">
        <v>0</v>
      </c>
      <c r="H7" s="16">
        <v>0</v>
      </c>
      <c r="I7" s="16">
        <v>5</v>
      </c>
      <c r="J7" s="16">
        <v>0</v>
      </c>
      <c r="K7" s="14">
        <f>SUM(B7:J7)</f>
        <v>73</v>
      </c>
      <c r="L7" s="110">
        <f>Sampling!V6</f>
        <v>63711699</v>
      </c>
      <c r="M7" s="18">
        <f>L7/$L$16</f>
        <v>0.1528931722281113</v>
      </c>
      <c r="O7" s="15" t="s">
        <v>2</v>
      </c>
      <c r="P7" s="135">
        <f>B20*(B29^-4)*(B20*((B21*(M21-B21)/(M21*$L$29))+(B22*(M22-B22)/(M22*$L$29))+(B23*(M23-B23)/(M23*$L$29))+(B24*(M24-B24)/(M24*$L$29))+(B25*(M25-B25)/(M25*$L$29))+(B26*(M26-B26)/(M26*$L$29))+(B27*(M27-B27)/(M27*$L$29))+(B28*(M28-B28)/(M28*$L$29)))+(M20-B20)*((B29-B20)^2)/(M20*$L$29))</f>
        <v>2.7821607421333425E-9</v>
      </c>
      <c r="Q7" s="1">
        <f>(B20*(M20-B20))/((M20^2)*$L$29)</f>
        <v>5.9082249149747532E-10</v>
      </c>
    </row>
    <row r="8" spans="1:19" x14ac:dyDescent="0.2">
      <c r="A8" s="15" t="s">
        <v>3</v>
      </c>
      <c r="B8" s="16">
        <v>4</v>
      </c>
      <c r="C8" s="16">
        <v>90</v>
      </c>
      <c r="D8" s="16">
        <v>5</v>
      </c>
      <c r="E8" s="16">
        <v>9</v>
      </c>
      <c r="F8" s="16">
        <v>19</v>
      </c>
      <c r="G8" s="16">
        <v>0</v>
      </c>
      <c r="H8" s="16">
        <v>4</v>
      </c>
      <c r="I8" s="16">
        <v>2</v>
      </c>
      <c r="J8" s="16">
        <v>0</v>
      </c>
      <c r="K8" s="14">
        <f t="shared" ref="K8:K15" si="0">SUM(B8:J8)</f>
        <v>133</v>
      </c>
      <c r="L8" s="110">
        <f>Sampling!V7</f>
        <v>11195164</v>
      </c>
      <c r="M8" s="18">
        <f t="shared" ref="M8:M15" si="1">L8/$L$16</f>
        <v>2.6865774487884107E-2</v>
      </c>
      <c r="O8" s="15" t="s">
        <v>3</v>
      </c>
      <c r="P8" s="1">
        <f>C21*(C29^-4)*(C21*((C20*(M20-C20)/(M20*$L$29))+(C22*(M22-C22)/(M22*$L$29))+(C23*(M23-C23)/(M23*$L$29))+(C24*(M24-C24)/(M24*$L$29))+(C25*(M25-C25)/(M25*$L$29))+(C26*(M26-C26)/(M26*$L$29))+(C27*(M27-C27)/(M27*$L$29))+(C28*(M28-C28)/(M28*$L$29)))+(M21-C21)*((C29-C21)^2)/(M21*$L$29))</f>
        <v>1.2737412113371116E-8</v>
      </c>
      <c r="Q8" s="1">
        <f>(C21*(M20-C21))/((M21^2)*$L$29)</f>
        <v>8.1427474168582861E-9</v>
      </c>
    </row>
    <row r="9" spans="1:19" x14ac:dyDescent="0.2">
      <c r="A9" s="15" t="s">
        <v>4</v>
      </c>
      <c r="B9" s="16">
        <v>19</v>
      </c>
      <c r="C9" s="16">
        <v>5</v>
      </c>
      <c r="D9" s="16">
        <v>57</v>
      </c>
      <c r="E9" s="16">
        <v>21</v>
      </c>
      <c r="F9" s="16">
        <v>13</v>
      </c>
      <c r="G9" s="16">
        <v>0</v>
      </c>
      <c r="H9" s="16">
        <v>0</v>
      </c>
      <c r="I9" s="16">
        <v>3</v>
      </c>
      <c r="J9" s="16">
        <v>0</v>
      </c>
      <c r="K9" s="14">
        <f t="shared" si="0"/>
        <v>118</v>
      </c>
      <c r="L9" s="110">
        <f>Sampling!V8</f>
        <v>39784433</v>
      </c>
      <c r="M9" s="18">
        <f t="shared" si="1"/>
        <v>9.5473331619468416E-2</v>
      </c>
      <c r="O9" s="15" t="s">
        <v>4</v>
      </c>
      <c r="P9" s="1">
        <f>D22*(D29^-4)*(D22*((D20*(M20-D20)/(M20*$L$29))+(D21*(M21-D21)/(M21*$L$29))+(D23*(M23-D23)/(M23*$L$29))+(D24*(M24-D24)/(M24*$L$29))+(D25*(M25-D25)/(M25*$L$29))+(D26*(M26-D26)/(M26*$L$29))+(D27*(M27-D27)/(M27*$L$29))+(D28*(M28-D28)/(M28*$L$29)))+(M22-D22)*((D29-D22)^2)/(M22*$L$29))</f>
        <v>6.0905488143151801E-9</v>
      </c>
      <c r="Q9" s="1">
        <f>(D22*(M22-D22))/((M22^2)*$L$29)</f>
        <v>5.9925212257710147E-10</v>
      </c>
    </row>
    <row r="10" spans="1:19" x14ac:dyDescent="0.2">
      <c r="A10" s="15" t="s">
        <v>5</v>
      </c>
      <c r="B10" s="16">
        <v>5</v>
      </c>
      <c r="C10" s="16">
        <v>2</v>
      </c>
      <c r="D10" s="16">
        <v>15</v>
      </c>
      <c r="E10" s="16">
        <v>92</v>
      </c>
      <c r="F10" s="16">
        <v>6</v>
      </c>
      <c r="G10" s="16">
        <v>0</v>
      </c>
      <c r="H10" s="16">
        <v>0</v>
      </c>
      <c r="I10" s="16">
        <v>0</v>
      </c>
      <c r="J10" s="16">
        <v>0</v>
      </c>
      <c r="K10" s="14">
        <f t="shared" si="0"/>
        <v>120</v>
      </c>
      <c r="L10" s="110">
        <f>Sampling!V9</f>
        <v>30360421</v>
      </c>
      <c r="M10" s="18">
        <f t="shared" si="1"/>
        <v>7.2857907570020489E-2</v>
      </c>
      <c r="O10" s="15" t="s">
        <v>5</v>
      </c>
      <c r="P10" s="1">
        <f>E23*(E29^-4)*(E23*(0)+(M23-E23)*((E29-E23)^2)/(M23*$L$29))</f>
        <v>5.6066538878894888E-10</v>
      </c>
      <c r="Q10" s="183">
        <f>(E23*(M23-E23))/((M23^2)*$L$29)</f>
        <v>4.2929148222188131E-10</v>
      </c>
    </row>
    <row r="11" spans="1:19" x14ac:dyDescent="0.2">
      <c r="A11" s="15" t="s">
        <v>6</v>
      </c>
      <c r="B11" s="16">
        <v>2</v>
      </c>
      <c r="C11" s="16">
        <v>0</v>
      </c>
      <c r="D11" s="16">
        <v>0</v>
      </c>
      <c r="E11" s="16">
        <v>1</v>
      </c>
      <c r="F11" s="16">
        <v>0</v>
      </c>
      <c r="G11" s="16">
        <v>0</v>
      </c>
      <c r="H11" s="16">
        <v>0</v>
      </c>
      <c r="I11" s="16">
        <v>2</v>
      </c>
      <c r="J11" s="16">
        <v>0</v>
      </c>
      <c r="K11" s="14">
        <f t="shared" si="0"/>
        <v>5</v>
      </c>
      <c r="L11" s="110">
        <f>Sampling!V10</f>
        <v>3430510</v>
      </c>
      <c r="M11" s="18">
        <f t="shared" si="1"/>
        <v>8.232421431113586E-3</v>
      </c>
      <c r="O11" s="15" t="s">
        <v>6</v>
      </c>
      <c r="P11" s="1">
        <f>F24*(F29^-4)*(F24*((F20*(M20-F20)/(M20*$L$29))+(F21*(M21-F21)/(M21*$L$29))+(F22*(M22-F22)/(M22*$L$29))+(F23*(M23-F23)/(M23*$L$29))+(F25*(M25-F25)/(M25*$L$29))+(F26*(M26-F26)/(M26*$L$29))+(F27*(M27-F27)/(M27*$L$29))+(F28*(M28-F28)/(M28*$L$29)))+(M24-F24)*((F29-F24)^2)/(M24*$L$29))</f>
        <v>0</v>
      </c>
      <c r="Q11" s="1">
        <f>(F24*(M24-F24))/((M24^2)*$L$29)</f>
        <v>0</v>
      </c>
    </row>
    <row r="12" spans="1:19" x14ac:dyDescent="0.2">
      <c r="A12" s="15" t="s">
        <v>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58</v>
      </c>
      <c r="H12" s="16">
        <v>0</v>
      </c>
      <c r="I12" s="16">
        <v>49</v>
      </c>
      <c r="J12" s="16">
        <v>1</v>
      </c>
      <c r="K12" s="14">
        <f t="shared" si="0"/>
        <v>108</v>
      </c>
      <c r="L12" s="110">
        <f>Sampling!V11</f>
        <v>9367960</v>
      </c>
      <c r="M12" s="18">
        <f t="shared" si="1"/>
        <v>2.2480912362830844E-2</v>
      </c>
      <c r="O12" s="15" t="s">
        <v>7</v>
      </c>
      <c r="P12" s="1">
        <f>G25*(G29^-4)*(G25*((G20*(M20-G20)/(M20*$L$29))+(G21*(M21-G21)/(M21*$L$29))+(G22*(M22-G22)/(M22*$L$29))+(G23*(M23-G23)/(M23*$L$29))+(G24*(M24-G24)/(M24*$L$29))+(G26*(M26-G26)/(M26*$L$29))+(G27*(M27-G27)/(M27*$L$29))+(G28*(M28-G28)/(M28*$L$29)))+(M25-G25)*((G29-G25)^2)/(M25*$L$29))</f>
        <v>1.490609004076558E-9</v>
      </c>
      <c r="Q12" s="1">
        <f>(G25*(M25-G25))/((M25^2)*$L$29)</f>
        <v>5.9664965227142079E-10</v>
      </c>
    </row>
    <row r="13" spans="1:19" x14ac:dyDescent="0.2">
      <c r="A13" s="15" t="s">
        <v>8</v>
      </c>
      <c r="B13" s="16">
        <v>9</v>
      </c>
      <c r="C13" s="16">
        <v>8</v>
      </c>
      <c r="D13" s="16">
        <v>0</v>
      </c>
      <c r="E13" s="16">
        <v>1</v>
      </c>
      <c r="F13" s="16">
        <v>3</v>
      </c>
      <c r="G13" s="16">
        <v>0</v>
      </c>
      <c r="H13" s="16">
        <v>49</v>
      </c>
      <c r="I13" s="16">
        <v>0</v>
      </c>
      <c r="J13" s="16">
        <v>0</v>
      </c>
      <c r="K13" s="14">
        <f t="shared" si="0"/>
        <v>70</v>
      </c>
      <c r="L13" s="110">
        <f>Sampling!V12</f>
        <v>6059498</v>
      </c>
      <c r="M13" s="18">
        <f t="shared" si="1"/>
        <v>1.454137757854952E-2</v>
      </c>
      <c r="O13" s="15" t="s">
        <v>8</v>
      </c>
      <c r="P13" s="1">
        <f>H26*(H29^-4)*(H26*((H20*(M20-H20)/(M20*$L$29))+(H21*(M21-H21)/(M21*$L$29))+(H22*(M22-H22)/(M22*$L$29))+(H23*(M23-H23)/(M23*$L$29))+(H24*(M24-H24)/(M24*$L$29))+(H25*(M25-H25)/(M25*$L$29))+(H27*(M27-H27)/(M27*$L$29))+(H28*(M28-H28)/(M28*$L$29)))+(M26-H26)*((H29-H26)^2)/(M26*$L$29))</f>
        <v>1.3700805667996389E-8</v>
      </c>
      <c r="Q13" s="1">
        <f>(H26*(M26-H26))/((M26^2)*$L$29)</f>
        <v>5.0395087043438247E-10</v>
      </c>
    </row>
    <row r="14" spans="1:19" x14ac:dyDescent="0.2">
      <c r="A14" s="15" t="s">
        <v>9</v>
      </c>
      <c r="B14" s="16">
        <v>0</v>
      </c>
      <c r="C14" s="16">
        <v>4</v>
      </c>
      <c r="D14" s="16">
        <v>1</v>
      </c>
      <c r="E14" s="16">
        <v>1</v>
      </c>
      <c r="F14" s="16">
        <v>3</v>
      </c>
      <c r="G14" s="16">
        <v>22</v>
      </c>
      <c r="H14" s="16">
        <v>0</v>
      </c>
      <c r="I14" s="16">
        <v>37</v>
      </c>
      <c r="J14" s="16">
        <v>0</v>
      </c>
      <c r="K14" s="14">
        <f t="shared" si="0"/>
        <v>68</v>
      </c>
      <c r="L14" s="110">
        <f>Sampling!V28</f>
        <v>44179431</v>
      </c>
      <c r="M14" s="18">
        <f t="shared" si="1"/>
        <v>0.10602029860831304</v>
      </c>
      <c r="O14" s="15" t="s">
        <v>9</v>
      </c>
      <c r="P14" s="1">
        <f>I27*(I29^-4)*(I27*((I20*(M20-I20)/(M20*$L$29))+(I21*(M21-I21)/(M21*$L$29))+(I22*(M22-I22)/(M22*$L$29))+(I23*(M23-I23)/(M23*$L$29))+(I24*(M24-I24)/(M24*$L$29))+(I25*(M25-I25)/(M25*$L$29))+(I26*(M26-I26)/(M26*$L$29))+(I28*(M28-I28)/(M28*$L$29)))+(M27-I27)*((I29-I27)^2)/(M27*$L$29))</f>
        <v>3.5756407433338603E-9</v>
      </c>
      <c r="Q14" s="1">
        <f>(I27*(M27-I27))/((M27^2)*$L$29)</f>
        <v>5.9527068749818399E-10</v>
      </c>
    </row>
    <row r="15" spans="1:19" x14ac:dyDescent="0.2">
      <c r="A15" s="15" t="s">
        <v>10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16</v>
      </c>
      <c r="H15" s="16">
        <v>0</v>
      </c>
      <c r="I15" s="16">
        <v>9</v>
      </c>
      <c r="J15" s="16">
        <v>148</v>
      </c>
      <c r="K15" s="14">
        <f t="shared" si="0"/>
        <v>173</v>
      </c>
      <c r="L15" s="110">
        <f>Sampling!V29</f>
        <v>208618171</v>
      </c>
      <c r="M15" s="18">
        <f t="shared" si="1"/>
        <v>0.50063480411370875</v>
      </c>
      <c r="O15" s="12" t="s">
        <v>10</v>
      </c>
      <c r="P15" s="28">
        <f>J28*(J29^-4)*(J28*((J20*(M20-J20)/(M20*$L$29))+(J21*(M21-J21)/(M21*$L$29))+(J22*(M22-J22)/(M22*$L$29))+(J23*(M23-J23)/(M23*$L$29))+(J24*(M24-J24)/(M24*$L$29))+(J25*(M25-J25)/(M25*$L$29))+(J26*(M26-J26)/(M26*$L$29))+(J27*(M27-J27)/(M27*$L$29)))+(M28-J28)*((J29-J28)^2)/(M28*$L$29))</f>
        <v>2.6929760566808202E-12</v>
      </c>
      <c r="Q15" s="28">
        <f>(J28*(M28-J28))/((M28^2)*$L$29)</f>
        <v>2.9667327287393084E-10</v>
      </c>
      <c r="R15" s="28"/>
      <c r="S15" s="14"/>
    </row>
    <row r="16" spans="1:19" ht="15" customHeight="1" x14ac:dyDescent="0.2">
      <c r="A16" s="23" t="s">
        <v>0</v>
      </c>
      <c r="B16" s="24">
        <f>SUM(B7:B15)</f>
        <v>80</v>
      </c>
      <c r="C16" s="24">
        <f t="shared" ref="C16:J16" si="2">SUM(C7:C15)</f>
        <v>109</v>
      </c>
      <c r="D16" s="24">
        <f t="shared" si="2"/>
        <v>81</v>
      </c>
      <c r="E16" s="24">
        <f t="shared" si="2"/>
        <v>131</v>
      </c>
      <c r="F16" s="24">
        <f t="shared" si="2"/>
        <v>62</v>
      </c>
      <c r="G16" s="24">
        <f t="shared" si="2"/>
        <v>96</v>
      </c>
      <c r="H16" s="24">
        <f t="shared" si="2"/>
        <v>53</v>
      </c>
      <c r="I16" s="24">
        <f t="shared" si="2"/>
        <v>107</v>
      </c>
      <c r="J16" s="24">
        <f t="shared" si="2"/>
        <v>149</v>
      </c>
      <c r="K16" s="24">
        <f>SUM(K7:K15)</f>
        <v>868</v>
      </c>
      <c r="L16" s="25">
        <f>SUM(L7:L15)</f>
        <v>416707287</v>
      </c>
      <c r="M16" s="26">
        <f>SUM(M7:M15)</f>
        <v>1</v>
      </c>
      <c r="R16" s="1">
        <f>((B20*((M20-B20)/(M20*L29)))+(C21*((M21-C21)/(M21*L29)))+(D22*((M22-D22)/(M22*L29)))+(E23*((M23-E23)/(M23*L29)))+(F24*((M24-F24)/(M24*L29)))+(G25*((M25-G25)/(M25*L29)))+(H26*((M26-H26)/(M26*L29)))+(I27*((M27-I27)/(M27*L29)))+(J28*((M28-J28)/(M28*L29))))</f>
        <v>4.2530480399541972E-10</v>
      </c>
    </row>
    <row r="18" spans="1:21" x14ac:dyDescent="0.2">
      <c r="A18" s="32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4"/>
      <c r="O18" s="32" t="s">
        <v>126</v>
      </c>
    </row>
    <row r="19" spans="1:21" x14ac:dyDescent="0.2">
      <c r="A19" s="10"/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  <c r="J19" s="11" t="s">
        <v>10</v>
      </c>
      <c r="K19" s="11" t="s">
        <v>0</v>
      </c>
      <c r="L19" s="11" t="s">
        <v>18</v>
      </c>
      <c r="M19" s="11" t="s">
        <v>19</v>
      </c>
      <c r="O19" s="151"/>
      <c r="P19" s="203" t="s">
        <v>23</v>
      </c>
      <c r="Q19" s="203"/>
      <c r="R19" s="203"/>
      <c r="S19" s="203" t="s">
        <v>24</v>
      </c>
      <c r="T19" s="203"/>
      <c r="U19" s="203"/>
    </row>
    <row r="20" spans="1:21" x14ac:dyDescent="0.2">
      <c r="A20" s="15" t="s">
        <v>2</v>
      </c>
      <c r="B20" s="20">
        <f>$M7*B7/$K7</f>
        <v>8.5871507689761137E-2</v>
      </c>
      <c r="C20" s="20">
        <f t="shared" ref="C20:J21" si="3">$M7*C7/$K7</f>
        <v>0</v>
      </c>
      <c r="D20" s="20">
        <f t="shared" si="3"/>
        <v>6.2832810504703275E-3</v>
      </c>
      <c r="E20" s="20">
        <f t="shared" si="3"/>
        <v>1.2566562100940655E-2</v>
      </c>
      <c r="F20" s="20">
        <f t="shared" si="3"/>
        <v>3.7699686302821965E-2</v>
      </c>
      <c r="G20" s="20">
        <f t="shared" si="3"/>
        <v>0</v>
      </c>
      <c r="H20" s="20">
        <f t="shared" si="3"/>
        <v>0</v>
      </c>
      <c r="I20" s="20">
        <f t="shared" si="3"/>
        <v>1.0472135084117212E-2</v>
      </c>
      <c r="J20" s="20">
        <f t="shared" si="3"/>
        <v>0</v>
      </c>
      <c r="K20" s="21">
        <f>SUM(B20:J20)</f>
        <v>0.1528931722281113</v>
      </c>
      <c r="L20" s="1">
        <f>L7</f>
        <v>63711699</v>
      </c>
      <c r="M20" s="18">
        <f>L20/$L$29</f>
        <v>0.1528931722281113</v>
      </c>
      <c r="O20" s="174"/>
      <c r="P20" s="11" t="s">
        <v>127</v>
      </c>
      <c r="Q20" s="11" t="s">
        <v>129</v>
      </c>
      <c r="R20" s="11" t="s">
        <v>128</v>
      </c>
      <c r="S20" s="11" t="s">
        <v>127</v>
      </c>
      <c r="T20" s="11" t="s">
        <v>129</v>
      </c>
      <c r="U20" s="11" t="s">
        <v>128</v>
      </c>
    </row>
    <row r="21" spans="1:21" x14ac:dyDescent="0.2">
      <c r="A21" s="15" t="s">
        <v>3</v>
      </c>
      <c r="B21" s="20">
        <f>$M8*B8/$K8</f>
        <v>8.0799321768072502E-4</v>
      </c>
      <c r="C21" s="20">
        <f t="shared" si="3"/>
        <v>1.8179847397816314E-2</v>
      </c>
      <c r="D21" s="20">
        <f t="shared" si="3"/>
        <v>1.0099915221009064E-3</v>
      </c>
      <c r="E21" s="20">
        <f t="shared" si="3"/>
        <v>1.8179847397816313E-3</v>
      </c>
      <c r="F21" s="20">
        <f t="shared" si="3"/>
        <v>3.8379677839834436E-3</v>
      </c>
      <c r="G21" s="20">
        <f t="shared" si="3"/>
        <v>0</v>
      </c>
      <c r="H21" s="20">
        <f t="shared" si="3"/>
        <v>8.0799321768072502E-4</v>
      </c>
      <c r="I21" s="20">
        <f t="shared" si="3"/>
        <v>4.0399660884036251E-4</v>
      </c>
      <c r="J21" s="20">
        <f t="shared" si="3"/>
        <v>0</v>
      </c>
      <c r="K21" s="21">
        <f t="shared" ref="K21:K28" si="4">SUM(B21:J21)</f>
        <v>2.6865774487884107E-2</v>
      </c>
      <c r="L21" s="1">
        <f t="shared" ref="L21:L28" si="5">L8</f>
        <v>11195164</v>
      </c>
      <c r="M21" s="18">
        <f t="shared" ref="M21:M28" si="6">L21/$L$29</f>
        <v>2.6865774487884107E-2</v>
      </c>
      <c r="O21" s="15" t="s">
        <v>2</v>
      </c>
      <c r="P21" s="1">
        <f>2*(P7^0.5)</f>
        <v>1.0549238346218826E-4</v>
      </c>
      <c r="Q21" s="30">
        <f>K33-P21</f>
        <v>0.77876983291456126</v>
      </c>
      <c r="R21" s="30">
        <f>K33+P21</f>
        <v>0.77898081768148553</v>
      </c>
      <c r="S21" s="1">
        <f t="shared" ref="S21:S29" si="7">2*(Q7^0.5)</f>
        <v>4.8613680852100688E-5</v>
      </c>
      <c r="T21" s="30">
        <f>L33-S21</f>
        <v>0.5615952219355862</v>
      </c>
      <c r="U21" s="30">
        <f>L33+S21</f>
        <v>0.56169244929729034</v>
      </c>
    </row>
    <row r="22" spans="1:21" x14ac:dyDescent="0.2">
      <c r="A22" s="15" t="s">
        <v>4</v>
      </c>
      <c r="B22" s="20">
        <f t="shared" ref="B22:J28" si="8">$M9*B9/$K9</f>
        <v>1.5372824582795762E-2</v>
      </c>
      <c r="C22" s="20">
        <f t="shared" si="8"/>
        <v>4.0454801533673056E-3</v>
      </c>
      <c r="D22" s="20">
        <f t="shared" si="8"/>
        <v>4.6118473748387283E-2</v>
      </c>
      <c r="E22" s="20">
        <f t="shared" si="8"/>
        <v>1.6991016644142681E-2</v>
      </c>
      <c r="F22" s="20">
        <f t="shared" si="8"/>
        <v>1.0518248398754995E-2</v>
      </c>
      <c r="G22" s="20">
        <f t="shared" si="8"/>
        <v>0</v>
      </c>
      <c r="H22" s="20">
        <f t="shared" si="8"/>
        <v>0</v>
      </c>
      <c r="I22" s="20">
        <f t="shared" si="8"/>
        <v>2.4272880920203836E-3</v>
      </c>
      <c r="J22" s="20">
        <f t="shared" si="8"/>
        <v>0</v>
      </c>
      <c r="K22" s="21">
        <f t="shared" si="4"/>
        <v>9.5473331619468402E-2</v>
      </c>
      <c r="L22" s="1">
        <f t="shared" si="5"/>
        <v>39784433</v>
      </c>
      <c r="M22" s="18">
        <f t="shared" si="6"/>
        <v>9.5473331619468416E-2</v>
      </c>
      <c r="O22" s="15" t="s">
        <v>3</v>
      </c>
      <c r="P22" s="1">
        <f t="shared" ref="P22:P29" si="9">2*(P8^0.5)</f>
        <v>2.2572028808568462E-4</v>
      </c>
      <c r="Q22" s="30">
        <f t="shared" ref="Q22:Q29" si="10">K34-P22</f>
        <v>0.57989603556282965</v>
      </c>
      <c r="R22" s="30">
        <f t="shared" ref="R22:R29" si="11">K34+P22</f>
        <v>0.58034747613900095</v>
      </c>
      <c r="S22" s="1">
        <f t="shared" si="7"/>
        <v>1.804743462862053E-4</v>
      </c>
      <c r="T22" s="30">
        <f t="shared" ref="T22:T29" si="12">L34-S22</f>
        <v>0.67651125497702214</v>
      </c>
      <c r="U22" s="30">
        <f t="shared" ref="U22:U29" si="13">L34+S22</f>
        <v>0.67687220366959455</v>
      </c>
    </row>
    <row r="23" spans="1:21" x14ac:dyDescent="0.2">
      <c r="A23" s="15" t="s">
        <v>5</v>
      </c>
      <c r="B23" s="20">
        <f t="shared" si="8"/>
        <v>3.0357461487508534E-3</v>
      </c>
      <c r="C23" s="20">
        <f t="shared" si="8"/>
        <v>1.2142984595003416E-3</v>
      </c>
      <c r="D23" s="20">
        <f t="shared" si="8"/>
        <v>9.1072384462525611E-3</v>
      </c>
      <c r="E23" s="20">
        <f t="shared" si="8"/>
        <v>5.5857729137015706E-2</v>
      </c>
      <c r="F23" s="20">
        <f t="shared" si="8"/>
        <v>3.6428953785010245E-3</v>
      </c>
      <c r="G23" s="20">
        <f t="shared" si="8"/>
        <v>0</v>
      </c>
      <c r="H23" s="20">
        <f t="shared" si="8"/>
        <v>0</v>
      </c>
      <c r="I23" s="20">
        <f t="shared" si="8"/>
        <v>0</v>
      </c>
      <c r="J23" s="20">
        <f t="shared" si="8"/>
        <v>0</v>
      </c>
      <c r="K23" s="21">
        <f t="shared" si="4"/>
        <v>7.2857907570020489E-2</v>
      </c>
      <c r="L23" s="1">
        <f t="shared" si="5"/>
        <v>30360421</v>
      </c>
      <c r="M23" s="18">
        <f t="shared" si="6"/>
        <v>7.2857907570020489E-2</v>
      </c>
      <c r="O23" s="15" t="s">
        <v>4</v>
      </c>
      <c r="P23" s="1">
        <f t="shared" si="9"/>
        <v>1.5608393657664046E-4</v>
      </c>
      <c r="Q23" s="30">
        <f t="shared" si="10"/>
        <v>0.7195667051327691</v>
      </c>
      <c r="R23" s="30">
        <f t="shared" si="11"/>
        <v>0.71987887300592235</v>
      </c>
      <c r="S23" s="1">
        <f t="shared" si="7"/>
        <v>4.8959253367554595E-5</v>
      </c>
      <c r="T23" s="30">
        <f t="shared" si="12"/>
        <v>0.4830018882042596</v>
      </c>
      <c r="U23" s="30">
        <f t="shared" si="13"/>
        <v>0.48309980671099473</v>
      </c>
    </row>
    <row r="24" spans="1:21" x14ac:dyDescent="0.2">
      <c r="A24" s="15" t="s">
        <v>6</v>
      </c>
      <c r="B24" s="20">
        <f t="shared" si="8"/>
        <v>3.2929685724454342E-3</v>
      </c>
      <c r="C24" s="20">
        <f t="shared" si="8"/>
        <v>0</v>
      </c>
      <c r="D24" s="20">
        <f t="shared" si="8"/>
        <v>0</v>
      </c>
      <c r="E24" s="20">
        <f t="shared" si="8"/>
        <v>1.6464842862227171E-3</v>
      </c>
      <c r="F24" s="20">
        <f t="shared" si="8"/>
        <v>0</v>
      </c>
      <c r="G24" s="20">
        <f t="shared" si="8"/>
        <v>0</v>
      </c>
      <c r="H24" s="20">
        <f t="shared" si="8"/>
        <v>0</v>
      </c>
      <c r="I24" s="20">
        <f t="shared" si="8"/>
        <v>3.2929685724454342E-3</v>
      </c>
      <c r="J24" s="20">
        <f t="shared" si="8"/>
        <v>0</v>
      </c>
      <c r="K24" s="21">
        <f t="shared" si="4"/>
        <v>8.232421431113586E-3</v>
      </c>
      <c r="L24" s="1">
        <f t="shared" si="5"/>
        <v>3430510</v>
      </c>
      <c r="M24" s="18">
        <f t="shared" si="6"/>
        <v>8.232421431113586E-3</v>
      </c>
      <c r="O24" s="15" t="s">
        <v>5</v>
      </c>
      <c r="P24" s="1">
        <f t="shared" si="9"/>
        <v>4.7356747725702147E-5</v>
      </c>
      <c r="Q24" s="30">
        <f t="shared" si="10"/>
        <v>0.61616669713029748</v>
      </c>
      <c r="R24" s="30">
        <f t="shared" si="11"/>
        <v>0.61626141062574891</v>
      </c>
      <c r="S24" s="1">
        <f t="shared" si="7"/>
        <v>4.1438700859070438E-5</v>
      </c>
      <c r="T24" s="30">
        <f t="shared" si="12"/>
        <v>0.76662522796580757</v>
      </c>
      <c r="U24" s="30">
        <f t="shared" si="13"/>
        <v>0.76670810536752565</v>
      </c>
    </row>
    <row r="25" spans="1:21" x14ac:dyDescent="0.2">
      <c r="A25" s="15" t="s">
        <v>7</v>
      </c>
      <c r="B25" s="20">
        <f t="shared" si="8"/>
        <v>0</v>
      </c>
      <c r="C25" s="20">
        <f t="shared" si="8"/>
        <v>0</v>
      </c>
      <c r="D25" s="20">
        <f t="shared" si="8"/>
        <v>0</v>
      </c>
      <c r="E25" s="20">
        <f t="shared" si="8"/>
        <v>0</v>
      </c>
      <c r="F25" s="20">
        <f t="shared" si="8"/>
        <v>0</v>
      </c>
      <c r="G25" s="20">
        <f t="shared" si="8"/>
        <v>1.2073082565223971E-2</v>
      </c>
      <c r="H25" s="20">
        <f t="shared" si="8"/>
        <v>0</v>
      </c>
      <c r="I25" s="20">
        <f t="shared" si="8"/>
        <v>1.0199673201654736E-2</v>
      </c>
      <c r="J25" s="20">
        <f t="shared" si="8"/>
        <v>2.0815659595213744E-4</v>
      </c>
      <c r="K25" s="21">
        <f t="shared" si="4"/>
        <v>2.248091236283084E-2</v>
      </c>
      <c r="L25" s="1">
        <f t="shared" si="5"/>
        <v>9367960</v>
      </c>
      <c r="M25" s="18">
        <f t="shared" si="6"/>
        <v>2.2480912362830844E-2</v>
      </c>
      <c r="O25" s="15" t="s">
        <v>6</v>
      </c>
      <c r="P25" s="1">
        <f t="shared" si="9"/>
        <v>0</v>
      </c>
      <c r="Q25" s="30">
        <f t="shared" si="10"/>
        <v>0</v>
      </c>
      <c r="R25" s="30">
        <f t="shared" si="11"/>
        <v>0</v>
      </c>
      <c r="S25" s="1">
        <f t="shared" si="7"/>
        <v>0</v>
      </c>
      <c r="T25" s="30">
        <f t="shared" si="12"/>
        <v>0</v>
      </c>
      <c r="U25" s="30">
        <f t="shared" si="13"/>
        <v>0</v>
      </c>
    </row>
    <row r="26" spans="1:21" ht="15" customHeight="1" x14ac:dyDescent="0.2">
      <c r="A26" s="15" t="s">
        <v>8</v>
      </c>
      <c r="B26" s="20">
        <f t="shared" si="8"/>
        <v>1.8696056886706527E-3</v>
      </c>
      <c r="C26" s="20">
        <f t="shared" si="8"/>
        <v>1.6618717232628024E-3</v>
      </c>
      <c r="D26" s="20">
        <f t="shared" si="8"/>
        <v>0</v>
      </c>
      <c r="E26" s="20">
        <f t="shared" si="8"/>
        <v>2.077339654078503E-4</v>
      </c>
      <c r="F26" s="20">
        <f t="shared" si="8"/>
        <v>6.2320189622355087E-4</v>
      </c>
      <c r="G26" s="20">
        <f t="shared" si="8"/>
        <v>0</v>
      </c>
      <c r="H26" s="20">
        <f t="shared" si="8"/>
        <v>1.0178964304984665E-2</v>
      </c>
      <c r="I26" s="20">
        <f t="shared" si="8"/>
        <v>0</v>
      </c>
      <c r="J26" s="20">
        <f t="shared" si="8"/>
        <v>0</v>
      </c>
      <c r="K26" s="21">
        <f t="shared" si="4"/>
        <v>1.4541377578549522E-2</v>
      </c>
      <c r="L26" s="1">
        <f t="shared" si="5"/>
        <v>6059498</v>
      </c>
      <c r="M26" s="18">
        <f t="shared" si="6"/>
        <v>1.454137757854952E-2</v>
      </c>
      <c r="O26" s="15" t="s">
        <v>7</v>
      </c>
      <c r="P26" s="1">
        <f t="shared" si="9"/>
        <v>7.7216811746576479E-5</v>
      </c>
      <c r="Q26" s="30">
        <f t="shared" si="10"/>
        <v>0.13019577712016675</v>
      </c>
      <c r="R26" s="30">
        <f t="shared" si="11"/>
        <v>0.13035021074365991</v>
      </c>
      <c r="S26" s="1">
        <f t="shared" si="7"/>
        <v>4.8852826009205275E-5</v>
      </c>
      <c r="T26" s="30">
        <f t="shared" si="12"/>
        <v>0.5369881842110279</v>
      </c>
      <c r="U26" s="30">
        <f t="shared" si="13"/>
        <v>0.53708588986304628</v>
      </c>
    </row>
    <row r="27" spans="1:21" x14ac:dyDescent="0.2">
      <c r="A27" s="15" t="s">
        <v>9</v>
      </c>
      <c r="B27" s="20">
        <f t="shared" si="8"/>
        <v>0</v>
      </c>
      <c r="C27" s="20">
        <f t="shared" si="8"/>
        <v>6.2364881534301784E-3</v>
      </c>
      <c r="D27" s="20">
        <f t="shared" si="8"/>
        <v>1.5591220383575446E-3</v>
      </c>
      <c r="E27" s="20">
        <f t="shared" si="8"/>
        <v>1.5591220383575446E-3</v>
      </c>
      <c r="F27" s="20">
        <f t="shared" si="8"/>
        <v>4.6773661150726342E-3</v>
      </c>
      <c r="G27" s="20">
        <f t="shared" si="8"/>
        <v>3.4300684843865982E-2</v>
      </c>
      <c r="H27" s="20">
        <f t="shared" si="8"/>
        <v>0</v>
      </c>
      <c r="I27" s="20">
        <f t="shared" si="8"/>
        <v>5.7687515419229153E-2</v>
      </c>
      <c r="J27" s="20">
        <f t="shared" si="8"/>
        <v>0</v>
      </c>
      <c r="K27" s="21">
        <f t="shared" si="4"/>
        <v>0.10602029860831304</v>
      </c>
      <c r="L27" s="1">
        <f t="shared" si="5"/>
        <v>44179431</v>
      </c>
      <c r="M27" s="18">
        <f t="shared" si="6"/>
        <v>0.10602029860831304</v>
      </c>
      <c r="O27" s="15" t="s">
        <v>8</v>
      </c>
      <c r="P27" s="1">
        <f t="shared" si="9"/>
        <v>2.3410088139942054E-4</v>
      </c>
      <c r="Q27" s="30">
        <f t="shared" si="10"/>
        <v>0.92622477401514158</v>
      </c>
      <c r="R27" s="30">
        <f t="shared" si="11"/>
        <v>0.92669297577794041</v>
      </c>
      <c r="S27" s="1">
        <f t="shared" si="7"/>
        <v>4.489770018316673E-5</v>
      </c>
      <c r="T27" s="30">
        <f t="shared" si="12"/>
        <v>0.69995510229981683</v>
      </c>
      <c r="U27" s="30">
        <f t="shared" si="13"/>
        <v>0.70004489770018308</v>
      </c>
    </row>
    <row r="28" spans="1:21" x14ac:dyDescent="0.2">
      <c r="A28" s="15" t="s">
        <v>10</v>
      </c>
      <c r="B28" s="20">
        <f t="shared" si="8"/>
        <v>0</v>
      </c>
      <c r="C28" s="20">
        <f t="shared" si="8"/>
        <v>0</v>
      </c>
      <c r="D28" s="20">
        <f t="shared" si="8"/>
        <v>0</v>
      </c>
      <c r="E28" s="20">
        <f t="shared" si="8"/>
        <v>0</v>
      </c>
      <c r="F28" s="20">
        <f t="shared" si="8"/>
        <v>0</v>
      </c>
      <c r="G28" s="20">
        <f t="shared" si="8"/>
        <v>4.6301484773522195E-2</v>
      </c>
      <c r="H28" s="20">
        <f t="shared" si="8"/>
        <v>0</v>
      </c>
      <c r="I28" s="20">
        <f t="shared" si="8"/>
        <v>2.6044585185106234E-2</v>
      </c>
      <c r="J28" s="20">
        <f t="shared" si="8"/>
        <v>0.42828873415508034</v>
      </c>
      <c r="K28" s="21">
        <f t="shared" si="4"/>
        <v>0.50063480411370875</v>
      </c>
      <c r="L28" s="1">
        <f t="shared" si="5"/>
        <v>208618171</v>
      </c>
      <c r="M28" s="18">
        <f t="shared" si="6"/>
        <v>0.50063480411370875</v>
      </c>
      <c r="O28" s="15" t="s">
        <v>9</v>
      </c>
      <c r="P28" s="1">
        <f t="shared" si="9"/>
        <v>1.1959332328075611E-4</v>
      </c>
      <c r="Q28" s="30">
        <f t="shared" si="10"/>
        <v>0.52180635107032469</v>
      </c>
      <c r="R28" s="30">
        <f t="shared" si="11"/>
        <v>0.52204553771688611</v>
      </c>
      <c r="S28" s="1">
        <f t="shared" si="7"/>
        <v>4.8796339514278486E-5</v>
      </c>
      <c r="T28" s="30">
        <f t="shared" si="12"/>
        <v>0.54406885071930922</v>
      </c>
      <c r="U28" s="30">
        <f t="shared" si="13"/>
        <v>0.54416644339833775</v>
      </c>
    </row>
    <row r="29" spans="1:21" x14ac:dyDescent="0.2">
      <c r="A29" s="23" t="s">
        <v>0</v>
      </c>
      <c r="B29" s="27">
        <f>SUM(B20:B28)</f>
        <v>0.11025064590010457</v>
      </c>
      <c r="C29" s="27">
        <f t="shared" ref="C29:J29" si="14">SUM(C20:C28)</f>
        <v>3.1337985887376942E-2</v>
      </c>
      <c r="D29" s="27">
        <f t="shared" si="14"/>
        <v>6.4078106805568635E-2</v>
      </c>
      <c r="E29" s="27">
        <f t="shared" si="14"/>
        <v>9.0646632911868794E-2</v>
      </c>
      <c r="F29" s="27">
        <f t="shared" si="14"/>
        <v>6.0999365875357613E-2</v>
      </c>
      <c r="G29" s="27">
        <f t="shared" si="14"/>
        <v>9.2675252182612147E-2</v>
      </c>
      <c r="H29" s="27">
        <f t="shared" si="14"/>
        <v>1.098695752266539E-2</v>
      </c>
      <c r="I29" s="27">
        <f t="shared" si="14"/>
        <v>0.1105281621634135</v>
      </c>
      <c r="J29" s="27">
        <f t="shared" si="14"/>
        <v>0.42849689075103248</v>
      </c>
      <c r="K29" s="27">
        <f>SUM(K20:K28)</f>
        <v>1</v>
      </c>
      <c r="L29" s="24">
        <f>L16</f>
        <v>416707287</v>
      </c>
      <c r="M29" s="26">
        <f>SUM(M20:M28)</f>
        <v>1</v>
      </c>
      <c r="O29" s="12" t="s">
        <v>10</v>
      </c>
      <c r="P29" s="28">
        <f t="shared" si="9"/>
        <v>3.2820579255587919E-6</v>
      </c>
      <c r="Q29" s="40">
        <f t="shared" si="10"/>
        <v>0.99951093473000185</v>
      </c>
      <c r="R29" s="40">
        <f t="shared" si="11"/>
        <v>0.99951749884585295</v>
      </c>
      <c r="S29" s="28">
        <f t="shared" si="7"/>
        <v>3.4448412031554132E-5</v>
      </c>
      <c r="T29" s="40">
        <f t="shared" si="12"/>
        <v>0.85545688106773721</v>
      </c>
      <c r="U29" s="40">
        <f t="shared" si="13"/>
        <v>0.8555257778918004</v>
      </c>
    </row>
    <row r="31" spans="1:21" x14ac:dyDescent="0.2">
      <c r="E31" s="33" t="s">
        <v>49</v>
      </c>
      <c r="J31" s="33" t="s">
        <v>22</v>
      </c>
    </row>
    <row r="32" spans="1:21" x14ac:dyDescent="0.2">
      <c r="E32" s="24"/>
      <c r="F32" s="38" t="s">
        <v>24</v>
      </c>
      <c r="G32" s="38" t="s">
        <v>23</v>
      </c>
      <c r="H32" s="38" t="s">
        <v>25</v>
      </c>
      <c r="J32" s="24"/>
      <c r="K32" s="38" t="s">
        <v>23</v>
      </c>
      <c r="L32" s="38" t="s">
        <v>24</v>
      </c>
      <c r="M32" s="38" t="s">
        <v>25</v>
      </c>
      <c r="O32" s="24"/>
      <c r="P32" s="38" t="s">
        <v>127</v>
      </c>
      <c r="Q32" s="11" t="s">
        <v>129</v>
      </c>
      <c r="R32" s="11" t="s">
        <v>128</v>
      </c>
      <c r="S32" s="173"/>
    </row>
    <row r="33" spans="5:19" x14ac:dyDescent="0.2">
      <c r="E33" s="36" t="s">
        <v>2</v>
      </c>
      <c r="F33" s="30">
        <f>'UA PA'!F28</f>
        <v>0.56164383561643838</v>
      </c>
      <c r="G33" s="30">
        <f>'UA PA'!G28</f>
        <v>0.51249999999999996</v>
      </c>
      <c r="J33" s="36" t="s">
        <v>2</v>
      </c>
      <c r="K33" s="30">
        <f>B20/B29</f>
        <v>0.77887532529802339</v>
      </c>
      <c r="L33" s="30">
        <f>B20/K20</f>
        <v>0.56164383561643827</v>
      </c>
      <c r="M33" s="30"/>
      <c r="O33" s="15" t="s">
        <v>25</v>
      </c>
      <c r="P33" s="1">
        <f>2*(R16)^0.5</f>
        <v>4.1245838771707372E-5</v>
      </c>
      <c r="Q33" s="30">
        <f>M42-P33</f>
        <v>0.71421460857872687</v>
      </c>
      <c r="R33" s="30">
        <f>M42+P33</f>
        <v>0.71429710025627036</v>
      </c>
      <c r="S33" s="30"/>
    </row>
    <row r="34" spans="5:19" x14ac:dyDescent="0.2">
      <c r="E34" s="36" t="s">
        <v>3</v>
      </c>
      <c r="F34" s="30">
        <f>'UA PA'!F29</f>
        <v>0.67669172932330823</v>
      </c>
      <c r="G34" s="30">
        <f>'UA PA'!G29</f>
        <v>0.82568807339449546</v>
      </c>
      <c r="J34" s="36" t="s">
        <v>3</v>
      </c>
      <c r="K34" s="30">
        <f>C21/C29</f>
        <v>0.5801217558509153</v>
      </c>
      <c r="L34" s="30">
        <f>C21/K21</f>
        <v>0.67669172932330834</v>
      </c>
      <c r="M34" s="30"/>
    </row>
    <row r="35" spans="5:19" x14ac:dyDescent="0.2">
      <c r="E35" s="36" t="s">
        <v>4</v>
      </c>
      <c r="F35" s="30">
        <f>'UA PA'!F30</f>
        <v>0.48305084745762711</v>
      </c>
      <c r="G35" s="30">
        <f>'UA PA'!G30</f>
        <v>0.70370370370370372</v>
      </c>
      <c r="J35" s="36" t="s">
        <v>4</v>
      </c>
      <c r="K35" s="30">
        <f>D22/D29</f>
        <v>0.71972278906934573</v>
      </c>
      <c r="L35" s="30">
        <f>D22/K22</f>
        <v>0.48305084745762716</v>
      </c>
      <c r="M35" s="30"/>
    </row>
    <row r="36" spans="5:19" x14ac:dyDescent="0.2">
      <c r="E36" s="36" t="s">
        <v>5</v>
      </c>
      <c r="F36" s="30">
        <f>'UA PA'!F31</f>
        <v>0.76666666666666672</v>
      </c>
      <c r="G36" s="30">
        <f>'UA PA'!G31</f>
        <v>0.70229007633587781</v>
      </c>
      <c r="J36" s="36" t="s">
        <v>5</v>
      </c>
      <c r="K36" s="30">
        <f>E23/E29</f>
        <v>0.61621405387802319</v>
      </c>
      <c r="L36" s="30">
        <f>E23/K23</f>
        <v>0.76666666666666661</v>
      </c>
      <c r="M36" s="30"/>
    </row>
    <row r="37" spans="5:19" x14ac:dyDescent="0.2">
      <c r="E37" s="37" t="s">
        <v>6</v>
      </c>
      <c r="F37" s="30">
        <f>'UA PA'!F32</f>
        <v>0</v>
      </c>
      <c r="G37" s="30">
        <f>'UA PA'!G32</f>
        <v>0</v>
      </c>
      <c r="J37" s="37" t="s">
        <v>6</v>
      </c>
      <c r="K37" s="30">
        <f>F24/F29</f>
        <v>0</v>
      </c>
      <c r="L37" s="30">
        <f>F24/K24</f>
        <v>0</v>
      </c>
      <c r="M37" s="30"/>
    </row>
    <row r="38" spans="5:19" x14ac:dyDescent="0.2">
      <c r="E38" s="36" t="s">
        <v>7</v>
      </c>
      <c r="F38" s="30">
        <f>'UA PA'!F33</f>
        <v>0.53703703703703709</v>
      </c>
      <c r="G38" s="30">
        <f>'UA PA'!G33</f>
        <v>0.60416666666666663</v>
      </c>
      <c r="J38" s="36" t="s">
        <v>7</v>
      </c>
      <c r="K38" s="30">
        <f>G25/G29</f>
        <v>0.13027299393191333</v>
      </c>
      <c r="L38" s="30">
        <f>G25/K25</f>
        <v>0.53703703703703709</v>
      </c>
      <c r="M38" s="30"/>
    </row>
    <row r="39" spans="5:19" x14ac:dyDescent="0.2">
      <c r="E39" s="36" t="s">
        <v>8</v>
      </c>
      <c r="F39" s="30">
        <f>'UA PA'!F34</f>
        <v>0.7</v>
      </c>
      <c r="G39" s="30">
        <f>'UA PA'!G34</f>
        <v>0.92452830188679247</v>
      </c>
      <c r="J39" s="36" t="s">
        <v>8</v>
      </c>
      <c r="K39" s="30">
        <f>H26/H29</f>
        <v>0.926458874896541</v>
      </c>
      <c r="L39" s="30">
        <f>H26/K26</f>
        <v>0.7</v>
      </c>
      <c r="M39" s="30"/>
    </row>
    <row r="40" spans="5:19" x14ac:dyDescent="0.2">
      <c r="E40" s="36" t="s">
        <v>9</v>
      </c>
      <c r="F40" s="30">
        <f>'UA PA'!F35</f>
        <v>0.54411764705882348</v>
      </c>
      <c r="G40" s="30">
        <f>'UA PA'!G35</f>
        <v>0.34579439252336447</v>
      </c>
      <c r="J40" s="36" t="s">
        <v>9</v>
      </c>
      <c r="K40" s="30">
        <f>I27/I29</f>
        <v>0.5219259443936054</v>
      </c>
      <c r="L40" s="30">
        <f>I27/K27</f>
        <v>0.54411764705882348</v>
      </c>
      <c r="M40" s="30"/>
    </row>
    <row r="41" spans="5:19" x14ac:dyDescent="0.2">
      <c r="E41" s="39" t="s">
        <v>10</v>
      </c>
      <c r="F41" s="40">
        <f>'UA PA'!F36</f>
        <v>0.8554913294797688</v>
      </c>
      <c r="G41" s="40">
        <f>'UA PA'!G36</f>
        <v>0.99328859060402686</v>
      </c>
      <c r="H41" s="28"/>
      <c r="J41" s="39" t="s">
        <v>10</v>
      </c>
      <c r="K41" s="40">
        <f>J28/J29</f>
        <v>0.9995142167879274</v>
      </c>
      <c r="L41" s="40">
        <f>J28/K28</f>
        <v>0.8554913294797688</v>
      </c>
      <c r="M41" s="40"/>
    </row>
    <row r="42" spans="5:19" x14ac:dyDescent="0.2">
      <c r="H42" s="30">
        <f>OA!D8</f>
        <v>0.65898617511520741</v>
      </c>
      <c r="M42" s="30">
        <f>B20+C21+D22+E23+F24+G25+H26+I27+J28</f>
        <v>0.71425585441749861</v>
      </c>
    </row>
  </sheetData>
  <mergeCells count="2">
    <mergeCell ref="P19:R19"/>
    <mergeCell ref="S19:U19"/>
  </mergeCells>
  <pageMargins left="0.7" right="0.7" top="0.75" bottom="0.75" header="0.3" footer="0.3"/>
  <ignoredErrors>
    <ignoredError sqref="L29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Y136"/>
  <sheetViews>
    <sheetView tabSelected="1" zoomScalePageLayoutView="110" workbookViewId="0"/>
  </sheetViews>
  <sheetFormatPr baseColWidth="10" defaultRowHeight="15" x14ac:dyDescent="0.2"/>
  <cols>
    <col min="1" max="21" width="10.83203125" style="75" customWidth="1"/>
    <col min="22" max="16384" width="10.83203125" style="75"/>
  </cols>
  <sheetData>
    <row r="1" spans="1:21" ht="19" x14ac:dyDescent="0.25">
      <c r="A1" s="73" t="s">
        <v>69</v>
      </c>
    </row>
    <row r="3" spans="1:21" ht="17" x14ac:dyDescent="0.2">
      <c r="A3" s="127" t="s">
        <v>91</v>
      </c>
    </row>
    <row r="5" spans="1:21" x14ac:dyDescent="0.2">
      <c r="A5" s="97"/>
      <c r="B5" s="98">
        <v>2015</v>
      </c>
      <c r="C5" s="97"/>
      <c r="D5" s="97"/>
      <c r="E5" s="97"/>
      <c r="F5" s="97"/>
      <c r="G5" s="97"/>
      <c r="H5" s="97"/>
      <c r="I5" s="97"/>
      <c r="J5" s="97"/>
      <c r="K5" s="97"/>
    </row>
    <row r="6" spans="1:21" x14ac:dyDescent="0.2">
      <c r="A6" s="99">
        <v>1995</v>
      </c>
      <c r="B6" s="99" t="s">
        <v>2</v>
      </c>
      <c r="C6" s="99" t="s">
        <v>3</v>
      </c>
      <c r="D6" s="99" t="s">
        <v>4</v>
      </c>
      <c r="E6" s="99" t="s">
        <v>5</v>
      </c>
      <c r="F6" s="99" t="s">
        <v>6</v>
      </c>
      <c r="G6" s="99" t="s">
        <v>7</v>
      </c>
      <c r="H6" s="99" t="s">
        <v>8</v>
      </c>
      <c r="I6" s="99" t="s">
        <v>9</v>
      </c>
      <c r="J6" s="99" t="s">
        <v>10</v>
      </c>
      <c r="K6" s="99" t="s">
        <v>0</v>
      </c>
      <c r="M6" s="89" t="s">
        <v>70</v>
      </c>
      <c r="N6" s="75">
        <v>1995</v>
      </c>
      <c r="O6" s="75">
        <v>2015</v>
      </c>
      <c r="P6" s="206" t="s">
        <v>71</v>
      </c>
      <c r="Q6" s="206"/>
      <c r="R6" s="206" t="s">
        <v>72</v>
      </c>
      <c r="S6" s="206"/>
      <c r="T6" s="206" t="s">
        <v>73</v>
      </c>
      <c r="U6" s="206"/>
    </row>
    <row r="7" spans="1:21" ht="17" x14ac:dyDescent="0.2">
      <c r="A7" s="96" t="s">
        <v>81</v>
      </c>
      <c r="B7" s="79"/>
      <c r="C7" s="79"/>
      <c r="D7" s="79"/>
      <c r="E7" s="79"/>
      <c r="F7" s="79"/>
      <c r="G7" s="79"/>
      <c r="H7" s="79"/>
      <c r="I7" s="79"/>
      <c r="J7" s="79"/>
      <c r="K7" s="79"/>
      <c r="P7" s="90" t="s">
        <v>74</v>
      </c>
      <c r="Q7" s="90" t="s">
        <v>75</v>
      </c>
      <c r="R7" s="90" t="s">
        <v>74</v>
      </c>
      <c r="S7" s="90" t="s">
        <v>75</v>
      </c>
      <c r="T7" s="90" t="s">
        <v>74</v>
      </c>
      <c r="U7" s="90" t="s">
        <v>75</v>
      </c>
    </row>
    <row r="8" spans="1:21" x14ac:dyDescent="0.2">
      <c r="A8" s="89" t="s">
        <v>2</v>
      </c>
      <c r="B8" s="91">
        <f>O39*(900/1000000)</f>
        <v>16111.553399999999</v>
      </c>
      <c r="C8" s="91">
        <f t="shared" ref="C8:J16" si="0">P39*(900/1000000)</f>
        <v>537.77250000000004</v>
      </c>
      <c r="D8" s="91">
        <f t="shared" si="0"/>
        <v>2044.4723999999999</v>
      </c>
      <c r="E8" s="91">
        <f t="shared" si="0"/>
        <v>1169.8587</v>
      </c>
      <c r="F8" s="91">
        <f t="shared" si="0"/>
        <v>1361.4488999999999</v>
      </c>
      <c r="G8" s="91">
        <f t="shared" si="0"/>
        <v>15.0219</v>
      </c>
      <c r="H8" s="91">
        <f t="shared" si="0"/>
        <v>1.9431</v>
      </c>
      <c r="I8" s="91">
        <f t="shared" si="0"/>
        <v>2.7450000000000001</v>
      </c>
      <c r="J8" s="91">
        <f t="shared" si="0"/>
        <v>0.1125</v>
      </c>
      <c r="K8" s="91">
        <f>SUM(B8:J8)</f>
        <v>21244.928399999997</v>
      </c>
      <c r="M8" s="89" t="s">
        <v>2</v>
      </c>
      <c r="N8" s="92">
        <f>K8</f>
        <v>21244.928399999997</v>
      </c>
      <c r="O8" s="92">
        <f>B17</f>
        <v>18478.542599999997</v>
      </c>
      <c r="P8" s="92">
        <f>O8-N8</f>
        <v>-2766.3858</v>
      </c>
      <c r="Q8" s="92">
        <f>P8*100</f>
        <v>-276638.58</v>
      </c>
      <c r="R8" s="92">
        <f>K8-B8</f>
        <v>5133.3749999999982</v>
      </c>
      <c r="S8" s="92">
        <f>R8*100</f>
        <v>513337.49999999983</v>
      </c>
      <c r="T8" s="92">
        <f>B17-B8</f>
        <v>2366.9891999999982</v>
      </c>
      <c r="U8" s="92">
        <f>T8*100</f>
        <v>236698.91999999981</v>
      </c>
    </row>
    <row r="9" spans="1:21" x14ac:dyDescent="0.2">
      <c r="A9" s="89" t="s">
        <v>3</v>
      </c>
      <c r="B9" s="91">
        <f t="shared" ref="B9:B16" si="1">O40*(900/1000000)</f>
        <v>534.66390000000001</v>
      </c>
      <c r="C9" s="91">
        <f t="shared" si="0"/>
        <v>2344.5810000000001</v>
      </c>
      <c r="D9" s="91">
        <f t="shared" si="0"/>
        <v>431.9973</v>
      </c>
      <c r="E9" s="91">
        <f t="shared" si="0"/>
        <v>20.0808</v>
      </c>
      <c r="F9" s="91">
        <f t="shared" si="0"/>
        <v>114.282</v>
      </c>
      <c r="G9" s="91">
        <f t="shared" si="0"/>
        <v>33.5565</v>
      </c>
      <c r="H9" s="91">
        <f t="shared" si="0"/>
        <v>2.9106000000000001</v>
      </c>
      <c r="I9" s="91">
        <f t="shared" si="0"/>
        <v>23.8491</v>
      </c>
      <c r="J9" s="91">
        <f t="shared" si="0"/>
        <v>5.0012999999999996</v>
      </c>
      <c r="K9" s="91">
        <f t="shared" ref="K9:K16" si="2">SUM(B9:J9)</f>
        <v>3510.9225000000006</v>
      </c>
      <c r="M9" s="89" t="s">
        <v>3</v>
      </c>
      <c r="N9" s="92">
        <f t="shared" ref="N9:N16" si="3">K9</f>
        <v>3510.9225000000006</v>
      </c>
      <c r="O9" s="92">
        <f>C17</f>
        <v>3428.0613000000008</v>
      </c>
      <c r="P9" s="92">
        <f t="shared" ref="P9:P16" si="4">O9-N9</f>
        <v>-82.861199999999826</v>
      </c>
      <c r="Q9" s="92">
        <f t="shared" ref="Q9:Q16" si="5">P9*100</f>
        <v>-8286.1199999999826</v>
      </c>
      <c r="R9" s="92">
        <f>K9-C9</f>
        <v>1166.3415000000005</v>
      </c>
      <c r="S9" s="92">
        <f t="shared" ref="S9:S16" si="6">R9*100</f>
        <v>116634.15000000005</v>
      </c>
      <c r="T9" s="92">
        <f>C17-C9</f>
        <v>1083.4803000000006</v>
      </c>
      <c r="U9" s="92">
        <f t="shared" ref="U9:U16" si="7">T9*100</f>
        <v>108348.03000000006</v>
      </c>
    </row>
    <row r="10" spans="1:21" x14ac:dyDescent="0.2">
      <c r="A10" s="89" t="s">
        <v>4</v>
      </c>
      <c r="B10" s="91">
        <f t="shared" si="1"/>
        <v>441.40409999999997</v>
      </c>
      <c r="C10" s="91">
        <f t="shared" si="0"/>
        <v>2.6640000000000001</v>
      </c>
      <c r="D10" s="91">
        <f t="shared" si="0"/>
        <v>738.00540000000001</v>
      </c>
      <c r="E10" s="91">
        <f t="shared" si="0"/>
        <v>123.96509999999999</v>
      </c>
      <c r="F10" s="91">
        <f t="shared" si="0"/>
        <v>127.73609999999999</v>
      </c>
      <c r="G10" s="91">
        <f t="shared" si="0"/>
        <v>1.7442</v>
      </c>
      <c r="H10" s="91">
        <f t="shared" si="0"/>
        <v>3.4200000000000001E-2</v>
      </c>
      <c r="I10" s="91">
        <f t="shared" si="0"/>
        <v>0.52200000000000002</v>
      </c>
      <c r="J10" s="91">
        <f t="shared" si="0"/>
        <v>6.5699999999999995E-2</v>
      </c>
      <c r="K10" s="91">
        <f t="shared" si="2"/>
        <v>1436.1408000000001</v>
      </c>
      <c r="M10" s="89" t="s">
        <v>4</v>
      </c>
      <c r="N10" s="92">
        <f t="shared" si="3"/>
        <v>1436.1408000000001</v>
      </c>
      <c r="O10" s="92">
        <f>D17</f>
        <v>6209.46</v>
      </c>
      <c r="P10" s="92">
        <f t="shared" si="4"/>
        <v>4773.3191999999999</v>
      </c>
      <c r="Q10" s="92">
        <f t="shared" si="5"/>
        <v>477331.92</v>
      </c>
      <c r="R10" s="92">
        <f>K10-D10</f>
        <v>698.13540000000012</v>
      </c>
      <c r="S10" s="92">
        <f t="shared" si="6"/>
        <v>69813.540000000008</v>
      </c>
      <c r="T10" s="92">
        <f>D17-D10</f>
        <v>5471.4546</v>
      </c>
      <c r="U10" s="92">
        <f t="shared" si="7"/>
        <v>547145.46</v>
      </c>
    </row>
    <row r="11" spans="1:21" x14ac:dyDescent="0.2">
      <c r="A11" s="89" t="s">
        <v>5</v>
      </c>
      <c r="B11" s="91">
        <f t="shared" si="1"/>
        <v>156.0087</v>
      </c>
      <c r="C11" s="91">
        <f t="shared" si="0"/>
        <v>0.6633</v>
      </c>
      <c r="D11" s="91">
        <f t="shared" si="0"/>
        <v>380.9205</v>
      </c>
      <c r="E11" s="91">
        <f t="shared" si="0"/>
        <v>431.49509999999998</v>
      </c>
      <c r="F11" s="91">
        <f t="shared" si="0"/>
        <v>750.82949999999994</v>
      </c>
      <c r="G11" s="91">
        <f t="shared" si="0"/>
        <v>5.4314999999999998</v>
      </c>
      <c r="H11" s="91">
        <f t="shared" si="0"/>
        <v>1.7999999999999999E-2</v>
      </c>
      <c r="I11" s="91">
        <f t="shared" si="0"/>
        <v>0.2772</v>
      </c>
      <c r="J11" s="91">
        <f t="shared" si="0"/>
        <v>7.1999999999999998E-3</v>
      </c>
      <c r="K11" s="91">
        <f t="shared" si="2"/>
        <v>1725.6509999999998</v>
      </c>
      <c r="M11" s="89" t="s">
        <v>5</v>
      </c>
      <c r="N11" s="92">
        <f t="shared" si="3"/>
        <v>1725.6509999999998</v>
      </c>
      <c r="O11" s="92">
        <f>E17</f>
        <v>4456.9242000000004</v>
      </c>
      <c r="P11" s="92">
        <f t="shared" si="4"/>
        <v>2731.2732000000005</v>
      </c>
      <c r="Q11" s="92">
        <f t="shared" si="5"/>
        <v>273127.32000000007</v>
      </c>
      <c r="R11" s="92">
        <f>K11-E11</f>
        <v>1294.1558999999997</v>
      </c>
      <c r="S11" s="92">
        <f t="shared" si="6"/>
        <v>129415.58999999997</v>
      </c>
      <c r="T11" s="92">
        <f>E17-E11</f>
        <v>4025.4291000000003</v>
      </c>
      <c r="U11" s="92">
        <f t="shared" si="7"/>
        <v>402542.91000000003</v>
      </c>
    </row>
    <row r="12" spans="1:21" x14ac:dyDescent="0.2">
      <c r="A12" s="89" t="s">
        <v>6</v>
      </c>
      <c r="B12" s="91">
        <f t="shared" si="1"/>
        <v>1209.8483999999999</v>
      </c>
      <c r="C12" s="91">
        <f t="shared" si="0"/>
        <v>138.19229999999999</v>
      </c>
      <c r="D12" s="91">
        <f t="shared" si="0"/>
        <v>2564.4267</v>
      </c>
      <c r="E12" s="91">
        <f t="shared" si="0"/>
        <v>2653.1028000000001</v>
      </c>
      <c r="F12" s="91">
        <f t="shared" si="0"/>
        <v>5683.2830999999996</v>
      </c>
      <c r="G12" s="91">
        <f t="shared" si="0"/>
        <v>137.15729999999999</v>
      </c>
      <c r="H12" s="91">
        <f t="shared" si="0"/>
        <v>4.1849999999999996</v>
      </c>
      <c r="I12" s="91">
        <f t="shared" si="0"/>
        <v>20.235599999999998</v>
      </c>
      <c r="J12" s="91">
        <f t="shared" si="0"/>
        <v>3.0194999999999999</v>
      </c>
      <c r="K12" s="91">
        <f t="shared" si="2"/>
        <v>12413.450699999999</v>
      </c>
      <c r="M12" s="89" t="s">
        <v>6</v>
      </c>
      <c r="N12" s="92">
        <f t="shared" si="3"/>
        <v>12413.450699999999</v>
      </c>
      <c r="O12" s="92">
        <f>F17</f>
        <v>8482.0310999999983</v>
      </c>
      <c r="P12" s="92">
        <f t="shared" si="4"/>
        <v>-3931.4196000000011</v>
      </c>
      <c r="Q12" s="92">
        <f t="shared" si="5"/>
        <v>-393141.96000000008</v>
      </c>
      <c r="R12" s="92">
        <f>K12-F12</f>
        <v>6730.1675999999998</v>
      </c>
      <c r="S12" s="92">
        <f t="shared" si="6"/>
        <v>673016.76</v>
      </c>
      <c r="T12" s="92">
        <f>F17-F12</f>
        <v>2798.7479999999987</v>
      </c>
      <c r="U12" s="92">
        <f t="shared" si="7"/>
        <v>279874.79999999987</v>
      </c>
    </row>
    <row r="13" spans="1:21" x14ac:dyDescent="0.2">
      <c r="A13" s="89" t="s">
        <v>7</v>
      </c>
      <c r="B13" s="91">
        <f t="shared" si="1"/>
        <v>3.8870999999999998</v>
      </c>
      <c r="C13" s="91">
        <f t="shared" si="0"/>
        <v>40.528799999999997</v>
      </c>
      <c r="D13" s="91">
        <f t="shared" si="0"/>
        <v>24.285599999999999</v>
      </c>
      <c r="E13" s="91">
        <f t="shared" si="0"/>
        <v>43.708500000000001</v>
      </c>
      <c r="F13" s="91">
        <f t="shared" si="0"/>
        <v>312.31979999999999</v>
      </c>
      <c r="G13" s="91">
        <f t="shared" si="0"/>
        <v>337.17869999999999</v>
      </c>
      <c r="H13" s="91">
        <f t="shared" si="0"/>
        <v>2.2490999999999999</v>
      </c>
      <c r="I13" s="91">
        <f t="shared" si="0"/>
        <v>17.3277</v>
      </c>
      <c r="J13" s="91">
        <f t="shared" si="0"/>
        <v>0.39510000000000001</v>
      </c>
      <c r="K13" s="91">
        <f t="shared" si="2"/>
        <v>781.88040000000001</v>
      </c>
      <c r="M13" s="89" t="s">
        <v>7</v>
      </c>
      <c r="N13" s="92">
        <f t="shared" si="3"/>
        <v>781.88040000000001</v>
      </c>
      <c r="O13" s="92">
        <f>G17</f>
        <v>900.59579999999994</v>
      </c>
      <c r="P13" s="92">
        <f t="shared" si="4"/>
        <v>118.71539999999993</v>
      </c>
      <c r="Q13" s="92">
        <f t="shared" si="5"/>
        <v>11871.539999999994</v>
      </c>
      <c r="R13" s="75">
        <f>K13-G13</f>
        <v>444.70170000000002</v>
      </c>
      <c r="S13" s="92">
        <f t="shared" si="6"/>
        <v>44470.17</v>
      </c>
      <c r="T13" s="75">
        <f>G17-G13</f>
        <v>563.41709999999989</v>
      </c>
      <c r="U13" s="92">
        <f t="shared" si="7"/>
        <v>56341.709999999992</v>
      </c>
    </row>
    <row r="14" spans="1:21" x14ac:dyDescent="0.2">
      <c r="A14" s="89" t="s">
        <v>8</v>
      </c>
      <c r="B14" s="91">
        <f t="shared" si="1"/>
        <v>0.84419999999999995</v>
      </c>
      <c r="C14" s="91">
        <f t="shared" si="0"/>
        <v>10.6866</v>
      </c>
      <c r="D14" s="91">
        <f t="shared" si="0"/>
        <v>3.2426999999999997</v>
      </c>
      <c r="E14" s="91">
        <f t="shared" si="0"/>
        <v>1.2347999999999999</v>
      </c>
      <c r="F14" s="91">
        <f t="shared" si="0"/>
        <v>24.252299999999998</v>
      </c>
      <c r="G14" s="91">
        <f t="shared" si="0"/>
        <v>5.85</v>
      </c>
      <c r="H14" s="91">
        <f t="shared" si="0"/>
        <v>5.6231999999999998</v>
      </c>
      <c r="I14" s="91">
        <f t="shared" si="0"/>
        <v>3.3075000000000001</v>
      </c>
      <c r="J14" s="91">
        <f t="shared" si="0"/>
        <v>0.11699999999999999</v>
      </c>
      <c r="K14" s="91">
        <f t="shared" si="2"/>
        <v>55.15829999999999</v>
      </c>
      <c r="M14" s="89" t="s">
        <v>8</v>
      </c>
      <c r="N14" s="92">
        <f t="shared" si="3"/>
        <v>55.15829999999999</v>
      </c>
      <c r="O14" s="92">
        <f>H17</f>
        <v>29.084400000000002</v>
      </c>
      <c r="P14" s="92">
        <f t="shared" si="4"/>
        <v>-26.073899999999988</v>
      </c>
      <c r="Q14" s="92">
        <f t="shared" si="5"/>
        <v>-2607.389999999999</v>
      </c>
      <c r="R14" s="75">
        <f>K14-H14</f>
        <v>49.535099999999993</v>
      </c>
      <c r="S14" s="92">
        <f t="shared" si="6"/>
        <v>4953.5099999999993</v>
      </c>
      <c r="T14" s="75">
        <f>H17-H14</f>
        <v>23.461200000000002</v>
      </c>
      <c r="U14" s="92">
        <f t="shared" si="7"/>
        <v>2346.1200000000003</v>
      </c>
    </row>
    <row r="15" spans="1:21" x14ac:dyDescent="0.2">
      <c r="A15" s="89" t="s">
        <v>9</v>
      </c>
      <c r="B15" s="91">
        <f t="shared" si="1"/>
        <v>15.8832</v>
      </c>
      <c r="C15" s="91">
        <f t="shared" si="0"/>
        <v>322.58249999999998</v>
      </c>
      <c r="D15" s="91">
        <f t="shared" si="0"/>
        <v>21.376799999999999</v>
      </c>
      <c r="E15" s="91">
        <f t="shared" si="0"/>
        <v>13.4703</v>
      </c>
      <c r="F15" s="91">
        <f t="shared" si="0"/>
        <v>107.1126</v>
      </c>
      <c r="G15" s="91">
        <f t="shared" si="0"/>
        <v>363.9024</v>
      </c>
      <c r="H15" s="91">
        <f t="shared" si="0"/>
        <v>10.9872</v>
      </c>
      <c r="I15" s="91">
        <f t="shared" si="0"/>
        <v>182.94479999999999</v>
      </c>
      <c r="J15" s="91">
        <f t="shared" si="0"/>
        <v>50.662799999999997</v>
      </c>
      <c r="K15" s="91">
        <f t="shared" si="2"/>
        <v>1088.9226000000001</v>
      </c>
      <c r="M15" s="89" t="s">
        <v>9</v>
      </c>
      <c r="N15" s="92">
        <f t="shared" si="3"/>
        <v>1088.9226000000001</v>
      </c>
      <c r="O15" s="92">
        <f>I17</f>
        <v>280.14929999999998</v>
      </c>
      <c r="P15" s="92">
        <f t="shared" si="4"/>
        <v>-808.77330000000006</v>
      </c>
      <c r="Q15" s="92">
        <f t="shared" si="5"/>
        <v>-80877.33</v>
      </c>
      <c r="R15" s="75">
        <f>K15-I15</f>
        <v>905.97780000000012</v>
      </c>
      <c r="S15" s="92">
        <f t="shared" si="6"/>
        <v>90597.780000000013</v>
      </c>
      <c r="T15" s="75">
        <f>I17-I15</f>
        <v>97.204499999999996</v>
      </c>
      <c r="U15" s="92">
        <f t="shared" si="7"/>
        <v>9720.4499999999989</v>
      </c>
    </row>
    <row r="16" spans="1:21" x14ac:dyDescent="0.2">
      <c r="A16" s="89" t="s">
        <v>10</v>
      </c>
      <c r="B16" s="91">
        <f t="shared" si="1"/>
        <v>4.4496000000000002</v>
      </c>
      <c r="C16" s="91">
        <f t="shared" si="0"/>
        <v>30.3903</v>
      </c>
      <c r="D16" s="91">
        <f t="shared" si="0"/>
        <v>0.73260000000000003</v>
      </c>
      <c r="E16" s="91">
        <f t="shared" si="0"/>
        <v>8.0999999999999996E-3</v>
      </c>
      <c r="F16" s="91">
        <f t="shared" si="0"/>
        <v>0.76679999999999993</v>
      </c>
      <c r="G16" s="91">
        <f t="shared" si="0"/>
        <v>0.75329999999999997</v>
      </c>
      <c r="H16" s="91">
        <f t="shared" si="0"/>
        <v>1.1339999999999999</v>
      </c>
      <c r="I16" s="91">
        <f t="shared" si="0"/>
        <v>28.9404</v>
      </c>
      <c r="J16" s="91">
        <f t="shared" si="0"/>
        <v>187.74719999999999</v>
      </c>
      <c r="K16" s="91">
        <f t="shared" si="2"/>
        <v>254.92230000000001</v>
      </c>
      <c r="M16" s="89" t="s">
        <v>10</v>
      </c>
      <c r="N16" s="92">
        <f t="shared" si="3"/>
        <v>254.92230000000001</v>
      </c>
      <c r="O16" s="92">
        <f>J17</f>
        <v>247.1283</v>
      </c>
      <c r="P16" s="92">
        <f t="shared" si="4"/>
        <v>-7.7940000000000111</v>
      </c>
      <c r="Q16" s="92">
        <f t="shared" si="5"/>
        <v>-779.40000000000111</v>
      </c>
      <c r="R16" s="75">
        <f>K16-J16</f>
        <v>67.175100000000015</v>
      </c>
      <c r="S16" s="92">
        <f t="shared" si="6"/>
        <v>6717.5100000000011</v>
      </c>
      <c r="T16" s="75">
        <f>J17-J16</f>
        <v>59.381100000000004</v>
      </c>
      <c r="U16" s="92">
        <f t="shared" si="7"/>
        <v>5938.1100000000006</v>
      </c>
    </row>
    <row r="17" spans="1:18" x14ac:dyDescent="0.2">
      <c r="A17" s="98" t="s">
        <v>0</v>
      </c>
      <c r="B17" s="101">
        <f>SUM(B8:B16)</f>
        <v>18478.542599999997</v>
      </c>
      <c r="C17" s="101">
        <f t="shared" ref="C17:J17" si="8">SUM(C8:C16)</f>
        <v>3428.0613000000008</v>
      </c>
      <c r="D17" s="101">
        <f t="shared" si="8"/>
        <v>6209.46</v>
      </c>
      <c r="E17" s="101">
        <f t="shared" si="8"/>
        <v>4456.9242000000004</v>
      </c>
      <c r="F17" s="101">
        <f t="shared" si="8"/>
        <v>8482.0310999999983</v>
      </c>
      <c r="G17" s="101">
        <f t="shared" si="8"/>
        <v>900.59579999999994</v>
      </c>
      <c r="H17" s="101">
        <f t="shared" si="8"/>
        <v>29.084400000000002</v>
      </c>
      <c r="I17" s="101">
        <f t="shared" si="8"/>
        <v>280.14929999999998</v>
      </c>
      <c r="J17" s="101">
        <f t="shared" si="8"/>
        <v>247.1283</v>
      </c>
      <c r="K17" s="101">
        <f>SUM(K8:K16)</f>
        <v>42511.976999999999</v>
      </c>
    </row>
    <row r="18" spans="1:18" x14ac:dyDescent="0.2">
      <c r="A18" s="102" t="s">
        <v>76</v>
      </c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M18" s="89" t="s">
        <v>77</v>
      </c>
      <c r="N18" s="75" t="s">
        <v>78</v>
      </c>
    </row>
    <row r="19" spans="1:18" x14ac:dyDescent="0.2">
      <c r="A19" s="79"/>
      <c r="B19" s="100" t="s">
        <v>2</v>
      </c>
      <c r="C19" s="100" t="s">
        <v>3</v>
      </c>
      <c r="D19" s="100" t="s">
        <v>4</v>
      </c>
      <c r="E19" s="100" t="s">
        <v>5</v>
      </c>
      <c r="F19" s="100" t="s">
        <v>6</v>
      </c>
      <c r="G19" s="100" t="s">
        <v>7</v>
      </c>
      <c r="H19" s="100" t="s">
        <v>8</v>
      </c>
      <c r="I19" s="100" t="s">
        <v>9</v>
      </c>
      <c r="J19" s="100" t="s">
        <v>10</v>
      </c>
      <c r="K19" s="100" t="s">
        <v>0</v>
      </c>
      <c r="M19" s="93">
        <f>B8+C9+D10+E11+F12+G13+H14+I15+J16</f>
        <v>26022.411900000003</v>
      </c>
      <c r="N19" s="94">
        <f>((B8+C9+D10+E11+F12+G13+H14+I15+J16)/K17)*100</f>
        <v>61.211954221747924</v>
      </c>
    </row>
    <row r="20" spans="1:18" x14ac:dyDescent="0.2">
      <c r="A20" s="89" t="s">
        <v>2</v>
      </c>
      <c r="B20" s="95">
        <f>(B8*100)/$K$17</f>
        <v>37.898857067974042</v>
      </c>
      <c r="C20" s="95">
        <f t="shared" ref="C20:I20" si="9">(C8*100)/$K$17</f>
        <v>1.2649905695987744</v>
      </c>
      <c r="D20" s="95">
        <f t="shared" si="9"/>
        <v>4.8091680139928563</v>
      </c>
      <c r="E20" s="95">
        <f t="shared" si="9"/>
        <v>2.7518332069101374</v>
      </c>
      <c r="F20" s="95">
        <f t="shared" si="9"/>
        <v>3.2025066724137528</v>
      </c>
      <c r="G20" s="95">
        <f t="shared" si="9"/>
        <v>3.5335689045936397E-2</v>
      </c>
      <c r="H20" s="95">
        <f t="shared" si="9"/>
        <v>4.570711919607973E-3</v>
      </c>
      <c r="I20" s="95">
        <f t="shared" si="9"/>
        <v>6.4570038697565162E-3</v>
      </c>
      <c r="J20" s="95">
        <f>(J8*100)/$K$17</f>
        <v>2.6463130613756211E-4</v>
      </c>
      <c r="K20" s="95">
        <f>SUM(B20:J20)</f>
        <v>49.973983567030999</v>
      </c>
      <c r="O20" s="94"/>
    </row>
    <row r="21" spans="1:18" x14ac:dyDescent="0.2">
      <c r="A21" s="89" t="s">
        <v>3</v>
      </c>
      <c r="B21" s="95">
        <f t="shared" ref="B21:B28" si="10">(B9*100)/$K$17</f>
        <v>1.2576782773475814</v>
      </c>
      <c r="C21" s="95">
        <f t="shared" ref="C21:J21" si="11">(C9*100)/$K$17</f>
        <v>5.515106954447214</v>
      </c>
      <c r="D21" s="95">
        <f t="shared" si="11"/>
        <v>1.0161778644168913</v>
      </c>
      <c r="E21" s="95">
        <f t="shared" si="11"/>
        <v>4.7235629620330288E-2</v>
      </c>
      <c r="F21" s="95">
        <f t="shared" si="11"/>
        <v>0.26882306602678108</v>
      </c>
      <c r="G21" s="95">
        <f t="shared" si="11"/>
        <v>7.8934225994712032E-2</v>
      </c>
      <c r="H21" s="95">
        <f t="shared" si="11"/>
        <v>6.8465411523910072E-3</v>
      </c>
      <c r="I21" s="95">
        <f t="shared" si="11"/>
        <v>5.6099719850714068E-2</v>
      </c>
      <c r="J21" s="95">
        <f t="shared" si="11"/>
        <v>1.176444934565146E-2</v>
      </c>
      <c r="K21" s="95">
        <f t="shared" ref="K21:K28" si="12">SUM(B21:J21)</f>
        <v>8.2586667282022663</v>
      </c>
      <c r="M21" s="75" t="s">
        <v>77</v>
      </c>
      <c r="N21" s="75" t="s">
        <v>79</v>
      </c>
      <c r="O21" s="94"/>
    </row>
    <row r="22" spans="1:18" x14ac:dyDescent="0.2">
      <c r="A22" s="89" t="s">
        <v>4</v>
      </c>
      <c r="B22" s="95">
        <f t="shared" si="10"/>
        <v>1.0383052757108897</v>
      </c>
      <c r="C22" s="95">
        <f t="shared" ref="C22:J22" si="13">(C10*100)/$K$17</f>
        <v>6.2664693293374724E-3</v>
      </c>
      <c r="D22" s="95">
        <f t="shared" si="13"/>
        <v>1.7359940705651025</v>
      </c>
      <c r="E22" s="95">
        <f t="shared" si="13"/>
        <v>0.29160041180865331</v>
      </c>
      <c r="F22" s="95">
        <f t="shared" si="13"/>
        <v>0.30047085319038441</v>
      </c>
      <c r="G22" s="95">
        <f t="shared" si="13"/>
        <v>4.1028437703567629E-3</v>
      </c>
      <c r="H22" s="95">
        <f t="shared" si="13"/>
        <v>8.0447917065818884E-5</v>
      </c>
      <c r="I22" s="95">
        <f t="shared" si="13"/>
        <v>1.2278892604782883E-3</v>
      </c>
      <c r="J22" s="95">
        <f t="shared" si="13"/>
        <v>1.5454468278433626E-4</v>
      </c>
      <c r="K22" s="95">
        <f t="shared" si="12"/>
        <v>3.3782028062350524</v>
      </c>
      <c r="M22" s="93">
        <f>K17-M19</f>
        <v>16489.565099999996</v>
      </c>
      <c r="N22" s="94">
        <f>100-N19</f>
        <v>38.788045778252076</v>
      </c>
      <c r="O22" s="94"/>
    </row>
    <row r="23" spans="1:18" x14ac:dyDescent="0.2">
      <c r="A23" s="89" t="s">
        <v>5</v>
      </c>
      <c r="B23" s="95">
        <f t="shared" si="10"/>
        <v>0.36697587599842746</v>
      </c>
      <c r="C23" s="95">
        <f t="shared" ref="C23:J23" si="14">(C11*100)/$K$17</f>
        <v>1.5602661809870663E-3</v>
      </c>
      <c r="D23" s="95">
        <f t="shared" si="14"/>
        <v>0.89603101732953994</v>
      </c>
      <c r="E23" s="95">
        <f t="shared" si="14"/>
        <v>1.014996550266293</v>
      </c>
      <c r="F23" s="95">
        <f t="shared" si="14"/>
        <v>1.7661599224143352</v>
      </c>
      <c r="G23" s="95">
        <f t="shared" si="14"/>
        <v>1.2776399460321499E-2</v>
      </c>
      <c r="H23" s="95">
        <f t="shared" si="14"/>
        <v>4.234100898200994E-5</v>
      </c>
      <c r="I23" s="95">
        <f t="shared" si="14"/>
        <v>6.5205153832295312E-4</v>
      </c>
      <c r="J23" s="95">
        <f t="shared" si="14"/>
        <v>1.6936403592803975E-5</v>
      </c>
      <c r="K23" s="95">
        <f t="shared" si="12"/>
        <v>4.0592113606008011</v>
      </c>
      <c r="O23" s="94"/>
    </row>
    <row r="24" spans="1:18" x14ac:dyDescent="0.2">
      <c r="A24" s="89" t="s">
        <v>6</v>
      </c>
      <c r="B24" s="95">
        <f t="shared" si="10"/>
        <v>2.8459001095150196</v>
      </c>
      <c r="C24" s="95">
        <f t="shared" ref="C24:J24" si="15">(C12*100)/$K$17</f>
        <v>0.32506674530803403</v>
      </c>
      <c r="D24" s="95">
        <f t="shared" si="15"/>
        <v>6.0322452188003393</v>
      </c>
      <c r="E24" s="95">
        <f t="shared" si="15"/>
        <v>6.2408360824997633</v>
      </c>
      <c r="F24" s="95">
        <f t="shared" si="15"/>
        <v>13.368663376911405</v>
      </c>
      <c r="G24" s="95">
        <f t="shared" si="15"/>
        <v>0.32263213729156842</v>
      </c>
      <c r="H24" s="95">
        <f t="shared" si="15"/>
        <v>9.8442845883173098E-3</v>
      </c>
      <c r="I24" s="95">
        <f t="shared" si="15"/>
        <v>4.7599762297575572E-2</v>
      </c>
      <c r="J24" s="95">
        <f t="shared" si="15"/>
        <v>7.1027042567321673E-3</v>
      </c>
      <c r="K24" s="95">
        <f t="shared" si="12"/>
        <v>29.199890421468751</v>
      </c>
      <c r="M24" s="75" t="s">
        <v>80</v>
      </c>
      <c r="O24" s="94"/>
      <c r="P24" s="75">
        <f>(R8/P8)*-100</f>
        <v>185.56251264736821</v>
      </c>
      <c r="R24" s="92">
        <f>((R8+P8)/P8)*-100</f>
        <v>85.562512647368209</v>
      </c>
    </row>
    <row r="25" spans="1:18" x14ac:dyDescent="0.2">
      <c r="A25" s="89" t="s">
        <v>7</v>
      </c>
      <c r="B25" s="95">
        <f t="shared" si="10"/>
        <v>9.1435408896650468E-3</v>
      </c>
      <c r="C25" s="95">
        <f t="shared" ref="C25:J25" si="16">(C13*100)/$K$17</f>
        <v>9.5335015823893574E-2</v>
      </c>
      <c r="D25" s="95">
        <f t="shared" si="16"/>
        <v>5.7126489318527811E-2</v>
      </c>
      <c r="E25" s="95">
        <f t="shared" si="16"/>
        <v>0.10281455506056565</v>
      </c>
      <c r="F25" s="95">
        <f t="shared" si="16"/>
        <v>0.73466308094775268</v>
      </c>
      <c r="G25" s="95">
        <f t="shared" si="16"/>
        <v>0.79313813140235756</v>
      </c>
      <c r="H25" s="95">
        <f t="shared" si="16"/>
        <v>5.2905090723021422E-3</v>
      </c>
      <c r="I25" s="95">
        <f t="shared" si="16"/>
        <v>4.0759572296531869E-2</v>
      </c>
      <c r="J25" s="95">
        <f t="shared" si="16"/>
        <v>9.2938514715511819E-4</v>
      </c>
      <c r="K25" s="95">
        <f t="shared" si="12"/>
        <v>1.8392002799587515</v>
      </c>
      <c r="O25" s="94"/>
    </row>
    <row r="26" spans="1:18" x14ac:dyDescent="0.2">
      <c r="A26" s="89" t="s">
        <v>8</v>
      </c>
      <c r="B26" s="95">
        <f t="shared" si="10"/>
        <v>1.9857933212562664E-3</v>
      </c>
      <c r="C26" s="95">
        <f t="shared" ref="C26:J26" si="17">(C14*100)/$K$17</f>
        <v>2.5137857032619303E-2</v>
      </c>
      <c r="D26" s="95">
        <f t="shared" si="17"/>
        <v>7.6277327681090901E-3</v>
      </c>
      <c r="E26" s="95">
        <f t="shared" si="17"/>
        <v>2.9045932161658817E-3</v>
      </c>
      <c r="F26" s="95">
        <f t="shared" si="17"/>
        <v>5.7048158451911093E-2</v>
      </c>
      <c r="G26" s="95">
        <f t="shared" si="17"/>
        <v>1.3760827919153231E-2</v>
      </c>
      <c r="H26" s="95">
        <f t="shared" si="17"/>
        <v>1.3227331205979903E-2</v>
      </c>
      <c r="I26" s="95">
        <f t="shared" si="17"/>
        <v>7.7801604004443265E-3</v>
      </c>
      <c r="J26" s="95">
        <f t="shared" si="17"/>
        <v>2.7521655838306461E-4</v>
      </c>
      <c r="K26" s="95">
        <f t="shared" si="12"/>
        <v>0.12974767087402217</v>
      </c>
    </row>
    <row r="27" spans="1:18" x14ac:dyDescent="0.2">
      <c r="A27" s="89" t="s">
        <v>9</v>
      </c>
      <c r="B27" s="95">
        <f t="shared" si="10"/>
        <v>3.7361706325725573E-2</v>
      </c>
      <c r="C27" s="95">
        <f t="shared" ref="C27:J27" si="18">(C15*100)/$K$17</f>
        <v>0.75880380721884566</v>
      </c>
      <c r="D27" s="95">
        <f t="shared" si="18"/>
        <v>5.0284182267035002E-2</v>
      </c>
      <c r="E27" s="95">
        <f t="shared" si="18"/>
        <v>3.1685894071687142E-2</v>
      </c>
      <c r="F27" s="95">
        <f t="shared" si="18"/>
        <v>0.25195864214924657</v>
      </c>
      <c r="G27" s="95">
        <f t="shared" si="18"/>
        <v>0.85599971038749856</v>
      </c>
      <c r="H27" s="95">
        <f t="shared" si="18"/>
        <v>2.5844951882618868E-2</v>
      </c>
      <c r="I27" s="95">
        <f t="shared" si="18"/>
        <v>0.43033707888955625</v>
      </c>
      <c r="J27" s="95">
        <f t="shared" si="18"/>
        <v>0.11917300388076517</v>
      </c>
      <c r="K27" s="95">
        <f t="shared" si="12"/>
        <v>2.5614489770729789</v>
      </c>
      <c r="O27" s="94"/>
    </row>
    <row r="28" spans="1:18" x14ac:dyDescent="0.2">
      <c r="A28" s="89" t="s">
        <v>10</v>
      </c>
      <c r="B28" s="95">
        <f t="shared" si="10"/>
        <v>1.0466697420352859E-2</v>
      </c>
      <c r="C28" s="95">
        <f t="shared" ref="C28:J28" si="19">(C16*100)/$K$17</f>
        <v>7.1486442514776483E-2</v>
      </c>
      <c r="D28" s="95">
        <f t="shared" si="19"/>
        <v>1.7232790655678047E-3</v>
      </c>
      <c r="E28" s="95">
        <f t="shared" si="19"/>
        <v>1.9053454041904472E-5</v>
      </c>
      <c r="F28" s="95">
        <f t="shared" si="19"/>
        <v>1.8037269826336234E-3</v>
      </c>
      <c r="G28" s="95">
        <f t="shared" si="19"/>
        <v>1.7719712258971159E-3</v>
      </c>
      <c r="H28" s="95">
        <f t="shared" si="19"/>
        <v>2.6674835658666261E-3</v>
      </c>
      <c r="I28" s="95">
        <f t="shared" si="19"/>
        <v>6.8075874241275577E-2</v>
      </c>
      <c r="J28" s="95">
        <f t="shared" si="19"/>
        <v>0.44163366008595645</v>
      </c>
      <c r="K28" s="95">
        <f t="shared" si="12"/>
        <v>0.59964818855636848</v>
      </c>
      <c r="O28" s="94"/>
    </row>
    <row r="29" spans="1:18" x14ac:dyDescent="0.2">
      <c r="A29" s="99" t="s">
        <v>0</v>
      </c>
      <c r="B29" s="104">
        <f>SUM(B20:B28)</f>
        <v>43.466674344502962</v>
      </c>
      <c r="C29" s="104">
        <f t="shared" ref="C29:J29" si="20">SUM(C20:C28)</f>
        <v>8.0637541274544819</v>
      </c>
      <c r="D29" s="104">
        <f t="shared" si="20"/>
        <v>14.606377868523966</v>
      </c>
      <c r="E29" s="104">
        <f t="shared" si="20"/>
        <v>10.483925976907635</v>
      </c>
      <c r="F29" s="104">
        <f t="shared" si="20"/>
        <v>19.9520974994882</v>
      </c>
      <c r="G29" s="104">
        <f t="shared" si="20"/>
        <v>2.1184519364978018</v>
      </c>
      <c r="H29" s="104">
        <f t="shared" si="20"/>
        <v>6.8414602313131664E-2</v>
      </c>
      <c r="I29" s="104">
        <f t="shared" si="20"/>
        <v>0.65898911264465543</v>
      </c>
      <c r="J29" s="104">
        <f t="shared" si="20"/>
        <v>0.58131453166715819</v>
      </c>
      <c r="K29" s="105">
        <f>SUM(K20:K28)</f>
        <v>100</v>
      </c>
      <c r="L29" s="94"/>
      <c r="M29" s="94"/>
      <c r="O29" s="94"/>
    </row>
    <row r="32" spans="1:18" s="166" customFormat="1" x14ac:dyDescent="0.2"/>
    <row r="34" spans="1:25" x14ac:dyDescent="0.2">
      <c r="A34" s="160" t="s">
        <v>113</v>
      </c>
      <c r="I34" s="160" t="s">
        <v>121</v>
      </c>
    </row>
    <row r="35" spans="1:25" x14ac:dyDescent="0.2">
      <c r="A35" s="204" t="s">
        <v>70</v>
      </c>
      <c r="B35" s="207">
        <v>1995</v>
      </c>
      <c r="C35" s="207"/>
      <c r="D35" s="207"/>
      <c r="E35" s="207">
        <v>2015</v>
      </c>
      <c r="F35" s="207"/>
      <c r="G35" s="207"/>
    </row>
    <row r="36" spans="1:25" x14ac:dyDescent="0.2">
      <c r="A36" s="205"/>
      <c r="B36" s="158" t="s">
        <v>114</v>
      </c>
      <c r="C36" s="158" t="s">
        <v>48</v>
      </c>
      <c r="D36" s="82" t="s">
        <v>115</v>
      </c>
      <c r="E36" s="158" t="s">
        <v>114</v>
      </c>
      <c r="F36" s="158" t="s">
        <v>48</v>
      </c>
      <c r="G36" s="82" t="s">
        <v>115</v>
      </c>
      <c r="I36" s="165" t="s">
        <v>117</v>
      </c>
      <c r="J36" s="165" t="s">
        <v>118</v>
      </c>
      <c r="K36" s="165" t="s">
        <v>119</v>
      </c>
      <c r="L36" s="165" t="s">
        <v>120</v>
      </c>
      <c r="N36" s="97"/>
      <c r="O36" s="98">
        <v>2015</v>
      </c>
      <c r="P36" s="97"/>
      <c r="Q36" s="97"/>
      <c r="R36" s="97"/>
      <c r="S36" s="97"/>
      <c r="T36" s="97"/>
      <c r="U36" s="97"/>
      <c r="V36" s="97"/>
      <c r="W36" s="97"/>
      <c r="X36" s="97"/>
    </row>
    <row r="37" spans="1:25" x14ac:dyDescent="0.2">
      <c r="A37" s="89" t="s">
        <v>2</v>
      </c>
      <c r="B37" s="1">
        <v>23605476</v>
      </c>
      <c r="C37" s="161">
        <f>(B37*100)/$B$46</f>
        <v>49.973983567031006</v>
      </c>
      <c r="D37" s="94">
        <f>B37*(900/1000000)</f>
        <v>21244.928400000001</v>
      </c>
      <c r="E37" s="1">
        <v>20531714</v>
      </c>
      <c r="F37" s="94">
        <f>(E37*100)/$E$46</f>
        <v>43.466674344502962</v>
      </c>
      <c r="G37" s="94">
        <f>E37*(900/1000000)</f>
        <v>18478.542600000001</v>
      </c>
      <c r="I37" s="1">
        <v>1</v>
      </c>
      <c r="J37" s="1">
        <v>0</v>
      </c>
      <c r="K37" s="1">
        <v>0</v>
      </c>
      <c r="L37" s="1">
        <v>242400598</v>
      </c>
      <c r="N37" s="99">
        <v>1995</v>
      </c>
      <c r="O37" s="99" t="s">
        <v>2</v>
      </c>
      <c r="P37" s="99" t="s">
        <v>3</v>
      </c>
      <c r="Q37" s="99" t="s">
        <v>4</v>
      </c>
      <c r="R37" s="99" t="s">
        <v>5</v>
      </c>
      <c r="S37" s="99" t="s">
        <v>6</v>
      </c>
      <c r="T37" s="99" t="s">
        <v>7</v>
      </c>
      <c r="U37" s="99" t="s">
        <v>8</v>
      </c>
      <c r="V37" s="99" t="s">
        <v>9</v>
      </c>
      <c r="W37" s="99" t="s">
        <v>10</v>
      </c>
      <c r="X37" s="99" t="s">
        <v>0</v>
      </c>
    </row>
    <row r="38" spans="1:25" x14ac:dyDescent="0.2">
      <c r="A38" s="89" t="s">
        <v>3</v>
      </c>
      <c r="B38" s="1">
        <v>3901025</v>
      </c>
      <c r="C38" s="161">
        <f t="shared" ref="C38:C45" si="21">(B38*100)/$B$46</f>
        <v>8.2586667282022663</v>
      </c>
      <c r="D38" s="94">
        <f t="shared" ref="D38:D45" si="22">B38*(900/1000000)</f>
        <v>3510.9225000000001</v>
      </c>
      <c r="E38" s="1">
        <v>3808957</v>
      </c>
      <c r="F38" s="94">
        <f t="shared" ref="F38:F45" si="23">(E38*100)/$E$46</f>
        <v>8.0637541274544819</v>
      </c>
      <c r="G38" s="94">
        <f t="shared" ref="G38:G45" si="24">E38*(900/1000000)</f>
        <v>3428.0612999999998</v>
      </c>
      <c r="I38" s="1">
        <v>2</v>
      </c>
      <c r="J38" s="1">
        <v>0</v>
      </c>
      <c r="K38" s="1">
        <v>1</v>
      </c>
      <c r="L38" s="1">
        <v>0</v>
      </c>
      <c r="N38" s="96" t="s">
        <v>122</v>
      </c>
      <c r="O38" s="79"/>
      <c r="P38" s="79"/>
      <c r="Q38" s="79"/>
      <c r="R38" s="79"/>
      <c r="S38" s="79"/>
      <c r="T38" s="79"/>
      <c r="U38" s="79"/>
      <c r="V38" s="79"/>
      <c r="W38" s="79"/>
      <c r="X38" s="79"/>
    </row>
    <row r="39" spans="1:25" x14ac:dyDescent="0.2">
      <c r="A39" s="89" t="s">
        <v>4</v>
      </c>
      <c r="B39" s="1">
        <v>1595712</v>
      </c>
      <c r="C39" s="161">
        <f t="shared" si="21"/>
        <v>3.3782028062350524</v>
      </c>
      <c r="D39" s="94">
        <f t="shared" si="22"/>
        <v>1436.1407999999999</v>
      </c>
      <c r="E39" s="1">
        <v>6899400</v>
      </c>
      <c r="F39" s="94">
        <f t="shared" si="23"/>
        <v>14.606377868523969</v>
      </c>
      <c r="G39" s="94">
        <f t="shared" si="24"/>
        <v>6209.46</v>
      </c>
      <c r="I39" s="1">
        <v>3</v>
      </c>
      <c r="J39" s="1">
        <v>0</v>
      </c>
      <c r="K39" s="1">
        <v>2</v>
      </c>
      <c r="L39" s="1">
        <v>0</v>
      </c>
      <c r="N39" s="89" t="s">
        <v>2</v>
      </c>
      <c r="O39" s="167">
        <f t="array" ref="O39:W39">TRANSPOSE(L48:L56)</f>
        <v>17901726</v>
      </c>
      <c r="P39" s="167">
        <v>597525</v>
      </c>
      <c r="Q39" s="167">
        <v>2271636</v>
      </c>
      <c r="R39" s="167">
        <v>1299843</v>
      </c>
      <c r="S39" s="167">
        <v>1512721</v>
      </c>
      <c r="T39" s="167">
        <v>16691</v>
      </c>
      <c r="U39" s="167">
        <v>2159</v>
      </c>
      <c r="V39" s="167">
        <v>3050</v>
      </c>
      <c r="W39" s="167">
        <v>125</v>
      </c>
      <c r="X39" s="168">
        <f>SUM(O39:W39)</f>
        <v>23605476</v>
      </c>
    </row>
    <row r="40" spans="1:25" x14ac:dyDescent="0.2">
      <c r="A40" s="89" t="s">
        <v>5</v>
      </c>
      <c r="B40" s="1">
        <v>1917390</v>
      </c>
      <c r="C40" s="161">
        <f t="shared" si="21"/>
        <v>4.059211360600802</v>
      </c>
      <c r="D40" s="94">
        <f t="shared" si="22"/>
        <v>1725.6509999999998</v>
      </c>
      <c r="E40" s="1">
        <v>4952138</v>
      </c>
      <c r="F40" s="94">
        <f t="shared" si="23"/>
        <v>10.483925976907637</v>
      </c>
      <c r="G40" s="94">
        <f t="shared" si="24"/>
        <v>4456.9241999999995</v>
      </c>
      <c r="I40" s="1">
        <v>4</v>
      </c>
      <c r="J40" s="1">
        <v>0</v>
      </c>
      <c r="K40" s="1">
        <v>3</v>
      </c>
      <c r="L40" s="1">
        <v>0</v>
      </c>
      <c r="N40" s="89" t="s">
        <v>3</v>
      </c>
      <c r="O40" s="168">
        <f t="array" ref="O40:W40">TRANSPOSE(L58:L66)</f>
        <v>594071</v>
      </c>
      <c r="P40" s="168">
        <v>2605090</v>
      </c>
      <c r="Q40" s="168">
        <v>479997</v>
      </c>
      <c r="R40" s="168">
        <v>22312</v>
      </c>
      <c r="S40" s="168">
        <v>126980</v>
      </c>
      <c r="T40" s="168">
        <v>37285</v>
      </c>
      <c r="U40" s="168">
        <v>3234</v>
      </c>
      <c r="V40" s="168">
        <v>26499</v>
      </c>
      <c r="W40" s="168">
        <v>5557</v>
      </c>
      <c r="X40" s="168">
        <f t="shared" ref="X40:X47" si="25">SUM(O40:W40)</f>
        <v>3901025</v>
      </c>
    </row>
    <row r="41" spans="1:25" x14ac:dyDescent="0.2">
      <c r="A41" s="89" t="s">
        <v>6</v>
      </c>
      <c r="B41" s="1">
        <v>13792723</v>
      </c>
      <c r="C41" s="161">
        <f t="shared" si="21"/>
        <v>29.199890421468755</v>
      </c>
      <c r="D41" s="94">
        <f t="shared" si="22"/>
        <v>12413.450699999999</v>
      </c>
      <c r="E41" s="1">
        <v>9424479</v>
      </c>
      <c r="F41" s="94">
        <f t="shared" si="23"/>
        <v>19.952097499488204</v>
      </c>
      <c r="G41" s="94">
        <f t="shared" si="24"/>
        <v>8482.0311000000002</v>
      </c>
      <c r="I41" s="1">
        <v>5</v>
      </c>
      <c r="J41" s="1">
        <v>0</v>
      </c>
      <c r="K41" s="1">
        <v>4</v>
      </c>
      <c r="L41" s="1">
        <v>0</v>
      </c>
      <c r="N41" s="89" t="s">
        <v>4</v>
      </c>
      <c r="O41" s="168">
        <f t="array" ref="O41:W41">TRANSPOSE(L68:L76)</f>
        <v>490449</v>
      </c>
      <c r="P41" s="168">
        <v>2960</v>
      </c>
      <c r="Q41" s="168">
        <v>820006</v>
      </c>
      <c r="R41" s="168">
        <v>137739</v>
      </c>
      <c r="S41" s="168">
        <v>141929</v>
      </c>
      <c r="T41" s="168">
        <v>1938</v>
      </c>
      <c r="U41" s="168">
        <v>38</v>
      </c>
      <c r="V41" s="168">
        <v>580</v>
      </c>
      <c r="W41" s="168">
        <v>73</v>
      </c>
      <c r="X41" s="168">
        <f t="shared" si="25"/>
        <v>1595712</v>
      </c>
    </row>
    <row r="42" spans="1:25" x14ac:dyDescent="0.2">
      <c r="A42" s="89" t="s">
        <v>7</v>
      </c>
      <c r="B42" s="1">
        <v>868756</v>
      </c>
      <c r="C42" s="161">
        <f t="shared" si="21"/>
        <v>1.8392002799587515</v>
      </c>
      <c r="D42" s="94">
        <f t="shared" si="22"/>
        <v>781.88040000000001</v>
      </c>
      <c r="E42" s="1">
        <v>1000662</v>
      </c>
      <c r="F42" s="94">
        <f t="shared" si="23"/>
        <v>2.1184519364978014</v>
      </c>
      <c r="G42" s="94">
        <f t="shared" si="24"/>
        <v>900.59579999999994</v>
      </c>
      <c r="I42" s="1">
        <v>6</v>
      </c>
      <c r="J42" s="1">
        <v>0</v>
      </c>
      <c r="K42" s="1">
        <v>5</v>
      </c>
      <c r="L42" s="1">
        <v>0</v>
      </c>
      <c r="N42" s="89" t="s">
        <v>5</v>
      </c>
      <c r="O42" s="168">
        <f t="array" ref="O42:W42">TRANSPOSE(L78:L86)</f>
        <v>173343</v>
      </c>
      <c r="P42" s="168">
        <v>737</v>
      </c>
      <c r="Q42" s="168">
        <v>423245</v>
      </c>
      <c r="R42" s="168">
        <v>479439</v>
      </c>
      <c r="S42" s="168">
        <v>834255</v>
      </c>
      <c r="T42" s="168">
        <v>6035</v>
      </c>
      <c r="U42" s="168">
        <v>20</v>
      </c>
      <c r="V42" s="168">
        <v>308</v>
      </c>
      <c r="W42" s="168">
        <v>8</v>
      </c>
      <c r="X42" s="168">
        <f t="shared" si="25"/>
        <v>1917390</v>
      </c>
    </row>
    <row r="43" spans="1:25" x14ac:dyDescent="0.2">
      <c r="A43" s="89" t="s">
        <v>8</v>
      </c>
      <c r="B43" s="1">
        <v>61287</v>
      </c>
      <c r="C43" s="161">
        <f t="shared" si="21"/>
        <v>0.12974767087402217</v>
      </c>
      <c r="D43" s="94">
        <f t="shared" si="22"/>
        <v>55.158299999999997</v>
      </c>
      <c r="E43" s="1">
        <v>32316</v>
      </c>
      <c r="F43" s="94">
        <f t="shared" si="23"/>
        <v>6.8414602313131664E-2</v>
      </c>
      <c r="G43" s="94">
        <f t="shared" si="24"/>
        <v>29.084399999999999</v>
      </c>
      <c r="I43" s="1">
        <v>7</v>
      </c>
      <c r="J43" s="1">
        <v>0</v>
      </c>
      <c r="K43" s="1">
        <v>6</v>
      </c>
      <c r="L43" s="1">
        <v>0</v>
      </c>
      <c r="N43" s="89" t="s">
        <v>6</v>
      </c>
      <c r="O43" s="168">
        <f t="array" ref="O43:W43">TRANSPOSE(L88:L96)</f>
        <v>1344276</v>
      </c>
      <c r="P43" s="168">
        <v>153547</v>
      </c>
      <c r="Q43" s="168">
        <v>2849363</v>
      </c>
      <c r="R43" s="168">
        <v>2947892</v>
      </c>
      <c r="S43" s="168">
        <v>6314759</v>
      </c>
      <c r="T43" s="168">
        <v>152397</v>
      </c>
      <c r="U43" s="168">
        <v>4650</v>
      </c>
      <c r="V43" s="168">
        <v>22484</v>
      </c>
      <c r="W43" s="168">
        <v>3355</v>
      </c>
      <c r="X43" s="168">
        <f t="shared" si="25"/>
        <v>13792723</v>
      </c>
    </row>
    <row r="44" spans="1:25" x14ac:dyDescent="0.2">
      <c r="A44" s="89" t="s">
        <v>9</v>
      </c>
      <c r="B44" s="1">
        <v>1209914</v>
      </c>
      <c r="C44" s="161">
        <f t="shared" si="21"/>
        <v>2.5614489770729789</v>
      </c>
      <c r="D44" s="94">
        <f t="shared" si="22"/>
        <v>1088.9225999999999</v>
      </c>
      <c r="E44" s="1">
        <v>311277</v>
      </c>
      <c r="F44" s="94">
        <f t="shared" si="23"/>
        <v>0.65898911264465543</v>
      </c>
      <c r="G44" s="94">
        <f t="shared" si="24"/>
        <v>280.14929999999998</v>
      </c>
      <c r="I44" s="1">
        <v>8</v>
      </c>
      <c r="J44" s="1">
        <v>0</v>
      </c>
      <c r="K44" s="1">
        <v>7</v>
      </c>
      <c r="L44" s="1">
        <v>0</v>
      </c>
      <c r="N44" s="89" t="s">
        <v>7</v>
      </c>
      <c r="O44" s="168">
        <f t="array" ref="O44:W44">TRANSPOSE(L98:L106)</f>
        <v>4319</v>
      </c>
      <c r="P44" s="168">
        <v>45032</v>
      </c>
      <c r="Q44" s="168">
        <v>26984</v>
      </c>
      <c r="R44" s="168">
        <v>48565</v>
      </c>
      <c r="S44" s="168">
        <v>347022</v>
      </c>
      <c r="T44" s="168">
        <v>374643</v>
      </c>
      <c r="U44" s="168">
        <v>2499</v>
      </c>
      <c r="V44" s="168">
        <v>19253</v>
      </c>
      <c r="W44" s="168">
        <v>439</v>
      </c>
      <c r="X44" s="168">
        <f t="shared" si="25"/>
        <v>868756</v>
      </c>
    </row>
    <row r="45" spans="1:25" x14ac:dyDescent="0.2">
      <c r="A45" s="100" t="s">
        <v>10</v>
      </c>
      <c r="B45" s="28">
        <v>283247</v>
      </c>
      <c r="C45" s="163">
        <f t="shared" si="21"/>
        <v>0.59964818855636848</v>
      </c>
      <c r="D45" s="162">
        <f t="shared" si="22"/>
        <v>254.92230000000001</v>
      </c>
      <c r="E45" s="28">
        <v>274587</v>
      </c>
      <c r="F45" s="162">
        <f t="shared" si="23"/>
        <v>0.58131453166715819</v>
      </c>
      <c r="G45" s="162">
        <f t="shared" si="24"/>
        <v>247.1283</v>
      </c>
      <c r="I45" s="1">
        <v>9</v>
      </c>
      <c r="J45" s="1">
        <v>0</v>
      </c>
      <c r="K45" s="1">
        <v>8</v>
      </c>
      <c r="L45" s="1">
        <v>0</v>
      </c>
      <c r="N45" s="89" t="s">
        <v>8</v>
      </c>
      <c r="O45" s="168">
        <f t="array" ref="O45:W45">TRANSPOSE(L108:L116)</f>
        <v>938</v>
      </c>
      <c r="P45" s="168">
        <v>11874</v>
      </c>
      <c r="Q45" s="168">
        <v>3603</v>
      </c>
      <c r="R45" s="168">
        <v>1372</v>
      </c>
      <c r="S45" s="168">
        <v>26947</v>
      </c>
      <c r="T45" s="168">
        <v>6500</v>
      </c>
      <c r="U45" s="168">
        <v>6248</v>
      </c>
      <c r="V45" s="168">
        <v>3675</v>
      </c>
      <c r="W45" s="168">
        <v>130</v>
      </c>
      <c r="X45" s="168">
        <f t="shared" si="25"/>
        <v>61287</v>
      </c>
    </row>
    <row r="46" spans="1:25" x14ac:dyDescent="0.2">
      <c r="A46" s="159" t="s">
        <v>0</v>
      </c>
      <c r="B46" s="75">
        <f>SUM(B37:B45)</f>
        <v>47235530</v>
      </c>
      <c r="C46" s="161">
        <f t="shared" ref="C46:D46" si="26">SUM(C37:C45)</f>
        <v>100</v>
      </c>
      <c r="D46" s="94">
        <f t="shared" si="26"/>
        <v>42511.977000000006</v>
      </c>
      <c r="E46" s="75">
        <f>SUM(E37:E45)</f>
        <v>47235530</v>
      </c>
      <c r="F46" s="94">
        <f t="shared" ref="F46:G46" si="27">SUM(F37:F45)</f>
        <v>100.00000000000001</v>
      </c>
      <c r="G46" s="94">
        <f t="shared" si="27"/>
        <v>42511.976999999999</v>
      </c>
      <c r="I46" s="1">
        <v>10</v>
      </c>
      <c r="J46" s="1">
        <v>0</v>
      </c>
      <c r="K46" s="1">
        <v>9</v>
      </c>
      <c r="L46" s="1">
        <v>0</v>
      </c>
      <c r="N46" s="89" t="s">
        <v>9</v>
      </c>
      <c r="O46" s="168">
        <f t="array" ref="O46:W46">TRANSPOSE(L118:L126)</f>
        <v>17648</v>
      </c>
      <c r="P46" s="168">
        <v>358425</v>
      </c>
      <c r="Q46" s="168">
        <v>23752</v>
      </c>
      <c r="R46" s="168">
        <v>14967</v>
      </c>
      <c r="S46" s="168">
        <v>119014</v>
      </c>
      <c r="T46" s="168">
        <v>404336</v>
      </c>
      <c r="U46" s="168">
        <v>12208</v>
      </c>
      <c r="V46" s="168">
        <v>203272</v>
      </c>
      <c r="W46" s="168">
        <v>56292</v>
      </c>
      <c r="X46" s="168">
        <f t="shared" si="25"/>
        <v>1209914</v>
      </c>
    </row>
    <row r="47" spans="1:25" x14ac:dyDescent="0.2">
      <c r="I47" s="1">
        <v>11</v>
      </c>
      <c r="J47" s="1">
        <v>1</v>
      </c>
      <c r="K47" s="1">
        <v>0</v>
      </c>
      <c r="L47" s="1">
        <v>0</v>
      </c>
      <c r="N47" s="89" t="s">
        <v>10</v>
      </c>
      <c r="O47" s="168">
        <f t="array" ref="O47:W47">TRANSPOSE(L128:L136)</f>
        <v>4944</v>
      </c>
      <c r="P47" s="168">
        <v>33767</v>
      </c>
      <c r="Q47" s="168">
        <v>814</v>
      </c>
      <c r="R47" s="168">
        <v>9</v>
      </c>
      <c r="S47" s="168">
        <v>852</v>
      </c>
      <c r="T47" s="168">
        <v>837</v>
      </c>
      <c r="U47" s="168">
        <v>1260</v>
      </c>
      <c r="V47" s="168">
        <v>32156</v>
      </c>
      <c r="W47" s="168">
        <v>208608</v>
      </c>
      <c r="X47" s="168">
        <f t="shared" si="25"/>
        <v>283247</v>
      </c>
      <c r="Y47" s="75">
        <f>SUM(X39:X47)</f>
        <v>47235530</v>
      </c>
    </row>
    <row r="48" spans="1:25" x14ac:dyDescent="0.2">
      <c r="A48" s="157" t="s">
        <v>116</v>
      </c>
      <c r="I48" s="1">
        <v>12</v>
      </c>
      <c r="J48" s="1">
        <v>1</v>
      </c>
      <c r="K48" s="1">
        <v>1</v>
      </c>
      <c r="L48" s="1">
        <v>17901726</v>
      </c>
      <c r="N48" s="98" t="s">
        <v>0</v>
      </c>
      <c r="O48" s="169">
        <f>SUM(O39:O47)</f>
        <v>20531714</v>
      </c>
      <c r="P48" s="169">
        <f t="shared" ref="P48:W48" si="28">SUM(P39:P47)</f>
        <v>3808957</v>
      </c>
      <c r="Q48" s="169">
        <f t="shared" si="28"/>
        <v>6899400</v>
      </c>
      <c r="R48" s="169">
        <f t="shared" si="28"/>
        <v>4952138</v>
      </c>
      <c r="S48" s="169">
        <f t="shared" si="28"/>
        <v>9424479</v>
      </c>
      <c r="T48" s="169">
        <f t="shared" si="28"/>
        <v>1000662</v>
      </c>
      <c r="U48" s="169">
        <f t="shared" si="28"/>
        <v>32316</v>
      </c>
      <c r="V48" s="169">
        <f t="shared" si="28"/>
        <v>311277</v>
      </c>
      <c r="W48" s="169">
        <f t="shared" si="28"/>
        <v>274587</v>
      </c>
      <c r="X48" s="169">
        <f>SUM(O48:W48)</f>
        <v>47235530</v>
      </c>
    </row>
    <row r="49" spans="9:12" x14ac:dyDescent="0.2">
      <c r="I49" s="1">
        <v>13</v>
      </c>
      <c r="J49" s="1">
        <v>1</v>
      </c>
      <c r="K49" s="1">
        <v>2</v>
      </c>
      <c r="L49" s="1">
        <v>597525</v>
      </c>
    </row>
    <row r="50" spans="9:12" x14ac:dyDescent="0.2">
      <c r="I50" s="1">
        <v>14</v>
      </c>
      <c r="J50" s="1">
        <v>1</v>
      </c>
      <c r="K50" s="1">
        <v>3</v>
      </c>
      <c r="L50" s="1">
        <v>2271636</v>
      </c>
    </row>
    <row r="51" spans="9:12" x14ac:dyDescent="0.2">
      <c r="I51" s="1">
        <v>15</v>
      </c>
      <c r="J51" s="1">
        <v>1</v>
      </c>
      <c r="K51" s="1">
        <v>4</v>
      </c>
      <c r="L51" s="1">
        <v>1299843</v>
      </c>
    </row>
    <row r="52" spans="9:12" x14ac:dyDescent="0.2">
      <c r="I52" s="1">
        <v>16</v>
      </c>
      <c r="J52" s="1">
        <v>1</v>
      </c>
      <c r="K52" s="1">
        <v>5</v>
      </c>
      <c r="L52" s="1">
        <v>1512721</v>
      </c>
    </row>
    <row r="53" spans="9:12" x14ac:dyDescent="0.2">
      <c r="I53" s="1">
        <v>17</v>
      </c>
      <c r="J53" s="1">
        <v>1</v>
      </c>
      <c r="K53" s="1">
        <v>6</v>
      </c>
      <c r="L53" s="1">
        <v>16691</v>
      </c>
    </row>
    <row r="54" spans="9:12" x14ac:dyDescent="0.2">
      <c r="I54" s="1">
        <v>18</v>
      </c>
      <c r="J54" s="1">
        <v>1</v>
      </c>
      <c r="K54" s="1">
        <v>7</v>
      </c>
      <c r="L54" s="1">
        <v>2159</v>
      </c>
    </row>
    <row r="55" spans="9:12" x14ac:dyDescent="0.2">
      <c r="I55" s="1">
        <v>19</v>
      </c>
      <c r="J55" s="1">
        <v>1</v>
      </c>
      <c r="K55" s="1">
        <v>8</v>
      </c>
      <c r="L55" s="1">
        <v>3050</v>
      </c>
    </row>
    <row r="56" spans="9:12" x14ac:dyDescent="0.2">
      <c r="I56" s="1">
        <v>20</v>
      </c>
      <c r="J56" s="1">
        <v>1</v>
      </c>
      <c r="K56" s="1">
        <v>9</v>
      </c>
      <c r="L56" s="1">
        <v>125</v>
      </c>
    </row>
    <row r="57" spans="9:12" x14ac:dyDescent="0.2">
      <c r="I57" s="1">
        <v>21</v>
      </c>
      <c r="J57" s="1">
        <v>2</v>
      </c>
      <c r="K57" s="1">
        <v>0</v>
      </c>
      <c r="L57" s="1">
        <v>0</v>
      </c>
    </row>
    <row r="58" spans="9:12" x14ac:dyDescent="0.2">
      <c r="I58" s="1">
        <v>22</v>
      </c>
      <c r="J58" s="1">
        <v>2</v>
      </c>
      <c r="K58" s="1">
        <v>1</v>
      </c>
      <c r="L58" s="1">
        <v>594071</v>
      </c>
    </row>
    <row r="59" spans="9:12" x14ac:dyDescent="0.2">
      <c r="I59" s="1">
        <v>23</v>
      </c>
      <c r="J59" s="1">
        <v>2</v>
      </c>
      <c r="K59" s="1">
        <v>2</v>
      </c>
      <c r="L59" s="1">
        <v>2605090</v>
      </c>
    </row>
    <row r="60" spans="9:12" x14ac:dyDescent="0.2">
      <c r="I60" s="1">
        <v>24</v>
      </c>
      <c r="J60" s="1">
        <v>2</v>
      </c>
      <c r="K60" s="1">
        <v>3</v>
      </c>
      <c r="L60" s="1">
        <v>479997</v>
      </c>
    </row>
    <row r="61" spans="9:12" x14ac:dyDescent="0.2">
      <c r="I61" s="1">
        <v>25</v>
      </c>
      <c r="J61" s="1">
        <v>2</v>
      </c>
      <c r="K61" s="1">
        <v>4</v>
      </c>
      <c r="L61" s="1">
        <v>22312</v>
      </c>
    </row>
    <row r="62" spans="9:12" x14ac:dyDescent="0.2">
      <c r="I62" s="1">
        <v>26</v>
      </c>
      <c r="J62" s="1">
        <v>2</v>
      </c>
      <c r="K62" s="1">
        <v>5</v>
      </c>
      <c r="L62" s="1">
        <v>126980</v>
      </c>
    </row>
    <row r="63" spans="9:12" x14ac:dyDescent="0.2">
      <c r="I63" s="1">
        <v>27</v>
      </c>
      <c r="J63" s="1">
        <v>2</v>
      </c>
      <c r="K63" s="1">
        <v>6</v>
      </c>
      <c r="L63" s="1">
        <v>37285</v>
      </c>
    </row>
    <row r="64" spans="9:12" x14ac:dyDescent="0.2">
      <c r="I64" s="1">
        <v>28</v>
      </c>
      <c r="J64" s="1">
        <v>2</v>
      </c>
      <c r="K64" s="1">
        <v>7</v>
      </c>
      <c r="L64" s="1">
        <v>3234</v>
      </c>
    </row>
    <row r="65" spans="9:12" x14ac:dyDescent="0.2">
      <c r="I65" s="1">
        <v>29</v>
      </c>
      <c r="J65" s="1">
        <v>2</v>
      </c>
      <c r="K65" s="1">
        <v>8</v>
      </c>
      <c r="L65" s="1">
        <v>26499</v>
      </c>
    </row>
    <row r="66" spans="9:12" x14ac:dyDescent="0.2">
      <c r="I66" s="1">
        <v>30</v>
      </c>
      <c r="J66" s="1">
        <v>2</v>
      </c>
      <c r="K66" s="1">
        <v>9</v>
      </c>
      <c r="L66" s="1">
        <v>5557</v>
      </c>
    </row>
    <row r="67" spans="9:12" x14ac:dyDescent="0.2">
      <c r="I67" s="1">
        <v>31</v>
      </c>
      <c r="J67" s="1">
        <v>3</v>
      </c>
      <c r="K67" s="1">
        <v>0</v>
      </c>
      <c r="L67" s="1">
        <v>0</v>
      </c>
    </row>
    <row r="68" spans="9:12" x14ac:dyDescent="0.2">
      <c r="I68" s="1">
        <v>32</v>
      </c>
      <c r="J68" s="1">
        <v>3</v>
      </c>
      <c r="K68" s="1">
        <v>1</v>
      </c>
      <c r="L68" s="1">
        <v>490449</v>
      </c>
    </row>
    <row r="69" spans="9:12" x14ac:dyDescent="0.2">
      <c r="I69" s="1">
        <v>33</v>
      </c>
      <c r="J69" s="1">
        <v>3</v>
      </c>
      <c r="K69" s="1">
        <v>2</v>
      </c>
      <c r="L69" s="1">
        <v>2960</v>
      </c>
    </row>
    <row r="70" spans="9:12" x14ac:dyDescent="0.2">
      <c r="I70" s="1">
        <v>34</v>
      </c>
      <c r="J70" s="1">
        <v>3</v>
      </c>
      <c r="K70" s="1">
        <v>3</v>
      </c>
      <c r="L70" s="1">
        <v>820006</v>
      </c>
    </row>
    <row r="71" spans="9:12" x14ac:dyDescent="0.2">
      <c r="I71" s="1">
        <v>35</v>
      </c>
      <c r="J71" s="1">
        <v>3</v>
      </c>
      <c r="K71" s="1">
        <v>4</v>
      </c>
      <c r="L71" s="1">
        <v>137739</v>
      </c>
    </row>
    <row r="72" spans="9:12" x14ac:dyDescent="0.2">
      <c r="I72" s="1">
        <v>36</v>
      </c>
      <c r="J72" s="1">
        <v>3</v>
      </c>
      <c r="K72" s="1">
        <v>5</v>
      </c>
      <c r="L72" s="1">
        <v>141929</v>
      </c>
    </row>
    <row r="73" spans="9:12" x14ac:dyDescent="0.2">
      <c r="I73" s="1">
        <v>37</v>
      </c>
      <c r="J73" s="1">
        <v>3</v>
      </c>
      <c r="K73" s="1">
        <v>6</v>
      </c>
      <c r="L73" s="1">
        <v>1938</v>
      </c>
    </row>
    <row r="74" spans="9:12" x14ac:dyDescent="0.2">
      <c r="I74" s="1">
        <v>38</v>
      </c>
      <c r="J74" s="1">
        <v>3</v>
      </c>
      <c r="K74" s="1">
        <v>7</v>
      </c>
      <c r="L74" s="1">
        <v>38</v>
      </c>
    </row>
    <row r="75" spans="9:12" x14ac:dyDescent="0.2">
      <c r="I75" s="1">
        <v>39</v>
      </c>
      <c r="J75" s="1">
        <v>3</v>
      </c>
      <c r="K75" s="1">
        <v>8</v>
      </c>
      <c r="L75" s="1">
        <v>580</v>
      </c>
    </row>
    <row r="76" spans="9:12" x14ac:dyDescent="0.2">
      <c r="I76" s="1">
        <v>40</v>
      </c>
      <c r="J76" s="1">
        <v>3</v>
      </c>
      <c r="K76" s="1">
        <v>9</v>
      </c>
      <c r="L76" s="1">
        <v>73</v>
      </c>
    </row>
    <row r="77" spans="9:12" x14ac:dyDescent="0.2">
      <c r="I77" s="1">
        <v>41</v>
      </c>
      <c r="J77" s="1">
        <v>4</v>
      </c>
      <c r="K77" s="1">
        <v>0</v>
      </c>
      <c r="L77" s="1">
        <v>0</v>
      </c>
    </row>
    <row r="78" spans="9:12" x14ac:dyDescent="0.2">
      <c r="I78" s="1">
        <v>42</v>
      </c>
      <c r="J78" s="1">
        <v>4</v>
      </c>
      <c r="K78" s="1">
        <v>1</v>
      </c>
      <c r="L78" s="1">
        <v>173343</v>
      </c>
    </row>
    <row r="79" spans="9:12" x14ac:dyDescent="0.2">
      <c r="I79" s="1">
        <v>43</v>
      </c>
      <c r="J79" s="1">
        <v>4</v>
      </c>
      <c r="K79" s="1">
        <v>2</v>
      </c>
      <c r="L79" s="1">
        <v>737</v>
      </c>
    </row>
    <row r="80" spans="9:12" x14ac:dyDescent="0.2">
      <c r="I80" s="1">
        <v>44</v>
      </c>
      <c r="J80" s="1">
        <v>4</v>
      </c>
      <c r="K80" s="1">
        <v>3</v>
      </c>
      <c r="L80" s="1">
        <v>423245</v>
      </c>
    </row>
    <row r="81" spans="9:12" x14ac:dyDescent="0.2">
      <c r="I81" s="1">
        <v>45</v>
      </c>
      <c r="J81" s="1">
        <v>4</v>
      </c>
      <c r="K81" s="1">
        <v>4</v>
      </c>
      <c r="L81" s="1">
        <v>479439</v>
      </c>
    </row>
    <row r="82" spans="9:12" x14ac:dyDescent="0.2">
      <c r="I82" s="1">
        <v>46</v>
      </c>
      <c r="J82" s="1">
        <v>4</v>
      </c>
      <c r="K82" s="1">
        <v>5</v>
      </c>
      <c r="L82" s="1">
        <v>834255</v>
      </c>
    </row>
    <row r="83" spans="9:12" x14ac:dyDescent="0.2">
      <c r="I83" s="1">
        <v>47</v>
      </c>
      <c r="J83" s="1">
        <v>4</v>
      </c>
      <c r="K83" s="1">
        <v>6</v>
      </c>
      <c r="L83" s="1">
        <v>6035</v>
      </c>
    </row>
    <row r="84" spans="9:12" x14ac:dyDescent="0.2">
      <c r="I84" s="1">
        <v>48</v>
      </c>
      <c r="J84" s="1">
        <v>4</v>
      </c>
      <c r="K84" s="1">
        <v>7</v>
      </c>
      <c r="L84" s="1">
        <v>20</v>
      </c>
    </row>
    <row r="85" spans="9:12" x14ac:dyDescent="0.2">
      <c r="I85" s="1">
        <v>49</v>
      </c>
      <c r="J85" s="1">
        <v>4</v>
      </c>
      <c r="K85" s="1">
        <v>8</v>
      </c>
      <c r="L85" s="1">
        <v>308</v>
      </c>
    </row>
    <row r="86" spans="9:12" x14ac:dyDescent="0.2">
      <c r="I86" s="1">
        <v>50</v>
      </c>
      <c r="J86" s="1">
        <v>4</v>
      </c>
      <c r="K86" s="1">
        <v>9</v>
      </c>
      <c r="L86" s="1">
        <v>8</v>
      </c>
    </row>
    <row r="87" spans="9:12" x14ac:dyDescent="0.2">
      <c r="I87" s="1">
        <v>51</v>
      </c>
      <c r="J87" s="1">
        <v>5</v>
      </c>
      <c r="K87" s="1">
        <v>0</v>
      </c>
      <c r="L87" s="1">
        <v>0</v>
      </c>
    </row>
    <row r="88" spans="9:12" x14ac:dyDescent="0.2">
      <c r="I88" s="1">
        <v>52</v>
      </c>
      <c r="J88" s="1">
        <v>5</v>
      </c>
      <c r="K88" s="1">
        <v>1</v>
      </c>
      <c r="L88" s="1">
        <v>1344276</v>
      </c>
    </row>
    <row r="89" spans="9:12" x14ac:dyDescent="0.2">
      <c r="I89" s="1">
        <v>53</v>
      </c>
      <c r="J89" s="1">
        <v>5</v>
      </c>
      <c r="K89" s="1">
        <v>2</v>
      </c>
      <c r="L89" s="1">
        <v>153547</v>
      </c>
    </row>
    <row r="90" spans="9:12" x14ac:dyDescent="0.2">
      <c r="I90" s="1">
        <v>54</v>
      </c>
      <c r="J90" s="1">
        <v>5</v>
      </c>
      <c r="K90" s="1">
        <v>3</v>
      </c>
      <c r="L90" s="1">
        <v>2849363</v>
      </c>
    </row>
    <row r="91" spans="9:12" x14ac:dyDescent="0.2">
      <c r="I91" s="1">
        <v>55</v>
      </c>
      <c r="J91" s="1">
        <v>5</v>
      </c>
      <c r="K91" s="1">
        <v>4</v>
      </c>
      <c r="L91" s="1">
        <v>2947892</v>
      </c>
    </row>
    <row r="92" spans="9:12" x14ac:dyDescent="0.2">
      <c r="I92" s="1">
        <v>56</v>
      </c>
      <c r="J92" s="1">
        <v>5</v>
      </c>
      <c r="K92" s="1">
        <v>5</v>
      </c>
      <c r="L92" s="1">
        <v>6314759</v>
      </c>
    </row>
    <row r="93" spans="9:12" x14ac:dyDescent="0.2">
      <c r="I93" s="1">
        <v>57</v>
      </c>
      <c r="J93" s="1">
        <v>5</v>
      </c>
      <c r="K93" s="1">
        <v>6</v>
      </c>
      <c r="L93" s="1">
        <v>152397</v>
      </c>
    </row>
    <row r="94" spans="9:12" x14ac:dyDescent="0.2">
      <c r="I94" s="1">
        <v>58</v>
      </c>
      <c r="J94" s="1">
        <v>5</v>
      </c>
      <c r="K94" s="1">
        <v>7</v>
      </c>
      <c r="L94" s="1">
        <v>4650</v>
      </c>
    </row>
    <row r="95" spans="9:12" x14ac:dyDescent="0.2">
      <c r="I95" s="1">
        <v>59</v>
      </c>
      <c r="J95" s="1">
        <v>5</v>
      </c>
      <c r="K95" s="1">
        <v>8</v>
      </c>
      <c r="L95" s="1">
        <v>22484</v>
      </c>
    </row>
    <row r="96" spans="9:12" x14ac:dyDescent="0.2">
      <c r="I96" s="1">
        <v>60</v>
      </c>
      <c r="J96" s="1">
        <v>5</v>
      </c>
      <c r="K96" s="1">
        <v>9</v>
      </c>
      <c r="L96" s="1">
        <v>3355</v>
      </c>
    </row>
    <row r="97" spans="9:12" x14ac:dyDescent="0.2">
      <c r="I97" s="1">
        <v>61</v>
      </c>
      <c r="J97" s="1">
        <v>6</v>
      </c>
      <c r="K97" s="1">
        <v>0</v>
      </c>
      <c r="L97" s="1">
        <v>0</v>
      </c>
    </row>
    <row r="98" spans="9:12" x14ac:dyDescent="0.2">
      <c r="I98" s="1">
        <v>62</v>
      </c>
      <c r="J98" s="1">
        <v>6</v>
      </c>
      <c r="K98" s="1">
        <v>1</v>
      </c>
      <c r="L98" s="1">
        <v>4319</v>
      </c>
    </row>
    <row r="99" spans="9:12" x14ac:dyDescent="0.2">
      <c r="I99" s="1">
        <v>63</v>
      </c>
      <c r="J99" s="1">
        <v>6</v>
      </c>
      <c r="K99" s="1">
        <v>2</v>
      </c>
      <c r="L99" s="1">
        <v>45032</v>
      </c>
    </row>
    <row r="100" spans="9:12" x14ac:dyDescent="0.2">
      <c r="I100" s="1">
        <v>64</v>
      </c>
      <c r="J100" s="1">
        <v>6</v>
      </c>
      <c r="K100" s="1">
        <v>3</v>
      </c>
      <c r="L100" s="1">
        <v>26984</v>
      </c>
    </row>
    <row r="101" spans="9:12" x14ac:dyDescent="0.2">
      <c r="I101" s="1">
        <v>65</v>
      </c>
      <c r="J101" s="1">
        <v>6</v>
      </c>
      <c r="K101" s="1">
        <v>4</v>
      </c>
      <c r="L101" s="1">
        <v>48565</v>
      </c>
    </row>
    <row r="102" spans="9:12" x14ac:dyDescent="0.2">
      <c r="I102" s="1">
        <v>66</v>
      </c>
      <c r="J102" s="1">
        <v>6</v>
      </c>
      <c r="K102" s="1">
        <v>5</v>
      </c>
      <c r="L102" s="1">
        <v>347022</v>
      </c>
    </row>
    <row r="103" spans="9:12" x14ac:dyDescent="0.2">
      <c r="I103" s="1">
        <v>67</v>
      </c>
      <c r="J103" s="1">
        <v>6</v>
      </c>
      <c r="K103" s="1">
        <v>6</v>
      </c>
      <c r="L103" s="1">
        <v>374643</v>
      </c>
    </row>
    <row r="104" spans="9:12" x14ac:dyDescent="0.2">
      <c r="I104" s="1">
        <v>68</v>
      </c>
      <c r="J104" s="1">
        <v>6</v>
      </c>
      <c r="K104" s="1">
        <v>7</v>
      </c>
      <c r="L104" s="1">
        <v>2499</v>
      </c>
    </row>
    <row r="105" spans="9:12" x14ac:dyDescent="0.2">
      <c r="I105" s="1">
        <v>69</v>
      </c>
      <c r="J105" s="1">
        <v>6</v>
      </c>
      <c r="K105" s="1">
        <v>8</v>
      </c>
      <c r="L105" s="1">
        <v>19253</v>
      </c>
    </row>
    <row r="106" spans="9:12" x14ac:dyDescent="0.2">
      <c r="I106" s="1">
        <v>70</v>
      </c>
      <c r="J106" s="1">
        <v>6</v>
      </c>
      <c r="K106" s="1">
        <v>9</v>
      </c>
      <c r="L106" s="1">
        <v>439</v>
      </c>
    </row>
    <row r="107" spans="9:12" x14ac:dyDescent="0.2">
      <c r="I107" s="1">
        <v>71</v>
      </c>
      <c r="J107" s="1">
        <v>7</v>
      </c>
      <c r="K107" s="1">
        <v>0</v>
      </c>
      <c r="L107" s="1">
        <v>0</v>
      </c>
    </row>
    <row r="108" spans="9:12" x14ac:dyDescent="0.2">
      <c r="I108" s="1">
        <v>72</v>
      </c>
      <c r="J108" s="1">
        <v>7</v>
      </c>
      <c r="K108" s="1">
        <v>1</v>
      </c>
      <c r="L108" s="1">
        <v>938</v>
      </c>
    </row>
    <row r="109" spans="9:12" x14ac:dyDescent="0.2">
      <c r="I109" s="1">
        <v>73</v>
      </c>
      <c r="J109" s="1">
        <v>7</v>
      </c>
      <c r="K109" s="1">
        <v>2</v>
      </c>
      <c r="L109" s="1">
        <v>11874</v>
      </c>
    </row>
    <row r="110" spans="9:12" x14ac:dyDescent="0.2">
      <c r="I110" s="1">
        <v>74</v>
      </c>
      <c r="J110" s="1">
        <v>7</v>
      </c>
      <c r="K110" s="1">
        <v>3</v>
      </c>
      <c r="L110" s="1">
        <v>3603</v>
      </c>
    </row>
    <row r="111" spans="9:12" x14ac:dyDescent="0.2">
      <c r="I111" s="1">
        <v>75</v>
      </c>
      <c r="J111" s="1">
        <v>7</v>
      </c>
      <c r="K111" s="1">
        <v>4</v>
      </c>
      <c r="L111" s="1">
        <v>1372</v>
      </c>
    </row>
    <row r="112" spans="9:12" x14ac:dyDescent="0.2">
      <c r="I112" s="1">
        <v>76</v>
      </c>
      <c r="J112" s="1">
        <v>7</v>
      </c>
      <c r="K112" s="1">
        <v>5</v>
      </c>
      <c r="L112" s="1">
        <v>26947</v>
      </c>
    </row>
    <row r="113" spans="9:12" x14ac:dyDescent="0.2">
      <c r="I113" s="1">
        <v>77</v>
      </c>
      <c r="J113" s="1">
        <v>7</v>
      </c>
      <c r="K113" s="1">
        <v>6</v>
      </c>
      <c r="L113" s="1">
        <v>6500</v>
      </c>
    </row>
    <row r="114" spans="9:12" x14ac:dyDescent="0.2">
      <c r="I114" s="1">
        <v>78</v>
      </c>
      <c r="J114" s="1">
        <v>7</v>
      </c>
      <c r="K114" s="1">
        <v>7</v>
      </c>
      <c r="L114" s="1">
        <v>6248</v>
      </c>
    </row>
    <row r="115" spans="9:12" x14ac:dyDescent="0.2">
      <c r="I115" s="1">
        <v>79</v>
      </c>
      <c r="J115" s="1">
        <v>7</v>
      </c>
      <c r="K115" s="1">
        <v>8</v>
      </c>
      <c r="L115" s="1">
        <v>3675</v>
      </c>
    </row>
    <row r="116" spans="9:12" x14ac:dyDescent="0.2">
      <c r="I116" s="1">
        <v>80</v>
      </c>
      <c r="J116" s="1">
        <v>7</v>
      </c>
      <c r="K116" s="1">
        <v>9</v>
      </c>
      <c r="L116" s="1">
        <v>130</v>
      </c>
    </row>
    <row r="117" spans="9:12" x14ac:dyDescent="0.2">
      <c r="I117" s="1">
        <v>81</v>
      </c>
      <c r="J117" s="1">
        <v>8</v>
      </c>
      <c r="K117" s="1">
        <v>0</v>
      </c>
      <c r="L117" s="1">
        <v>0</v>
      </c>
    </row>
    <row r="118" spans="9:12" x14ac:dyDescent="0.2">
      <c r="I118" s="1">
        <v>82</v>
      </c>
      <c r="J118" s="1">
        <v>8</v>
      </c>
      <c r="K118" s="1">
        <v>1</v>
      </c>
      <c r="L118" s="1">
        <v>17648</v>
      </c>
    </row>
    <row r="119" spans="9:12" x14ac:dyDescent="0.2">
      <c r="I119" s="1">
        <v>83</v>
      </c>
      <c r="J119" s="1">
        <v>8</v>
      </c>
      <c r="K119" s="1">
        <v>2</v>
      </c>
      <c r="L119" s="1">
        <v>358425</v>
      </c>
    </row>
    <row r="120" spans="9:12" x14ac:dyDescent="0.2">
      <c r="I120" s="1">
        <v>84</v>
      </c>
      <c r="J120" s="1">
        <v>8</v>
      </c>
      <c r="K120" s="1">
        <v>3</v>
      </c>
      <c r="L120" s="1">
        <v>23752</v>
      </c>
    </row>
    <row r="121" spans="9:12" x14ac:dyDescent="0.2">
      <c r="I121" s="1">
        <v>85</v>
      </c>
      <c r="J121" s="1">
        <v>8</v>
      </c>
      <c r="K121" s="1">
        <v>4</v>
      </c>
      <c r="L121" s="1">
        <v>14967</v>
      </c>
    </row>
    <row r="122" spans="9:12" x14ac:dyDescent="0.2">
      <c r="I122" s="1">
        <v>86</v>
      </c>
      <c r="J122" s="1">
        <v>8</v>
      </c>
      <c r="K122" s="1">
        <v>5</v>
      </c>
      <c r="L122" s="1">
        <v>119014</v>
      </c>
    </row>
    <row r="123" spans="9:12" x14ac:dyDescent="0.2">
      <c r="I123" s="1">
        <v>87</v>
      </c>
      <c r="J123" s="1">
        <v>8</v>
      </c>
      <c r="K123" s="1">
        <v>6</v>
      </c>
      <c r="L123" s="1">
        <v>404336</v>
      </c>
    </row>
    <row r="124" spans="9:12" x14ac:dyDescent="0.2">
      <c r="I124" s="1">
        <v>88</v>
      </c>
      <c r="J124" s="1">
        <v>8</v>
      </c>
      <c r="K124" s="1">
        <v>7</v>
      </c>
      <c r="L124" s="1">
        <v>12208</v>
      </c>
    </row>
    <row r="125" spans="9:12" x14ac:dyDescent="0.2">
      <c r="I125" s="1">
        <v>89</v>
      </c>
      <c r="J125" s="1">
        <v>8</v>
      </c>
      <c r="K125" s="1">
        <v>8</v>
      </c>
      <c r="L125" s="1">
        <v>203272</v>
      </c>
    </row>
    <row r="126" spans="9:12" x14ac:dyDescent="0.2">
      <c r="I126" s="1">
        <v>90</v>
      </c>
      <c r="J126" s="1">
        <v>8</v>
      </c>
      <c r="K126" s="1">
        <v>9</v>
      </c>
      <c r="L126" s="1">
        <v>56292</v>
      </c>
    </row>
    <row r="127" spans="9:12" x14ac:dyDescent="0.2">
      <c r="I127" s="1">
        <v>91</v>
      </c>
      <c r="J127" s="1">
        <v>9</v>
      </c>
      <c r="K127" s="1">
        <v>0</v>
      </c>
      <c r="L127" s="1">
        <v>0</v>
      </c>
    </row>
    <row r="128" spans="9:12" x14ac:dyDescent="0.2">
      <c r="I128" s="1">
        <v>92</v>
      </c>
      <c r="J128" s="1">
        <v>9</v>
      </c>
      <c r="K128" s="1">
        <v>1</v>
      </c>
      <c r="L128" s="1">
        <v>4944</v>
      </c>
    </row>
    <row r="129" spans="9:12" x14ac:dyDescent="0.2">
      <c r="I129" s="1">
        <v>93</v>
      </c>
      <c r="J129" s="1">
        <v>9</v>
      </c>
      <c r="K129" s="1">
        <v>2</v>
      </c>
      <c r="L129" s="1">
        <v>33767</v>
      </c>
    </row>
    <row r="130" spans="9:12" x14ac:dyDescent="0.2">
      <c r="I130" s="1">
        <v>94</v>
      </c>
      <c r="J130" s="1">
        <v>9</v>
      </c>
      <c r="K130" s="1">
        <v>3</v>
      </c>
      <c r="L130" s="1">
        <v>814</v>
      </c>
    </row>
    <row r="131" spans="9:12" x14ac:dyDescent="0.2">
      <c r="I131" s="1">
        <v>95</v>
      </c>
      <c r="J131" s="1">
        <v>9</v>
      </c>
      <c r="K131" s="1">
        <v>4</v>
      </c>
      <c r="L131" s="1">
        <v>9</v>
      </c>
    </row>
    <row r="132" spans="9:12" x14ac:dyDescent="0.2">
      <c r="I132" s="1">
        <v>96</v>
      </c>
      <c r="J132" s="1">
        <v>9</v>
      </c>
      <c r="K132" s="1">
        <v>5</v>
      </c>
      <c r="L132" s="1">
        <v>852</v>
      </c>
    </row>
    <row r="133" spans="9:12" x14ac:dyDescent="0.2">
      <c r="I133" s="1">
        <v>97</v>
      </c>
      <c r="J133" s="1">
        <v>9</v>
      </c>
      <c r="K133" s="1">
        <v>6</v>
      </c>
      <c r="L133" s="1">
        <v>837</v>
      </c>
    </row>
    <row r="134" spans="9:12" x14ac:dyDescent="0.2">
      <c r="I134" s="1">
        <v>98</v>
      </c>
      <c r="J134" s="1">
        <v>9</v>
      </c>
      <c r="K134" s="1">
        <v>7</v>
      </c>
      <c r="L134" s="1">
        <v>1260</v>
      </c>
    </row>
    <row r="135" spans="9:12" x14ac:dyDescent="0.2">
      <c r="I135" s="1">
        <v>99</v>
      </c>
      <c r="J135" s="1">
        <v>9</v>
      </c>
      <c r="K135" s="1">
        <v>8</v>
      </c>
      <c r="L135" s="1">
        <v>32156</v>
      </c>
    </row>
    <row r="136" spans="9:12" x14ac:dyDescent="0.2">
      <c r="I136" s="1">
        <v>100</v>
      </c>
      <c r="J136" s="1">
        <v>9</v>
      </c>
      <c r="K136" s="1">
        <v>9</v>
      </c>
      <c r="L136" s="1">
        <v>208608</v>
      </c>
    </row>
  </sheetData>
  <mergeCells count="6">
    <mergeCell ref="A35:A36"/>
    <mergeCell ref="P6:Q6"/>
    <mergeCell ref="R6:S6"/>
    <mergeCell ref="T6:U6"/>
    <mergeCell ref="B35:D35"/>
    <mergeCell ref="E35:G35"/>
  </mergeCells>
  <pageMargins left="0.75" right="0.75" top="1" bottom="1" header="0.5" footer="0.5"/>
  <pageSetup orientation="portrait" horizontalDpi="4294967292" verticalDpi="4294967292"/>
  <ignoredErrors>
    <ignoredError sqref="R8:T16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D87A-A9A1-BC4D-B9D4-6EAEFEBDA696}">
  <dimension ref="A1:G38"/>
  <sheetViews>
    <sheetView workbookViewId="0"/>
  </sheetViews>
  <sheetFormatPr baseColWidth="10" defaultRowHeight="15" x14ac:dyDescent="0.2"/>
  <cols>
    <col min="1" max="7" width="12.83203125" customWidth="1"/>
  </cols>
  <sheetData>
    <row r="1" spans="1:7" ht="19" x14ac:dyDescent="0.25">
      <c r="A1" s="3" t="s">
        <v>130</v>
      </c>
    </row>
    <row r="2" spans="1:7" x14ac:dyDescent="0.2">
      <c r="A2" t="s">
        <v>131</v>
      </c>
    </row>
    <row r="5" spans="1:7" x14ac:dyDescent="0.2">
      <c r="A5" t="s">
        <v>132</v>
      </c>
    </row>
    <row r="6" spans="1:7" x14ac:dyDescent="0.2">
      <c r="A6" s="108"/>
      <c r="B6" s="188" t="s">
        <v>133</v>
      </c>
      <c r="C6" s="188"/>
      <c r="D6" s="188"/>
      <c r="E6" s="188"/>
      <c r="F6" s="188"/>
      <c r="G6" s="108"/>
    </row>
    <row r="7" spans="1:7" x14ac:dyDescent="0.2">
      <c r="A7" s="6" t="b">
        <v>1</v>
      </c>
      <c r="B7" s="107" t="s">
        <v>134</v>
      </c>
      <c r="C7" s="107" t="s">
        <v>135</v>
      </c>
      <c r="D7" s="107" t="s">
        <v>138</v>
      </c>
      <c r="E7" s="107" t="s">
        <v>136</v>
      </c>
      <c r="F7" s="107" t="s">
        <v>137</v>
      </c>
      <c r="G7" s="6" t="s">
        <v>0</v>
      </c>
    </row>
    <row r="8" spans="1:7" x14ac:dyDescent="0.2">
      <c r="A8" s="149" t="s">
        <v>134</v>
      </c>
      <c r="B8">
        <v>48</v>
      </c>
      <c r="C8">
        <v>0</v>
      </c>
      <c r="D8">
        <v>2</v>
      </c>
      <c r="E8">
        <v>5</v>
      </c>
      <c r="F8">
        <v>0</v>
      </c>
      <c r="G8">
        <f>SUM(B8:F8)</f>
        <v>55</v>
      </c>
    </row>
    <row r="9" spans="1:7" x14ac:dyDescent="0.2">
      <c r="A9" s="149" t="s">
        <v>135</v>
      </c>
      <c r="B9">
        <v>1</v>
      </c>
      <c r="C9">
        <v>49</v>
      </c>
      <c r="D9">
        <v>0</v>
      </c>
      <c r="E9">
        <v>4</v>
      </c>
      <c r="F9">
        <v>0</v>
      </c>
      <c r="G9">
        <f t="shared" ref="G9:G12" si="0">SUM(B9:F9)</f>
        <v>54</v>
      </c>
    </row>
    <row r="10" spans="1:7" x14ac:dyDescent="0.2">
      <c r="A10" s="149" t="s">
        <v>138</v>
      </c>
      <c r="B10">
        <v>1</v>
      </c>
      <c r="C10">
        <v>0</v>
      </c>
      <c r="D10">
        <v>47</v>
      </c>
      <c r="E10">
        <v>3</v>
      </c>
      <c r="F10">
        <v>3</v>
      </c>
      <c r="G10">
        <f t="shared" si="0"/>
        <v>54</v>
      </c>
    </row>
    <row r="11" spans="1:7" x14ac:dyDescent="0.2">
      <c r="A11" s="149" t="s">
        <v>136</v>
      </c>
      <c r="B11">
        <v>0</v>
      </c>
      <c r="C11">
        <v>1</v>
      </c>
      <c r="D11">
        <v>1</v>
      </c>
      <c r="E11">
        <v>34</v>
      </c>
      <c r="F11">
        <v>12</v>
      </c>
      <c r="G11">
        <f t="shared" si="0"/>
        <v>48</v>
      </c>
    </row>
    <row r="12" spans="1:7" x14ac:dyDescent="0.2">
      <c r="A12" s="107" t="s">
        <v>137</v>
      </c>
      <c r="B12" s="6">
        <v>0</v>
      </c>
      <c r="C12" s="6">
        <v>0</v>
      </c>
      <c r="D12" s="6">
        <v>0</v>
      </c>
      <c r="E12" s="6">
        <v>4</v>
      </c>
      <c r="F12" s="6">
        <v>35</v>
      </c>
      <c r="G12" s="6">
        <f t="shared" si="0"/>
        <v>39</v>
      </c>
    </row>
    <row r="13" spans="1:7" x14ac:dyDescent="0.2">
      <c r="A13" s="149" t="s">
        <v>0</v>
      </c>
      <c r="B13">
        <f>SUM(B8:B12)</f>
        <v>50</v>
      </c>
      <c r="C13">
        <f t="shared" ref="C13:F13" si="1">SUM(C8:C12)</f>
        <v>50</v>
      </c>
      <c r="D13">
        <f t="shared" si="1"/>
        <v>50</v>
      </c>
      <c r="E13">
        <f t="shared" si="1"/>
        <v>50</v>
      </c>
      <c r="F13">
        <f t="shared" si="1"/>
        <v>50</v>
      </c>
      <c r="G13">
        <f>SUM(B13:F13)</f>
        <v>250</v>
      </c>
    </row>
    <row r="14" spans="1:7" x14ac:dyDescent="0.2">
      <c r="A14" s="175" t="s">
        <v>139</v>
      </c>
      <c r="B14">
        <v>0.4</v>
      </c>
      <c r="C14">
        <v>0.4</v>
      </c>
      <c r="D14">
        <v>0.12</v>
      </c>
      <c r="E14">
        <v>0.04</v>
      </c>
      <c r="F14">
        <v>0.04</v>
      </c>
    </row>
    <row r="17" spans="1:7" x14ac:dyDescent="0.2">
      <c r="A17" t="s">
        <v>140</v>
      </c>
    </row>
    <row r="18" spans="1:7" x14ac:dyDescent="0.2">
      <c r="A18" s="108"/>
      <c r="B18" s="188" t="s">
        <v>133</v>
      </c>
      <c r="C18" s="188"/>
      <c r="D18" s="188"/>
      <c r="E18" s="188"/>
      <c r="F18" s="188"/>
      <c r="G18" s="108"/>
    </row>
    <row r="19" spans="1:7" x14ac:dyDescent="0.2">
      <c r="A19" s="6" t="b">
        <v>1</v>
      </c>
      <c r="B19" s="107" t="s">
        <v>134</v>
      </c>
      <c r="C19" s="107" t="s">
        <v>135</v>
      </c>
      <c r="D19" s="107" t="s">
        <v>138</v>
      </c>
      <c r="E19" s="107" t="s">
        <v>136</v>
      </c>
      <c r="F19" s="107" t="s">
        <v>137</v>
      </c>
      <c r="G19" s="6" t="s">
        <v>0</v>
      </c>
    </row>
    <row r="20" spans="1:7" x14ac:dyDescent="0.2">
      <c r="A20" s="149" t="s">
        <v>134</v>
      </c>
      <c r="B20">
        <f>B$14*(B8/B$13)</f>
        <v>0.38400000000000001</v>
      </c>
      <c r="C20">
        <f t="shared" ref="C20:F20" si="2">C$14*(C8/C$13)</f>
        <v>0</v>
      </c>
      <c r="D20">
        <f t="shared" si="2"/>
        <v>4.7999999999999996E-3</v>
      </c>
      <c r="E20">
        <f t="shared" si="2"/>
        <v>4.0000000000000001E-3</v>
      </c>
      <c r="F20">
        <f t="shared" si="2"/>
        <v>0</v>
      </c>
      <c r="G20" s="177">
        <f>SUM(B20:F20)</f>
        <v>0.39280000000000004</v>
      </c>
    </row>
    <row r="21" spans="1:7" x14ac:dyDescent="0.2">
      <c r="A21" s="149" t="s">
        <v>135</v>
      </c>
      <c r="B21">
        <f>B$14*(B9/B$13)</f>
        <v>8.0000000000000002E-3</v>
      </c>
      <c r="C21">
        <f t="shared" ref="C21:F21" si="3">C$14*(C9/C$13)</f>
        <v>0.39200000000000002</v>
      </c>
      <c r="D21">
        <f t="shared" si="3"/>
        <v>0</v>
      </c>
      <c r="E21">
        <f t="shared" si="3"/>
        <v>3.2000000000000002E-3</v>
      </c>
      <c r="F21">
        <f t="shared" si="3"/>
        <v>0</v>
      </c>
      <c r="G21" s="177">
        <f t="shared" ref="G21:G24" si="4">SUM(B21:F21)</f>
        <v>0.4032</v>
      </c>
    </row>
    <row r="22" spans="1:7" x14ac:dyDescent="0.2">
      <c r="A22" s="149" t="s">
        <v>138</v>
      </c>
      <c r="B22">
        <f t="shared" ref="B22:F24" si="5">B$14*(B10/B$13)</f>
        <v>8.0000000000000002E-3</v>
      </c>
      <c r="C22">
        <f t="shared" si="5"/>
        <v>0</v>
      </c>
      <c r="D22">
        <f t="shared" si="5"/>
        <v>0.11279999999999998</v>
      </c>
      <c r="E22">
        <f t="shared" si="5"/>
        <v>2.3999999999999998E-3</v>
      </c>
      <c r="F22">
        <f t="shared" si="5"/>
        <v>2.3999999999999998E-3</v>
      </c>
      <c r="G22" s="177">
        <f t="shared" si="4"/>
        <v>0.12559999999999999</v>
      </c>
    </row>
    <row r="23" spans="1:7" x14ac:dyDescent="0.2">
      <c r="A23" s="149" t="s">
        <v>136</v>
      </c>
      <c r="B23">
        <f t="shared" si="5"/>
        <v>0</v>
      </c>
      <c r="C23">
        <f t="shared" si="5"/>
        <v>8.0000000000000002E-3</v>
      </c>
      <c r="D23">
        <f t="shared" si="5"/>
        <v>2.3999999999999998E-3</v>
      </c>
      <c r="E23">
        <f t="shared" si="5"/>
        <v>2.7200000000000002E-2</v>
      </c>
      <c r="F23">
        <f t="shared" si="5"/>
        <v>9.5999999999999992E-3</v>
      </c>
      <c r="G23" s="177">
        <f t="shared" si="4"/>
        <v>4.7199999999999999E-2</v>
      </c>
    </row>
    <row r="24" spans="1:7" x14ac:dyDescent="0.2">
      <c r="A24" s="107" t="s">
        <v>137</v>
      </c>
      <c r="B24" s="6">
        <f t="shared" si="5"/>
        <v>0</v>
      </c>
      <c r="C24" s="6">
        <f t="shared" si="5"/>
        <v>0</v>
      </c>
      <c r="D24" s="6">
        <f t="shared" si="5"/>
        <v>0</v>
      </c>
      <c r="E24" s="6">
        <f t="shared" si="5"/>
        <v>3.2000000000000002E-3</v>
      </c>
      <c r="F24" s="6">
        <f t="shared" si="5"/>
        <v>2.7999999999999997E-2</v>
      </c>
      <c r="G24" s="178">
        <f t="shared" si="4"/>
        <v>3.1199999999999999E-2</v>
      </c>
    </row>
    <row r="25" spans="1:7" x14ac:dyDescent="0.2">
      <c r="A25" s="176" t="s">
        <v>0</v>
      </c>
      <c r="B25" s="179">
        <f>SUM(B20:B24)</f>
        <v>0.4</v>
      </c>
      <c r="C25" s="179">
        <f t="shared" ref="C25:F25" si="6">SUM(C20:C24)</f>
        <v>0.4</v>
      </c>
      <c r="D25" s="179">
        <f t="shared" si="6"/>
        <v>0.11999999999999998</v>
      </c>
      <c r="E25" s="179">
        <f t="shared" si="6"/>
        <v>0.04</v>
      </c>
      <c r="F25" s="179">
        <f t="shared" si="6"/>
        <v>3.9999999999999994E-2</v>
      </c>
      <c r="G25" s="179">
        <f>B20+C21+D22+E23+F24</f>
        <v>0.94400000000000006</v>
      </c>
    </row>
    <row r="28" spans="1:7" x14ac:dyDescent="0.2">
      <c r="A28" s="181" t="s">
        <v>142</v>
      </c>
      <c r="E28" s="181" t="s">
        <v>142</v>
      </c>
    </row>
    <row r="29" spans="1:7" x14ac:dyDescent="0.2">
      <c r="A29" s="107" t="s">
        <v>141</v>
      </c>
      <c r="B29" s="107" t="s">
        <v>23</v>
      </c>
      <c r="C29" s="107" t="s">
        <v>24</v>
      </c>
      <c r="E29" s="107" t="s">
        <v>141</v>
      </c>
      <c r="F29" s="107" t="s">
        <v>23</v>
      </c>
      <c r="G29" s="107" t="s">
        <v>24</v>
      </c>
    </row>
    <row r="30" spans="1:7" x14ac:dyDescent="0.2">
      <c r="A30" s="149" t="s">
        <v>134</v>
      </c>
      <c r="B30" s="177">
        <f>B8/B13</f>
        <v>0.96</v>
      </c>
      <c r="C30" s="177"/>
      <c r="E30" s="149" t="s">
        <v>134</v>
      </c>
      <c r="F30" s="177">
        <f>B20/G20</f>
        <v>0.9775967413441955</v>
      </c>
      <c r="G30" s="177"/>
    </row>
    <row r="31" spans="1:7" x14ac:dyDescent="0.2">
      <c r="A31" s="149" t="s">
        <v>135</v>
      </c>
      <c r="B31" s="177">
        <f>C9/C13</f>
        <v>0.98</v>
      </c>
      <c r="C31" s="177"/>
      <c r="E31" s="149" t="s">
        <v>135</v>
      </c>
      <c r="F31" s="177">
        <f>C21/G21</f>
        <v>0.97222222222222221</v>
      </c>
      <c r="G31" s="177"/>
    </row>
    <row r="32" spans="1:7" x14ac:dyDescent="0.2">
      <c r="A32" s="149" t="s">
        <v>138</v>
      </c>
      <c r="B32" s="177">
        <f>D10/D13</f>
        <v>0.94</v>
      </c>
      <c r="C32" s="177"/>
      <c r="E32" s="149" t="s">
        <v>138</v>
      </c>
      <c r="F32" s="177">
        <f>D22/G22</f>
        <v>0.8980891719745222</v>
      </c>
      <c r="G32" s="177"/>
    </row>
    <row r="33" spans="1:7" x14ac:dyDescent="0.2">
      <c r="A33" s="149" t="s">
        <v>136</v>
      </c>
      <c r="B33" s="177">
        <f>E11/E13</f>
        <v>0.68</v>
      </c>
      <c r="C33" s="177"/>
      <c r="E33" s="149" t="s">
        <v>136</v>
      </c>
      <c r="F33" s="177">
        <f>E23/G23</f>
        <v>0.57627118644067798</v>
      </c>
      <c r="G33" s="177"/>
    </row>
    <row r="34" spans="1:7" x14ac:dyDescent="0.2">
      <c r="A34" s="107" t="s">
        <v>137</v>
      </c>
      <c r="B34" s="178">
        <f>F12/F13</f>
        <v>0.7</v>
      </c>
      <c r="C34" s="178"/>
      <c r="E34" s="107" t="s">
        <v>137</v>
      </c>
      <c r="F34" s="178">
        <f>F24/G24</f>
        <v>0.89743589743589736</v>
      </c>
      <c r="G34" s="178"/>
    </row>
    <row r="37" spans="1:7" x14ac:dyDescent="0.2">
      <c r="A37" s="181" t="s">
        <v>143</v>
      </c>
      <c r="C37">
        <f>B20+C21+D22+E23+F24</f>
        <v>0.94400000000000006</v>
      </c>
    </row>
    <row r="38" spans="1:7" x14ac:dyDescent="0.2">
      <c r="A38" t="s">
        <v>144</v>
      </c>
      <c r="C38" s="180">
        <f>(B20*(B25-B20)+C21*(C25-C21)+D22*(D25-D22)+E23*(E25-E23)+F24*(F25-F24))/50</f>
        <v>2.1552640000000015E-4</v>
      </c>
    </row>
  </sheetData>
  <mergeCells count="2">
    <mergeCell ref="B6:F6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Sampling</vt:lpstr>
      <vt:lpstr>Error Matrix</vt:lpstr>
      <vt:lpstr>OA</vt:lpstr>
      <vt:lpstr>UA PA</vt:lpstr>
      <vt:lpstr>F-score</vt:lpstr>
      <vt:lpstr>Variable Importance</vt:lpstr>
      <vt:lpstr>AA L+J SetA 1995</vt:lpstr>
      <vt:lpstr>AA L+P SetA 2015</vt:lpstr>
      <vt:lpstr>AA L+P SetB 2015</vt:lpstr>
      <vt:lpstr>AA L SetA 1995</vt:lpstr>
      <vt:lpstr>AA L SetA 2015</vt:lpstr>
      <vt:lpstr>AA L SetB 2015</vt:lpstr>
      <vt:lpstr>AA J SetA 1995</vt:lpstr>
      <vt:lpstr>AA P SetA 2015</vt:lpstr>
      <vt:lpstr>AA P SetB 2015</vt:lpstr>
      <vt:lpstr>Change Analysis</vt:lpstr>
      <vt:lpstr>Card 1982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Don Tungol De Alban</dc:creator>
  <cp:keywords/>
  <dc:description/>
  <cp:lastModifiedBy>Jose Don Tungol De Alban</cp:lastModifiedBy>
  <dcterms:created xsi:type="dcterms:W3CDTF">2017-03-31T10:51:26Z</dcterms:created>
  <dcterms:modified xsi:type="dcterms:W3CDTF">2018-01-27T08:52:53Z</dcterms:modified>
  <cp:category/>
</cp:coreProperties>
</file>