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R:\RNASplicing\mfkw2\FluoroTensor 6.6 (Release version)\"/>
    </mc:Choice>
  </mc:AlternateContent>
  <xr:revisionPtr revIDLastSave="0" documentId="13_ncr:1_{9EACC21F-5774-4731-BA76-D2039626A5D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races" sheetId="1" r:id="rId1"/>
    <sheet name="Statistics" sheetId="2" r:id="rId2"/>
    <sheet name="Photons" sheetId="3" r:id="rId3"/>
    <sheet name="Plots" sheetId="4" r:id="rId4"/>
    <sheet name="Colocalization and Par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14" i="2"/>
  <c r="O41" i="4" l="1"/>
  <c r="G41" i="4"/>
  <c r="A3" i="4"/>
  <c r="X35" i="2" l="1"/>
  <c r="X34" i="2"/>
  <c r="X33" i="2"/>
  <c r="X32" i="2"/>
  <c r="X31" i="2"/>
  <c r="X30" i="2"/>
  <c r="X29" i="2"/>
  <c r="W35" i="2"/>
  <c r="W34" i="2"/>
  <c r="W33" i="2"/>
  <c r="W32" i="2"/>
  <c r="W31" i="2"/>
  <c r="W30" i="2"/>
  <c r="W29" i="2"/>
  <c r="V35" i="2"/>
  <c r="V34" i="2"/>
  <c r="V33" i="2"/>
  <c r="V32" i="2"/>
  <c r="V31" i="2"/>
  <c r="V30" i="2"/>
  <c r="V29" i="2"/>
  <c r="U35" i="2"/>
  <c r="U34" i="2"/>
  <c r="U33" i="2"/>
  <c r="U32" i="2"/>
  <c r="U31" i="2"/>
  <c r="U30" i="2"/>
  <c r="U29" i="2"/>
  <c r="T35" i="2"/>
  <c r="T34" i="2"/>
  <c r="T33" i="2"/>
  <c r="T32" i="2"/>
  <c r="T31" i="2"/>
  <c r="T30" i="2"/>
  <c r="T29" i="2"/>
  <c r="S35" i="2"/>
  <c r="S34" i="2"/>
  <c r="S33" i="2"/>
  <c r="S32" i="2"/>
  <c r="S31" i="2"/>
  <c r="S30" i="2"/>
  <c r="S29" i="2"/>
  <c r="R35" i="2"/>
  <c r="R34" i="2"/>
  <c r="R33" i="2"/>
  <c r="R32" i="2"/>
  <c r="R31" i="2"/>
  <c r="R30" i="2"/>
  <c r="R29" i="2"/>
  <c r="X24" i="2"/>
  <c r="X23" i="2"/>
  <c r="X22" i="2"/>
  <c r="X21" i="2"/>
  <c r="X20" i="2"/>
  <c r="X19" i="2"/>
  <c r="X18" i="2"/>
  <c r="W24" i="2"/>
  <c r="W23" i="2"/>
  <c r="W22" i="2"/>
  <c r="W21" i="2"/>
  <c r="W20" i="2"/>
  <c r="W19" i="2"/>
  <c r="W18" i="2"/>
  <c r="V24" i="2"/>
  <c r="V23" i="2"/>
  <c r="V22" i="2"/>
  <c r="V21" i="2"/>
  <c r="V20" i="2"/>
  <c r="V19" i="2"/>
  <c r="V18" i="2"/>
  <c r="U24" i="2"/>
  <c r="U23" i="2"/>
  <c r="U22" i="2"/>
  <c r="U21" i="2"/>
  <c r="U20" i="2"/>
  <c r="U19" i="2"/>
  <c r="U18" i="2"/>
  <c r="T24" i="2"/>
  <c r="T23" i="2"/>
  <c r="T22" i="2"/>
  <c r="T21" i="2"/>
  <c r="T20" i="2"/>
  <c r="T19" i="2"/>
  <c r="T18" i="2"/>
  <c r="S24" i="2"/>
  <c r="S23" i="2"/>
  <c r="S22" i="2"/>
  <c r="S21" i="2"/>
  <c r="S20" i="2"/>
  <c r="S19" i="2"/>
  <c r="S18" i="2"/>
  <c r="R24" i="2"/>
  <c r="R23" i="2"/>
  <c r="R22" i="2"/>
  <c r="R21" i="2"/>
  <c r="R20" i="2"/>
  <c r="R19" i="2"/>
  <c r="R18" i="2"/>
  <c r="U11" i="2"/>
  <c r="U10" i="2"/>
  <c r="U9" i="2"/>
  <c r="U8" i="2"/>
  <c r="U7" i="2"/>
  <c r="U6" i="2"/>
  <c r="U5" i="2"/>
  <c r="R11" i="2"/>
  <c r="R10" i="2"/>
  <c r="R9" i="2"/>
  <c r="R8" i="2"/>
  <c r="R7" i="2"/>
  <c r="R5" i="2"/>
  <c r="R6" i="2"/>
  <c r="C8" i="5" l="1"/>
  <c r="C7" i="5"/>
  <c r="C5" i="5"/>
  <c r="C4" i="5"/>
  <c r="C3" i="5"/>
  <c r="D5" i="5" s="1"/>
  <c r="D4" i="5" l="1"/>
  <c r="I5" i="2"/>
  <c r="I4" i="2" l="1"/>
  <c r="E24" i="2" l="1"/>
  <c r="Q43" i="4" s="1"/>
  <c r="C24" i="2"/>
  <c r="I43" i="4" s="1"/>
  <c r="E25" i="2" l="1"/>
  <c r="E34" i="2"/>
  <c r="C25" i="2"/>
  <c r="C34" i="2"/>
  <c r="J2" i="3"/>
  <c r="J3" i="3"/>
  <c r="J4" i="3"/>
  <c r="J5" i="3"/>
  <c r="J6" i="3"/>
  <c r="J7" i="3"/>
  <c r="J8" i="3"/>
  <c r="J9" i="3"/>
  <c r="J10" i="3"/>
  <c r="I2" i="3"/>
  <c r="I3" i="3"/>
  <c r="I4" i="3"/>
  <c r="I5" i="3"/>
  <c r="I6" i="3"/>
  <c r="I7" i="3"/>
  <c r="I8" i="3"/>
  <c r="I9" i="3"/>
  <c r="I10" i="3"/>
  <c r="H2" i="3"/>
  <c r="H3" i="3"/>
  <c r="H4" i="3"/>
  <c r="H5" i="3"/>
  <c r="H6" i="3"/>
  <c r="H7" i="3"/>
  <c r="H8" i="3"/>
  <c r="H9" i="3"/>
  <c r="H10" i="3"/>
  <c r="J1" i="3"/>
  <c r="I1" i="3"/>
  <c r="H1" i="3"/>
  <c r="C31" i="2" l="1"/>
  <c r="C30" i="2"/>
  <c r="C33" i="2"/>
  <c r="C29" i="2"/>
  <c r="C32" i="2"/>
  <c r="C28" i="2"/>
  <c r="E33" i="2"/>
  <c r="E29" i="2"/>
  <c r="E32" i="2"/>
  <c r="E28" i="2"/>
  <c r="E31" i="2"/>
  <c r="E30" i="2"/>
</calcChain>
</file>

<file path=xl/sharedStrings.xml><?xml version="1.0" encoding="utf-8"?>
<sst xmlns="http://schemas.openxmlformats.org/spreadsheetml/2006/main" count="138" uniqueCount="100">
  <si>
    <t>FLUOROPHORE</t>
  </si>
  <si>
    <t>STEP COUNT</t>
  </si>
  <si>
    <t>TRACE LENGTH</t>
  </si>
  <si>
    <t>WEIGHTED ACTIVATION</t>
  </si>
  <si>
    <t>PREDICTION CONFIDENCE</t>
  </si>
  <si>
    <t>MEAN DEVIATION</t>
  </si>
  <si>
    <t>STEP POSITIONS</t>
  </si>
  <si>
    <t>STEP HEIGHTS</t>
  </si>
  <si>
    <t>TRACE NUMBER</t>
  </si>
  <si>
    <t>TRACES / FITS</t>
  </si>
  <si>
    <t>5+</t>
  </si>
  <si>
    <t>U.D.</t>
  </si>
  <si>
    <t>Intensity (a.u.) x Lifetime (frames)</t>
  </si>
  <si>
    <t>B = Cy5, C = mCherry, D  = GFP</t>
  </si>
  <si>
    <t>frequency</t>
  </si>
  <si>
    <t>total:</t>
  </si>
  <si>
    <t>fraction</t>
  </si>
  <si>
    <t>ABS</t>
  </si>
  <si>
    <t>Normalised to population</t>
  </si>
  <si>
    <t>Marker steps</t>
  </si>
  <si>
    <t>average 488 steps</t>
  </si>
  <si>
    <t>average 561 steps</t>
  </si>
  <si>
    <t>single marker step ----&gt;</t>
  </si>
  <si>
    <t>561 steps</t>
  </si>
  <si>
    <t>488 steps</t>
  </si>
  <si>
    <t xml:space="preserve">total (nonzero): </t>
  </si>
  <si>
    <t>Number of 561-488 coloc. (single marker step)</t>
  </si>
  <si>
    <t>Number of 561-488 coloc. (2 marker steps)</t>
  </si>
  <si>
    <t>Number of 561-488 coloc. (marker ≠ 1 step)</t>
  </si>
  <si>
    <t>Laser</t>
  </si>
  <si>
    <t>Fluorophore</t>
  </si>
  <si>
    <t>488nm</t>
  </si>
  <si>
    <t>561nm</t>
  </si>
  <si>
    <t>Marker</t>
  </si>
  <si>
    <t>ORIGINAL XL COLUMN / SPOT</t>
  </si>
  <si>
    <t>Marker Spots (Total)</t>
  </si>
  <si>
    <t>Secondary Spots - 561nm (Total)</t>
  </si>
  <si>
    <t>SPOT PICKING PARAMETERS</t>
  </si>
  <si>
    <t>Secondary Spots - 488nm (Total)</t>
  </si>
  <si>
    <t>TOTAL</t>
  </si>
  <si>
    <t>COLOC %</t>
  </si>
  <si>
    <t>Detection threshold</t>
  </si>
  <si>
    <t>Averaging threshold</t>
  </si>
  <si>
    <t>Kernel residual threshold</t>
  </si>
  <si>
    <t>Minimum sigma</t>
  </si>
  <si>
    <t>Maximum sigma</t>
  </si>
  <si>
    <t>Absolute intensity threshold</t>
  </si>
  <si>
    <t>Gaussian amplitude threshold</t>
  </si>
  <si>
    <t>Eccentricity threshold</t>
  </si>
  <si>
    <t>Gaussian residual threshold</t>
  </si>
  <si>
    <t>Marker Steps</t>
  </si>
  <si>
    <t>561nm steps</t>
  </si>
  <si>
    <t>488nm steps</t>
  </si>
  <si>
    <t>Total markers:</t>
  </si>
  <si>
    <t>unless single filter</t>
  </si>
  <si>
    <t>is disabled</t>
  </si>
  <si>
    <t>Secondary Spots - 488nm (Coloc.)</t>
  </si>
  <si>
    <t>Secondary Spots - 561nm (Coloc.)</t>
  </si>
  <si>
    <t>Frequency</t>
  </si>
  <si>
    <t xml:space="preserve">               5+</t>
  </si>
  <si>
    <t xml:space="preserve">           U.D.</t>
  </si>
  <si>
    <t>1 Marker Step</t>
  </si>
  <si>
    <t>VIEW PREFERENCES</t>
  </si>
  <si>
    <t>Sum view frame fraction</t>
  </si>
  <si>
    <t>Intensity target</t>
  </si>
  <si>
    <t>CALIBRATION</t>
  </si>
  <si>
    <t>Calibration Date (YYYYMMDD)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</si>
  <si>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</si>
  <si>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Y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</si>
  <si>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C</t>
    </r>
  </si>
  <si>
    <r>
      <t>Y</t>
    </r>
    <r>
      <rPr>
        <vertAlign val="subscript"/>
        <sz val="11"/>
        <color theme="1"/>
        <rFont val="Calibri"/>
        <family val="2"/>
        <scheme val="minor"/>
      </rPr>
      <t>C</t>
    </r>
  </si>
  <si>
    <r>
      <t>SF</t>
    </r>
    <r>
      <rPr>
        <vertAlign val="subscript"/>
        <sz val="11"/>
        <color theme="1"/>
        <rFont val="Calibri"/>
        <family val="2"/>
        <scheme val="minor"/>
      </rPr>
      <t>x</t>
    </r>
  </si>
  <si>
    <r>
      <t>SF</t>
    </r>
    <r>
      <rPr>
        <vertAlign val="subscript"/>
        <sz val="11"/>
        <color theme="1"/>
        <rFont val="Calibri"/>
        <family val="2"/>
        <scheme val="minor"/>
      </rPr>
      <t>y</t>
    </r>
  </si>
  <si>
    <t>Colocalization threshold (pixels)</t>
  </si>
  <si>
    <t>TRIPLE COLOC. LIST</t>
  </si>
  <si>
    <t xml:space="preserve">                                           5+</t>
  </si>
  <si>
    <t xml:space="preserve">                                       U.D.</t>
  </si>
  <si>
    <t>Single Step Markers:</t>
  </si>
  <si>
    <t>Used for coloc. Distribs</t>
  </si>
  <si>
    <t>Spot x</t>
  </si>
  <si>
    <t>Spot y</t>
  </si>
  <si>
    <t>Sigma x</t>
  </si>
  <si>
    <t>Sigma y</t>
  </si>
  <si>
    <t>Residual</t>
  </si>
  <si>
    <t>OPTIMISED CALIBRATION    -----&gt;</t>
  </si>
  <si>
    <t>Xc</t>
  </si>
  <si>
    <t>Yc</t>
  </si>
  <si>
    <t>SFx</t>
  </si>
  <si>
    <t>SFy</t>
  </si>
  <si>
    <t>Dynamically optimised calibration</t>
  </si>
  <si>
    <t>parameters will be shown here</t>
  </si>
  <si>
    <t xml:space="preserve">                    -----&gt;</t>
  </si>
  <si>
    <t>BACKGROUND SUBTRACTION</t>
  </si>
  <si>
    <t xml:space="preserve">FILENAME </t>
  </si>
  <si>
    <t>MARKER</t>
  </si>
  <si>
    <t>ENHANCEMENT</t>
  </si>
  <si>
    <t>AV. MODE ENABLED</t>
  </si>
  <si>
    <t>(Contrast if using wavelets)</t>
  </si>
  <si>
    <t>NEURAL NETWORKS USED</t>
  </si>
  <si>
    <t>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</si>
</sst>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56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EFE9D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10" fontId="0" fillId="3" borderId="3" xfId="0" applyNumberFormat="1" applyFill="1" applyBorder="1"/>
    <xf numFmtId="0" fontId="0" fillId="0" borderId="0" xfId="0" applyBorder="1"/>
    <xf numFmtId="10" fontId="0" fillId="0" borderId="3" xfId="0" applyNumberFormat="1" applyFill="1" applyBorder="1"/>
    <xf numFmtId="0" fontId="0" fillId="4" borderId="3" xfId="0" applyFill="1" applyBorder="1"/>
    <xf numFmtId="10" fontId="0" fillId="4" borderId="3" xfId="0" applyNumberFormat="1" applyFill="1" applyBorder="1"/>
    <xf numFmtId="0" fontId="0" fillId="0" borderId="3" xfId="0" applyFill="1" applyBorder="1"/>
    <xf numFmtId="10" fontId="0" fillId="0" borderId="0" xfId="0" applyNumberFormat="1" applyFill="1" applyBorder="1"/>
    <xf numFmtId="0" fontId="0" fillId="4" borderId="4" xfId="0" applyFill="1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4" borderId="7" xfId="0" applyFill="1" applyBorder="1"/>
    <xf numFmtId="0" fontId="0" fillId="0" borderId="8" xfId="0" applyBorder="1"/>
    <xf numFmtId="0" fontId="0" fillId="0" borderId="0" xfId="0" applyFill="1" applyBorder="1"/>
    <xf numFmtId="0" fontId="0" fillId="2" borderId="4" xfId="0" applyFill="1" applyBorder="1"/>
    <xf numFmtId="0" fontId="0" fillId="3" borderId="12" xfId="0" applyFill="1" applyBorder="1"/>
    <xf numFmtId="0" fontId="0" fillId="3" borderId="9" xfId="0" applyFill="1" applyBorder="1"/>
    <xf numFmtId="0" fontId="0" fillId="4" borderId="13" xfId="0" applyFill="1" applyBorder="1"/>
    <xf numFmtId="0" fontId="0" fillId="2" borderId="14" xfId="0" applyFill="1" applyBorder="1"/>
    <xf numFmtId="0" fontId="0" fillId="0" borderId="15" xfId="0" applyBorder="1"/>
    <xf numFmtId="0" fontId="0" fillId="6" borderId="3" xfId="0" applyFill="1" applyBorder="1"/>
    <xf numFmtId="0" fontId="0" fillId="5" borderId="3" xfId="0" applyFill="1" applyBorder="1"/>
    <xf numFmtId="0" fontId="0" fillId="0" borderId="0" xfId="0" applyFont="1"/>
    <xf numFmtId="0" fontId="0" fillId="7" borderId="0" xfId="0" applyFill="1"/>
    <xf numFmtId="2" fontId="0" fillId="7" borderId="0" xfId="0" applyNumberFormat="1" applyFill="1"/>
    <xf numFmtId="0" fontId="1" fillId="0" borderId="0" xfId="0" applyFont="1" applyFill="1" applyBorder="1"/>
    <xf numFmtId="0" fontId="0" fillId="8" borderId="16" xfId="0" applyFill="1" applyBorder="1" applyAlignment="1">
      <alignment vertical="top"/>
    </xf>
    <xf numFmtId="0" fontId="0" fillId="8" borderId="17" xfId="0" applyFill="1" applyBorder="1"/>
    <xf numFmtId="0" fontId="0" fillId="8" borderId="18" xfId="0" applyFill="1" applyBorder="1" applyAlignment="1">
      <alignment vertical="top"/>
    </xf>
    <xf numFmtId="0" fontId="0" fillId="8" borderId="3" xfId="0" applyFill="1" applyBorder="1"/>
    <xf numFmtId="0" fontId="0" fillId="2" borderId="19" xfId="0" applyFill="1" applyBorder="1"/>
    <xf numFmtId="0" fontId="0" fillId="4" borderId="19" xfId="0" applyFill="1" applyBorder="1"/>
    <xf numFmtId="0" fontId="0" fillId="3" borderId="1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03E39E"/>
      <color rgb="FF00FF99"/>
      <color rgb="FFFF4F4F"/>
      <color rgb="FFFFCC00"/>
      <color rgb="FF0EFE9D"/>
      <color rgb="FF00CCFF"/>
      <color rgb="FF00FFFF"/>
      <color rgb="FF99FF3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561-488</a:t>
            </a:r>
            <a:r>
              <a:rPr lang="en-GB" baseline="0"/>
              <a:t> colocalisation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Single marker</c:v>
              </c:pt>
              <c:pt idx="1">
                <c:v>2 marker steps</c:v>
              </c:pt>
              <c:pt idx="2">
                <c:v>marker ≠ 1 step</c:v>
              </c:pt>
            </c:strLit>
          </c:cat>
          <c:val>
            <c:numRef>
              <c:f>Statistics!$H$4:$H$6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9AC-4AE8-BB3C-BCF33B18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171784"/>
        <c:axId val="463178344"/>
        <c:axId val="0"/>
      </c:bar3DChart>
      <c:catAx>
        <c:axId val="46317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78344"/>
        <c:crosses val="autoZero"/>
        <c:auto val="1"/>
        <c:lblAlgn val="ctr"/>
        <c:lblOffset val="100"/>
        <c:noMultiLvlLbl val="0"/>
      </c:catAx>
      <c:valAx>
        <c:axId val="4631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7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Distribution of number of marker steps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5172622652938"/>
          <c:y val="0.14118399651565572"/>
          <c:w val="0.85014314556834247"/>
          <c:h val="0.659353173225899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4F4F"/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UpDiag">
                <a:fgClr>
                  <a:srgbClr val="FF4F4F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4-420D-AEAB-E658A60336E6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4F4F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94-420D-AEAB-E658A60336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Statistics!$B$5:$B$11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5+</c:v>
                </c:pt>
                <c:pt idx="6">
                  <c:v>U.D.</c:v>
                </c:pt>
              </c:strCache>
            </c:strRef>
          </c:cat>
          <c:val>
            <c:numRef>
              <c:f>Statistics!$C$5:$C$11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A9F-4341-8D89-6491B40FC2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18"/>
        <c:axId val="484272704"/>
        <c:axId val="484263192"/>
      </c:barChart>
      <c:catAx>
        <c:axId val="48427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Marker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3192"/>
        <c:crosses val="autoZero"/>
        <c:auto val="1"/>
        <c:lblAlgn val="ctr"/>
        <c:lblOffset val="100"/>
        <c:noMultiLvlLbl val="0"/>
      </c:catAx>
      <c:valAx>
        <c:axId val="4842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561 visible</a:t>
            </a:r>
            <a:r>
              <a:rPr lang="en-GB" sz="1600" baseline="0"/>
              <a:t> steps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9933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UpDiag">
                <a:fgClr>
                  <a:srgbClr val="FF9933"/>
                </a:fgClr>
                <a:bgClr>
                  <a:schemeClr val="bg1"/>
                </a:bgClr>
              </a:patt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DF-40E0-9ABF-8624F413B1F4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9933"/>
                </a:fgClr>
                <a:bgClr>
                  <a:schemeClr val="bg1"/>
                </a:bgClr>
              </a:patt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F-40E0-9ABF-8624F413B1F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8F16D9C-015C-4507-836E-7853E21340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DDF-40E0-9ABF-8624F413B1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361F93-BB77-4857-8AA4-346E0AEB78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DF-40E0-9ABF-8624F413B1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B571A1-7695-470B-8A21-674861DEC3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DDF-40E0-9ABF-8624F413B1F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BEB88C-36E2-4F03-9645-CA23749529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DDF-40E0-9ABF-8624F413B1F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B05F81-9A44-4D13-AF11-0008A1A342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DDF-40E0-9ABF-8624F413B1F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EA063D8-C831-4F31-99A6-5D3F1EE039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DDF-40E0-9ABF-8624F413B1F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376EFF-9119-4B2B-A361-C86360607A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DF-40E0-9ABF-8624F413B1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Statistics!$B$16:$B$22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  <c:pt idx="5">
                  <c:v>U.D.</c:v>
                </c:pt>
                <c:pt idx="6">
                  <c:v>0</c:v>
                </c:pt>
              </c:strCache>
            </c:strRef>
          </c:cat>
          <c:val>
            <c:numRef>
              <c:f>Statistics!$C$28:$C$34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Statistics!$C$16:$C$22</c15:f>
                <c15:dlblRangeCache>
                  <c:ptCount val="7"/>
                </c15:dlblRangeCache>
              </c15:datalabelsRange>
            </c:ext>
            <c:ext xmlns:c16="http://schemas.microsoft.com/office/drawing/2014/chart" uri="{C3380CC4-5D6E-409C-BE32-E72D297353CC}">
              <c16:uniqueId val="{00000000-8B07-4EA3-9D36-FFA353428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18"/>
        <c:axId val="484272704"/>
        <c:axId val="484263192"/>
      </c:barChart>
      <c:catAx>
        <c:axId val="48427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mCherry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3192"/>
        <c:crosses val="autoZero"/>
        <c:auto val="1"/>
        <c:lblAlgn val="ctr"/>
        <c:lblOffset val="100"/>
        <c:noMultiLvlLbl val="0"/>
      </c:catAx>
      <c:valAx>
        <c:axId val="4842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488 visible</a:t>
            </a:r>
            <a:r>
              <a:rPr lang="en-GB" sz="1600" baseline="0"/>
              <a:t> steps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3E39E"/>
            </a:solidFill>
            <a:ln>
              <a:solidFill>
                <a:srgbClr val="00B050"/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UpDiag">
                <a:fgClr>
                  <a:srgbClr val="03E39E"/>
                </a:fgClr>
                <a:bgClr>
                  <a:schemeClr val="bg1"/>
                </a:bgClr>
              </a:patt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7B-45FE-AE5D-43A95981B1AD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03E39E"/>
                </a:fgClr>
                <a:bgClr>
                  <a:schemeClr val="bg1"/>
                </a:bgClr>
              </a:patt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7B-45FE-AE5D-43A95981B1A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CD61E0A-2DE6-4F19-9904-554C82E91A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7B-45FE-AE5D-43A95981B1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7101CB-722A-4371-B6EC-5BDC96A367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7B-45FE-AE5D-43A95981B1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09977A-5C21-4987-8261-BCC989E27D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47B-45FE-AE5D-43A95981B1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622465-7D2C-4CAC-950C-79B3AA1721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7B-45FE-AE5D-43A95981B1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129D6E-1B75-4270-BC60-DFDA69E6DCA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47B-45FE-AE5D-43A95981B1A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49071F-2584-4FCA-8995-D6B78D114B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47B-45FE-AE5D-43A95981B1A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8161A8-0A3D-44DD-AEF0-28B3CAC5B5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7B-45FE-AE5D-43A95981B1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Statistics!$D$28:$D$34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  <c:pt idx="5">
                  <c:v>U.D.</c:v>
                </c:pt>
                <c:pt idx="6">
                  <c:v>0</c:v>
                </c:pt>
              </c:strCache>
            </c:strRef>
          </c:cat>
          <c:val>
            <c:numRef>
              <c:f>Statistics!$E$28:$E$34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Statistics!$E$16:$E$22</c15:f>
                <c15:dlblRangeCache>
                  <c:ptCount val="7"/>
                </c15:dlblRangeCache>
              </c15:datalabelsRange>
            </c:ext>
            <c:ext xmlns:c16="http://schemas.microsoft.com/office/drawing/2014/chart" uri="{C3380CC4-5D6E-409C-BE32-E72D297353CC}">
              <c16:uniqueId val="{00000000-DB69-4C4D-8AF5-5378277454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18"/>
        <c:axId val="484272704"/>
        <c:axId val="484263192"/>
      </c:barChart>
      <c:catAx>
        <c:axId val="48427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GFP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3192"/>
        <c:crosses val="autoZero"/>
        <c:auto val="1"/>
        <c:lblAlgn val="ctr"/>
        <c:lblOffset val="100"/>
        <c:noMultiLvlLbl val="0"/>
      </c:catAx>
      <c:valAx>
        <c:axId val="4842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7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561nm</a:t>
            </a:r>
            <a:r>
              <a:rPr lang="en-GB" baseline="0"/>
              <a:t> - 488nm Colocalization Step Correlation (All Markers)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90"/>
      <c:depthPercent val="4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174614042809868E-2"/>
          <c:y val="0.11342510376486402"/>
          <c:w val="0.92602598588219964"/>
          <c:h val="0.75078493360902832"/>
        </c:manualLayout>
      </c:layout>
      <c:bar3DChart>
        <c:barDir val="col"/>
        <c:grouping val="standard"/>
        <c:varyColors val="0"/>
        <c:ser>
          <c:idx val="0"/>
          <c:order val="0"/>
          <c:tx>
            <c:v>1</c:v>
          </c:tx>
          <c:spPr>
            <a:solidFill>
              <a:srgbClr val="FF993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5+</c:v>
              </c:pt>
              <c:pt idx="5">
                <c:v>U.D.</c:v>
              </c:pt>
              <c:pt idx="6">
                <c:v>0</c:v>
              </c:pt>
            </c:strLit>
          </c:cat>
          <c:val>
            <c:numRef>
              <c:f>Statistics!$R$18:$R$24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C-4F44-AF7B-E7E2F96CED28}"/>
            </c:ext>
          </c:extLst>
        </c:ser>
        <c:ser>
          <c:idx val="1"/>
          <c:order val="1"/>
          <c:tx>
            <c:v>2</c:v>
          </c:tx>
          <c:spPr>
            <a:solidFill>
              <a:srgbClr val="FFCC00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5+</c:v>
              </c:pt>
              <c:pt idx="5">
                <c:v>U.D.</c:v>
              </c:pt>
              <c:pt idx="6">
                <c:v>0</c:v>
              </c:pt>
            </c:strLit>
          </c:cat>
          <c:val>
            <c:numRef>
              <c:f>Statistics!$S$18:$S$24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C-4F44-AF7B-E7E2F96CED28}"/>
            </c:ext>
          </c:extLst>
        </c:ser>
        <c:ser>
          <c:idx val="2"/>
          <c:order val="2"/>
          <c:tx>
            <c:v>3</c:v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5+</c:v>
              </c:pt>
              <c:pt idx="5">
                <c:v>U.D.</c:v>
              </c:pt>
              <c:pt idx="6">
                <c:v>0</c:v>
              </c:pt>
            </c:strLit>
          </c:cat>
          <c:val>
            <c:numRef>
              <c:f>Statistics!$T$18:$T$24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C-4F44-AF7B-E7E2F96CED28}"/>
            </c:ext>
          </c:extLst>
        </c:ser>
        <c:ser>
          <c:idx val="3"/>
          <c:order val="3"/>
          <c:tx>
            <c:v>4</c:v>
          </c:tx>
          <c:spPr>
            <a:solidFill>
              <a:srgbClr val="00FF99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5+</c:v>
              </c:pt>
              <c:pt idx="5">
                <c:v>U.D.</c:v>
              </c:pt>
              <c:pt idx="6">
                <c:v>0</c:v>
              </c:pt>
            </c:strLit>
          </c:cat>
          <c:val>
            <c:numRef>
              <c:f>Statistics!$U$18:$U$24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C-4F44-AF7B-E7E2F96CED28}"/>
            </c:ext>
          </c:extLst>
        </c:ser>
        <c:ser>
          <c:idx val="4"/>
          <c:order val="4"/>
          <c:tx>
            <c:v>5</c:v>
          </c:tx>
          <c:spPr>
            <a:solidFill>
              <a:srgbClr val="00CCFF"/>
            </a:solidFill>
            <a:ln>
              <a:noFill/>
            </a:ln>
            <a:effectLst/>
            <a:sp3d/>
          </c:spPr>
          <c:invertIfNegative val="0"/>
          <c:val>
            <c:numRef>
              <c:f>Statistics!$V$18:$V$24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BC-4F44-AF7B-E7E2F96CED28}"/>
            </c:ext>
          </c:extLst>
        </c:ser>
        <c:ser>
          <c:idx val="5"/>
          <c:order val="5"/>
          <c:tx>
            <c:v>U.D.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Statistics!$W$18:$W$24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C-4F44-AF7B-E7E2F96CED28}"/>
            </c:ext>
          </c:extLst>
        </c:ser>
        <c:ser>
          <c:idx val="6"/>
          <c:order val="6"/>
          <c:tx>
            <c:v>0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Statistics!$X$18:$X$24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BC-4F44-AF7B-E7E2F96C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3"/>
        <c:gapDepth val="182"/>
        <c:shape val="box"/>
        <c:axId val="442564504"/>
        <c:axId val="442564832"/>
        <c:axId val="340185432"/>
      </c:bar3DChart>
      <c:catAx>
        <c:axId val="4425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561 steps</a:t>
                </a:r>
              </a:p>
            </c:rich>
          </c:tx>
          <c:layout>
            <c:manualLayout>
              <c:xMode val="edge"/>
              <c:yMode val="edge"/>
              <c:x val="0.34167085636034628"/>
              <c:y val="0.92524113878040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832"/>
        <c:crosses val="autoZero"/>
        <c:auto val="1"/>
        <c:lblAlgn val="ctr"/>
        <c:lblOffset val="100"/>
        <c:noMultiLvlLbl val="0"/>
      </c:catAx>
      <c:valAx>
        <c:axId val="4425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Frequency</a:t>
                </a:r>
              </a:p>
            </c:rich>
          </c:tx>
          <c:layout>
            <c:manualLayout>
              <c:xMode val="edge"/>
              <c:yMode val="edge"/>
              <c:x val="1.6844198822973219E-2"/>
              <c:y val="0.5530837614880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504"/>
        <c:crosses val="autoZero"/>
        <c:crossBetween val="between"/>
        <c:majorUnit val="1"/>
      </c:valAx>
      <c:serAx>
        <c:axId val="3401854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488 steps</a:t>
                </a:r>
              </a:p>
            </c:rich>
          </c:tx>
          <c:layout>
            <c:manualLayout>
              <c:xMode val="edge"/>
              <c:yMode val="edge"/>
              <c:x val="0.85842226243458686"/>
              <c:y val="0.68814531728317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8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rgbClr val="FF0000"/>
                </a:solidFill>
              </a:rPr>
              <a:t>561nm</a:t>
            </a:r>
            <a:r>
              <a:rPr lang="en-GB" baseline="0">
                <a:solidFill>
                  <a:srgbClr val="FF0000"/>
                </a:solidFill>
              </a:rPr>
              <a:t> - 488nm Colocalization Step Correlation (Single Step Markers)</a:t>
            </a:r>
            <a:endParaRPr lang="en-GB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90"/>
      <c:depthPercent val="4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174614042809868E-2"/>
          <c:y val="0.11342510376486402"/>
          <c:w val="0.92602598588219964"/>
          <c:h val="0.75078493360902832"/>
        </c:manualLayout>
      </c:layout>
      <c:bar3DChart>
        <c:barDir val="col"/>
        <c:grouping val="standard"/>
        <c:varyColors val="0"/>
        <c:ser>
          <c:idx val="0"/>
          <c:order val="0"/>
          <c:tx>
            <c:v>1</c:v>
          </c:tx>
          <c:spPr>
            <a:solidFill>
              <a:srgbClr val="FF993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5+</c:v>
              </c:pt>
              <c:pt idx="5">
                <c:v>U.D.</c:v>
              </c:pt>
              <c:pt idx="6">
                <c:v>0</c:v>
              </c:pt>
            </c:strLit>
          </c:cat>
          <c:val>
            <c:numRef>
              <c:f>Statistics!$R$29:$R$35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C-4D13-87C2-CC9475DB8788}"/>
            </c:ext>
          </c:extLst>
        </c:ser>
        <c:ser>
          <c:idx val="1"/>
          <c:order val="1"/>
          <c:tx>
            <c:v>2</c:v>
          </c:tx>
          <c:spPr>
            <a:solidFill>
              <a:srgbClr val="FFCC00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5+</c:v>
              </c:pt>
              <c:pt idx="5">
                <c:v>U.D.</c:v>
              </c:pt>
              <c:pt idx="6">
                <c:v>0</c:v>
              </c:pt>
            </c:strLit>
          </c:cat>
          <c:val>
            <c:numRef>
              <c:f>Statistics!$S$29:$S$35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C-4D13-87C2-CC9475DB8788}"/>
            </c:ext>
          </c:extLst>
        </c:ser>
        <c:ser>
          <c:idx val="2"/>
          <c:order val="2"/>
          <c:tx>
            <c:v>3</c:v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5+</c:v>
              </c:pt>
              <c:pt idx="5">
                <c:v>U.D.</c:v>
              </c:pt>
              <c:pt idx="6">
                <c:v>0</c:v>
              </c:pt>
            </c:strLit>
          </c:cat>
          <c:val>
            <c:numRef>
              <c:f>Statistics!$T$29:$T$35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C-4D13-87C2-CC9475DB8788}"/>
            </c:ext>
          </c:extLst>
        </c:ser>
        <c:ser>
          <c:idx val="3"/>
          <c:order val="3"/>
          <c:tx>
            <c:v>4</c:v>
          </c:tx>
          <c:spPr>
            <a:solidFill>
              <a:srgbClr val="00FF99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5+</c:v>
              </c:pt>
              <c:pt idx="5">
                <c:v>U.D.</c:v>
              </c:pt>
              <c:pt idx="6">
                <c:v>0</c:v>
              </c:pt>
            </c:strLit>
          </c:cat>
          <c:val>
            <c:numRef>
              <c:f>Statistics!$U$29:$U$35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C-4D13-87C2-CC9475DB8788}"/>
            </c:ext>
          </c:extLst>
        </c:ser>
        <c:ser>
          <c:idx val="4"/>
          <c:order val="4"/>
          <c:tx>
            <c:v>5</c:v>
          </c:tx>
          <c:spPr>
            <a:solidFill>
              <a:srgbClr val="00CCFF"/>
            </a:solidFill>
            <a:ln>
              <a:noFill/>
            </a:ln>
            <a:effectLst/>
            <a:sp3d/>
          </c:spPr>
          <c:invertIfNegative val="0"/>
          <c:val>
            <c:numRef>
              <c:f>Statistics!$V$29:$V$35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C-4D13-87C2-CC9475DB8788}"/>
            </c:ext>
          </c:extLst>
        </c:ser>
        <c:ser>
          <c:idx val="5"/>
          <c:order val="5"/>
          <c:tx>
            <c:v>U.D.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Statistics!$W$29:$W$35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8C-4D13-87C2-CC9475DB8788}"/>
            </c:ext>
          </c:extLst>
        </c:ser>
        <c:ser>
          <c:idx val="6"/>
          <c:order val="6"/>
          <c:tx>
            <c:v>0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Statistics!$X$29:$X$35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8C-4D13-87C2-CC9475DB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3"/>
        <c:gapDepth val="182"/>
        <c:shape val="box"/>
        <c:axId val="442564504"/>
        <c:axId val="442564832"/>
        <c:axId val="340185432"/>
      </c:bar3DChart>
      <c:catAx>
        <c:axId val="4425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561 steps</a:t>
                </a:r>
              </a:p>
            </c:rich>
          </c:tx>
          <c:layout>
            <c:manualLayout>
              <c:xMode val="edge"/>
              <c:yMode val="edge"/>
              <c:x val="0.34167085636034628"/>
              <c:y val="0.92524113878040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832"/>
        <c:crosses val="autoZero"/>
        <c:auto val="1"/>
        <c:lblAlgn val="ctr"/>
        <c:lblOffset val="100"/>
        <c:noMultiLvlLbl val="0"/>
      </c:catAx>
      <c:valAx>
        <c:axId val="4425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Frequency</a:t>
                </a:r>
              </a:p>
            </c:rich>
          </c:tx>
          <c:layout>
            <c:manualLayout>
              <c:xMode val="edge"/>
              <c:yMode val="edge"/>
              <c:x val="1.6844198822973219E-2"/>
              <c:y val="0.5530837614880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504"/>
        <c:crosses val="autoZero"/>
        <c:crossBetween val="between"/>
        <c:majorUnit val="1"/>
      </c:valAx>
      <c:serAx>
        <c:axId val="3401854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488 steps</a:t>
                </a:r>
              </a:p>
            </c:rich>
          </c:tx>
          <c:layout>
            <c:manualLayout>
              <c:xMode val="edge"/>
              <c:yMode val="edge"/>
              <c:x val="0.85842226243458686"/>
              <c:y val="0.68814531728317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48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Marker Photon flux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Photons!$E$1:$E$10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FD74-4FB8-8B8F-C7C6D528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27663640"/>
        <c:axId val="327663968"/>
      </c:barChart>
      <c:catAx>
        <c:axId val="32766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 flux bins (A.U. x10-3)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3968"/>
        <c:crosses val="autoZero"/>
        <c:auto val="1"/>
        <c:lblAlgn val="ctr"/>
        <c:lblOffset val="100"/>
        <c:noMultiLvlLbl val="0"/>
      </c:catAx>
      <c:valAx>
        <c:axId val="3276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561 Photon flux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Photons!$F$1:$F$10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FCA-4C64-81D2-222E97D7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27663640"/>
        <c:axId val="327663968"/>
      </c:barChart>
      <c:catAx>
        <c:axId val="32766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 flux bins (A.U. x10-3)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3968"/>
        <c:crosses val="autoZero"/>
        <c:auto val="1"/>
        <c:lblAlgn val="ctr"/>
        <c:lblOffset val="100"/>
        <c:noMultiLvlLbl val="0"/>
      </c:catAx>
      <c:valAx>
        <c:axId val="3276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488 Photon flux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Photons!$G$1:$G$10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98E-452D-B633-3CA34CA97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327663640"/>
        <c:axId val="327663968"/>
      </c:barChart>
      <c:catAx>
        <c:axId val="32766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 flux bins (A.U. x10-3)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3968"/>
        <c:crosses val="autoZero"/>
        <c:auto val="1"/>
        <c:lblAlgn val="ctr"/>
        <c:lblOffset val="100"/>
        <c:noMultiLvlLbl val="0"/>
      </c:catAx>
      <c:valAx>
        <c:axId val="3276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66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Marker log Photon flux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Photons!$H$1:$H$10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0-474C-9914-AC5BF06AE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01376"/>
        <c:axId val="329802032"/>
      </c:scatterChart>
      <c:valAx>
        <c:axId val="3298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</a:t>
                </a:r>
                <a:r>
                  <a:rPr lang="en-GB" baseline="0"/>
                  <a:t> flux bins (A.U.) x10-3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2032"/>
        <c:crosses val="autoZero"/>
        <c:crossBetween val="midCat"/>
      </c:valAx>
      <c:valAx>
        <c:axId val="3298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log(Frequncy)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561 log Photon flux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Photons!$I$1:$I$10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C-4A80-B35A-D9EDDDE9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01376"/>
        <c:axId val="329802032"/>
      </c:scatterChart>
      <c:valAx>
        <c:axId val="3298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</a:t>
                </a:r>
                <a:r>
                  <a:rPr lang="en-GB" baseline="0"/>
                  <a:t> flux bins (A.U.) x10-3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2032"/>
        <c:crosses val="autoZero"/>
        <c:crossBetween val="midCat"/>
      </c:valAx>
      <c:valAx>
        <c:axId val="3298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log(Frequncy)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488 log Photon flux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Photons!$J$1:$J$10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A-4B00-B602-1D3D4A21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01376"/>
        <c:axId val="329802032"/>
      </c:scatterChart>
      <c:valAx>
        <c:axId val="3298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</a:t>
                </a:r>
                <a:r>
                  <a:rPr lang="en-GB" baseline="0"/>
                  <a:t> flux bins (A.U.) x10-3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2032"/>
        <c:crosses val="autoZero"/>
        <c:crossBetween val="midCat"/>
      </c:valAx>
      <c:valAx>
        <c:axId val="3298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log(Frequncy)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9</xdr:row>
      <xdr:rowOff>66675</xdr:rowOff>
    </xdr:from>
    <xdr:to>
      <xdr:col>9</xdr:col>
      <xdr:colOff>438150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1</xdr:row>
      <xdr:rowOff>0</xdr:rowOff>
    </xdr:from>
    <xdr:to>
      <xdr:col>37</xdr:col>
      <xdr:colOff>380999</xdr:colOff>
      <xdr:row>22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</xdr:colOff>
      <xdr:row>23</xdr:row>
      <xdr:rowOff>161925</xdr:rowOff>
    </xdr:from>
    <xdr:to>
      <xdr:col>37</xdr:col>
      <xdr:colOff>390525</xdr:colOff>
      <xdr:row>45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38100</xdr:rowOff>
    </xdr:from>
    <xdr:to>
      <xdr:col>15</xdr:col>
      <xdr:colOff>342900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447675</xdr:colOff>
      <xdr:row>0</xdr:row>
      <xdr:rowOff>38101</xdr:rowOff>
    </xdr:from>
    <xdr:to>
      <xdr:col>21</xdr:col>
      <xdr:colOff>95250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0</xdr:row>
      <xdr:rowOff>38100</xdr:rowOff>
    </xdr:from>
    <xdr:to>
      <xdr:col>26</xdr:col>
      <xdr:colOff>457200</xdr:colOff>
      <xdr:row>13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</xdr:colOff>
      <xdr:row>16</xdr:row>
      <xdr:rowOff>95249</xdr:rowOff>
    </xdr:from>
    <xdr:to>
      <xdr:col>11</xdr:col>
      <xdr:colOff>342900</xdr:colOff>
      <xdr:row>34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352425</xdr:colOff>
      <xdr:row>16</xdr:row>
      <xdr:rowOff>95250</xdr:rowOff>
    </xdr:from>
    <xdr:to>
      <xdr:col>19</xdr:col>
      <xdr:colOff>38100</xdr:colOff>
      <xdr:row>34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</xdr:colOff>
      <xdr:row>16</xdr:row>
      <xdr:rowOff>95250</xdr:rowOff>
    </xdr:from>
    <xdr:to>
      <xdr:col>26</xdr:col>
      <xdr:colOff>342900</xdr:colOff>
      <xdr:row>34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191559</xdr:colOff>
      <xdr:row>0</xdr:row>
      <xdr:rowOff>170126</xdr:rowOff>
    </xdr:from>
    <xdr:to>
      <xdr:col>11</xdr:col>
      <xdr:colOff>267759</xdr:colOff>
      <xdr:row>19</xdr:row>
      <xdr:rowOff>77258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186796</xdr:colOff>
      <xdr:row>20</xdr:row>
      <xdr:rowOff>94720</xdr:rowOff>
    </xdr:from>
    <xdr:to>
      <xdr:col>11</xdr:col>
      <xdr:colOff>272521</xdr:colOff>
      <xdr:row>39</xdr:row>
      <xdr:rowOff>18520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373063</xdr:colOff>
      <xdr:row>20</xdr:row>
      <xdr:rowOff>94721</xdr:rowOff>
    </xdr:from>
    <xdr:to>
      <xdr:col>19</xdr:col>
      <xdr:colOff>463022</xdr:colOff>
      <xdr:row>39</xdr:row>
      <xdr:rowOff>18521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topLeftCell="A10" workbookViewId="0">
      <selection activeCell="A17" sqref="A17"/>
    </sheetView>
  </sheetViews>
  <sheetFormatPr defaultRowHeight="15" x14ac:dyDescent="0.25"/>
  <cols>
    <col min="1" max="1" width="27.5703125" bestFit="1" customWidth="1"/>
  </cols>
  <sheetData>
    <row r="1" spans="1:1" x14ac:dyDescent="0.25">
      <c r="A1" s="1" t="s">
        <v>8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34</v>
      </c>
    </row>
    <row r="6" spans="1:1" x14ac:dyDescent="0.25">
      <c r="A6" s="1" t="s">
        <v>3</v>
      </c>
    </row>
    <row r="7" spans="1:1" x14ac:dyDescent="0.25">
      <c r="A7" s="1" t="s">
        <v>4</v>
      </c>
    </row>
    <row r="8" spans="1:1" x14ac:dyDescent="0.25">
      <c r="A8" s="1" t="s">
        <v>5</v>
      </c>
    </row>
    <row r="9" spans="1:1" x14ac:dyDescent="0.25">
      <c r="A9" s="1" t="s">
        <v>79</v>
      </c>
    </row>
    <row r="10" spans="1:1" x14ac:dyDescent="0.25">
      <c r="A10" s="1" t="s">
        <v>80</v>
      </c>
    </row>
    <row r="11" spans="1:1" x14ac:dyDescent="0.25">
      <c r="A11" s="1" t="s">
        <v>81</v>
      </c>
    </row>
    <row r="12" spans="1:1" x14ac:dyDescent="0.25">
      <c r="A12" s="1" t="s">
        <v>82</v>
      </c>
    </row>
    <row r="13" spans="1:1" x14ac:dyDescent="0.25">
      <c r="A13" s="1" t="s">
        <v>83</v>
      </c>
    </row>
    <row r="14" spans="1:1" x14ac:dyDescent="0.25">
      <c r="A14" s="1"/>
    </row>
    <row r="15" spans="1:1" x14ac:dyDescent="0.25">
      <c r="A15" s="1" t="s">
        <v>6</v>
      </c>
    </row>
    <row r="16" spans="1:1" x14ac:dyDescent="0.25">
      <c r="A16" s="1"/>
    </row>
    <row r="20" spans="1:1" x14ac:dyDescent="0.25">
      <c r="A20" s="1" t="s">
        <v>7</v>
      </c>
    </row>
    <row r="26" spans="1:1" x14ac:dyDescent="0.25">
      <c r="A26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5"/>
  <sheetViews>
    <sheetView tabSelected="1" zoomScaleNormal="100" workbookViewId="0">
      <selection activeCell="F35" sqref="F35"/>
    </sheetView>
  </sheetViews>
  <sheetFormatPr defaultRowHeight="15" x14ac:dyDescent="0.25"/>
  <cols>
    <col min="1" max="1" width="22" bestFit="1" customWidth="1"/>
    <col min="2" max="2" width="21" bestFit="1" customWidth="1"/>
    <col min="3" max="3" width="21.5703125" bestFit="1" customWidth="1"/>
    <col min="4" max="4" width="19.28515625" bestFit="1" customWidth="1"/>
    <col min="5" max="5" width="23.5703125" bestFit="1" customWidth="1"/>
    <col min="7" max="7" width="47.7109375" bestFit="1" customWidth="1"/>
    <col min="9" max="9" width="24.140625" bestFit="1" customWidth="1"/>
    <col min="12" max="12" width="21.7109375" bestFit="1" customWidth="1"/>
    <col min="13" max="14" width="12" bestFit="1" customWidth="1"/>
    <col min="15" max="15" width="12" customWidth="1"/>
    <col min="18" max="18" width="10.28515625" bestFit="1" customWidth="1"/>
    <col min="21" max="21" width="10.28515625" bestFit="1" customWidth="1"/>
  </cols>
  <sheetData>
    <row r="1" spans="1:23" x14ac:dyDescent="0.25">
      <c r="N1" s="8"/>
      <c r="O1" s="12"/>
    </row>
    <row r="2" spans="1:23" x14ac:dyDescent="0.25">
      <c r="L2" t="s">
        <v>74</v>
      </c>
    </row>
    <row r="3" spans="1:23" x14ac:dyDescent="0.25">
      <c r="H3" t="s">
        <v>17</v>
      </c>
      <c r="I3" t="s">
        <v>18</v>
      </c>
    </row>
    <row r="4" spans="1:23" x14ac:dyDescent="0.25">
      <c r="A4" t="s">
        <v>78</v>
      </c>
      <c r="B4" s="3" t="s">
        <v>19</v>
      </c>
      <c r="C4" s="3" t="s">
        <v>58</v>
      </c>
      <c r="D4" s="4" t="s">
        <v>20</v>
      </c>
      <c r="E4" s="5" t="s">
        <v>21</v>
      </c>
      <c r="G4" t="s">
        <v>26</v>
      </c>
      <c r="I4">
        <f>H4</f>
        <v>0</v>
      </c>
      <c r="L4" s="7" t="s">
        <v>50</v>
      </c>
      <c r="M4" s="5" t="s">
        <v>51</v>
      </c>
      <c r="N4" s="4" t="s">
        <v>52</v>
      </c>
      <c r="O4" s="24"/>
      <c r="Q4" s="5" t="s">
        <v>23</v>
      </c>
      <c r="R4" s="5" t="s">
        <v>58</v>
      </c>
      <c r="T4" s="4" t="s">
        <v>24</v>
      </c>
      <c r="U4" s="4" t="s">
        <v>58</v>
      </c>
    </row>
    <row r="5" spans="1:23" x14ac:dyDescent="0.25">
      <c r="B5">
        <v>0</v>
      </c>
      <c r="G5" t="s">
        <v>27</v>
      </c>
      <c r="I5" t="e">
        <f>INT(H5*(C6/C7))</f>
        <v>#DIV/0!</v>
      </c>
      <c r="Q5" s="18">
        <v>1</v>
      </c>
      <c r="R5" s="18">
        <f>COUNTIF(M5:M804, 1)</f>
        <v>0</v>
      </c>
      <c r="T5" s="19">
        <v>1</v>
      </c>
      <c r="U5" s="19">
        <f>COUNTIF(N5:N804, 1)</f>
        <v>0</v>
      </c>
    </row>
    <row r="6" spans="1:23" x14ac:dyDescent="0.25">
      <c r="B6">
        <v>1</v>
      </c>
      <c r="G6" t="s">
        <v>28</v>
      </c>
      <c r="Q6" s="14">
        <v>2</v>
      </c>
      <c r="R6" s="14">
        <f>COUNTIF(M5:M804, 2)</f>
        <v>0</v>
      </c>
      <c r="T6" s="10">
        <v>2</v>
      </c>
      <c r="U6" s="10">
        <f>COUNTIF(N5:N804, 2)</f>
        <v>0</v>
      </c>
    </row>
    <row r="7" spans="1:23" x14ac:dyDescent="0.25">
      <c r="B7">
        <v>2</v>
      </c>
      <c r="Q7" s="14">
        <v>3</v>
      </c>
      <c r="R7" s="14">
        <f>COUNTIF(M5:M804, 3)</f>
        <v>0</v>
      </c>
      <c r="T7" s="10">
        <v>3</v>
      </c>
      <c r="U7" s="10">
        <f>COUNTIF(N5:N804, 3)</f>
        <v>0</v>
      </c>
    </row>
    <row r="8" spans="1:23" x14ac:dyDescent="0.25">
      <c r="B8">
        <v>3</v>
      </c>
      <c r="Q8" s="14">
        <v>4</v>
      </c>
      <c r="R8" s="14">
        <f>COUNTIF(M5:M804, 4)</f>
        <v>0</v>
      </c>
      <c r="T8" s="10">
        <v>4</v>
      </c>
      <c r="U8" s="10">
        <f>COUNTIF(N5:N804, 4)</f>
        <v>0</v>
      </c>
    </row>
    <row r="9" spans="1:23" x14ac:dyDescent="0.25">
      <c r="B9">
        <v>4</v>
      </c>
      <c r="Q9" s="14" t="s">
        <v>59</v>
      </c>
      <c r="R9" s="14">
        <f>COUNTIF(M5:M804, 5)</f>
        <v>0</v>
      </c>
      <c r="T9" s="10" t="s">
        <v>59</v>
      </c>
      <c r="U9" s="10">
        <f>COUNTIF(N5:N804, 5)</f>
        <v>0</v>
      </c>
    </row>
    <row r="10" spans="1:23" x14ac:dyDescent="0.25">
      <c r="B10" t="s">
        <v>10</v>
      </c>
      <c r="Q10" s="14" t="s">
        <v>60</v>
      </c>
      <c r="R10" s="14">
        <f>COUNTIF(M5:M804, "P")</f>
        <v>0</v>
      </c>
      <c r="T10" s="10" t="s">
        <v>60</v>
      </c>
      <c r="U10" s="10">
        <f>COUNTIF(N5:N804, "P")</f>
        <v>0</v>
      </c>
    </row>
    <row r="11" spans="1:23" x14ac:dyDescent="0.25">
      <c r="B11" t="s">
        <v>11</v>
      </c>
      <c r="Q11" s="14">
        <v>0</v>
      </c>
      <c r="R11" s="14">
        <f>COUNTIF(M5:M804, 0)</f>
        <v>0</v>
      </c>
      <c r="T11" s="10">
        <v>0</v>
      </c>
      <c r="U11" s="10">
        <f>COUNTIF(N5:N804, 0)</f>
        <v>0</v>
      </c>
      <c r="W11" s="30"/>
    </row>
    <row r="13" spans="1:23" x14ac:dyDescent="0.25">
      <c r="B13" s="9" t="s">
        <v>53</v>
      </c>
      <c r="C13" s="9"/>
    </row>
    <row r="14" spans="1:23" x14ac:dyDescent="0.25">
      <c r="B14" s="34" t="s">
        <v>77</v>
      </c>
      <c r="C14" s="35">
        <f>C6</f>
        <v>0</v>
      </c>
    </row>
    <row r="15" spans="1:23" x14ac:dyDescent="0.25">
      <c r="A15" t="s">
        <v>22</v>
      </c>
      <c r="B15" s="5" t="s">
        <v>23</v>
      </c>
      <c r="C15" s="5" t="s">
        <v>14</v>
      </c>
      <c r="D15" s="4" t="s">
        <v>24</v>
      </c>
      <c r="E15" s="4" t="s">
        <v>14</v>
      </c>
      <c r="R15" s="20"/>
    </row>
    <row r="16" spans="1:23" x14ac:dyDescent="0.25">
      <c r="A16" t="s">
        <v>54</v>
      </c>
      <c r="B16">
        <v>1</v>
      </c>
      <c r="D16">
        <v>1</v>
      </c>
      <c r="Q16" s="23"/>
      <c r="R16" s="21" t="s">
        <v>24</v>
      </c>
    </row>
    <row r="17" spans="1:24" x14ac:dyDescent="0.25">
      <c r="A17" t="s">
        <v>55</v>
      </c>
      <c r="B17">
        <v>2</v>
      </c>
      <c r="D17">
        <v>2</v>
      </c>
      <c r="Q17" s="16"/>
      <c r="R17" s="27">
        <v>1</v>
      </c>
      <c r="S17" s="10">
        <v>2</v>
      </c>
      <c r="T17" s="10">
        <v>3</v>
      </c>
      <c r="U17" s="10">
        <v>4</v>
      </c>
      <c r="V17" s="10" t="s">
        <v>59</v>
      </c>
      <c r="W17" s="10" t="s">
        <v>60</v>
      </c>
      <c r="X17" s="10">
        <v>0</v>
      </c>
    </row>
    <row r="18" spans="1:24" x14ac:dyDescent="0.25">
      <c r="B18">
        <v>3</v>
      </c>
      <c r="D18">
        <v>3</v>
      </c>
      <c r="P18" s="22" t="s">
        <v>23</v>
      </c>
      <c r="Q18" s="28">
        <v>1</v>
      </c>
      <c r="R18">
        <f>COUNTIFS($M$5:$M$804, 1, $N$5:$N$804, 1)</f>
        <v>0</v>
      </c>
      <c r="S18">
        <f>COUNTIFS($M$5:$M$804, 1, $N$5:$N$804, 2)</f>
        <v>0</v>
      </c>
      <c r="T18">
        <f>COUNTIFS($M$5:$M$804, 1, $N$5:$N$804, 3)</f>
        <v>0</v>
      </c>
      <c r="U18">
        <f>COUNTIFS($M$5:$M$804, 1, $N$5:$N$804, 4)</f>
        <v>0</v>
      </c>
      <c r="V18">
        <f>COUNTIFS($M$5:$M$804, 1, $N$5:$N$804, 5)</f>
        <v>0</v>
      </c>
      <c r="W18">
        <f>COUNTIFS($M$5:$M$804, 1, $N$5:$N$804, "P")</f>
        <v>0</v>
      </c>
      <c r="X18">
        <f>COUNTIFS($M$5:$M$804, 1, $N$5:$N$804, 0)</f>
        <v>0</v>
      </c>
    </row>
    <row r="19" spans="1:24" x14ac:dyDescent="0.25">
      <c r="B19">
        <v>4</v>
      </c>
      <c r="D19">
        <v>4</v>
      </c>
      <c r="Q19" s="14">
        <v>2</v>
      </c>
      <c r="R19">
        <f>COUNTIFS($M$5:$M$804, 2, $N$5:$N$804, 1)</f>
        <v>0</v>
      </c>
      <c r="S19">
        <f>COUNTIFS($M$5:$M$804, 2, $N$5:$N$804, 2)</f>
        <v>0</v>
      </c>
      <c r="T19">
        <f>COUNTIFS($M$5:$M$804, 2, $N$5:$N$804, 3)</f>
        <v>0</v>
      </c>
      <c r="U19">
        <f>COUNTIFS($M$5:$M$804, 2, $N$5:$N$804, 4)</f>
        <v>0</v>
      </c>
      <c r="V19">
        <f>COUNTIFS($M$5:$M$804, 2, $N$5:$N$804, 5)</f>
        <v>0</v>
      </c>
      <c r="W19">
        <f>COUNTIFS($M$5:$M$804, 2, $N$5:$N$804, "P")</f>
        <v>0</v>
      </c>
      <c r="X19">
        <f>COUNTIFS($M$5:$M$804, 2, $N$5:$N$804, 0)</f>
        <v>0</v>
      </c>
    </row>
    <row r="20" spans="1:24" x14ac:dyDescent="0.25">
      <c r="B20" t="s">
        <v>10</v>
      </c>
      <c r="D20" t="s">
        <v>10</v>
      </c>
      <c r="Q20" s="14">
        <v>3</v>
      </c>
      <c r="R20">
        <f>COUNTIFS($M$5:$M$804, 3, $N$5:$N$804, 1)</f>
        <v>0</v>
      </c>
      <c r="S20">
        <f>COUNTIFS($M$5:$M$804, 3, $N$5:$N$804, 2)</f>
        <v>0</v>
      </c>
      <c r="T20">
        <f>COUNTIFS($M$5:$M$804, 3, $N$5:$N$804, 3)</f>
        <v>0</v>
      </c>
      <c r="U20">
        <f>COUNTIFS($M$5:$M$804, 3, $N$5:$N$804, 4)</f>
        <v>0</v>
      </c>
      <c r="V20">
        <f>COUNTIFS($M$5:$M$804, 3, $N$5:$N$804, 5)</f>
        <v>0</v>
      </c>
      <c r="W20">
        <f>COUNTIFS($M$5:$M$804, 3, $N$5:$N$804, "P")</f>
        <v>0</v>
      </c>
      <c r="X20">
        <f>COUNTIFS($M$5:$M$804, 3, $N$5:$N$804, 0)</f>
        <v>0</v>
      </c>
    </row>
    <row r="21" spans="1:24" x14ac:dyDescent="0.25">
      <c r="B21" t="s">
        <v>11</v>
      </c>
      <c r="D21" t="s">
        <v>11</v>
      </c>
      <c r="Q21" s="14">
        <v>4</v>
      </c>
      <c r="R21">
        <f>COUNTIFS($M$5:$M$804, 4, $N$5:$N$804, 1)</f>
        <v>0</v>
      </c>
      <c r="S21">
        <f>COUNTIFS($M$5:$M$804, 4, $N$5:$N$804, 2)</f>
        <v>0</v>
      </c>
      <c r="T21">
        <f>COUNTIFS($M$5:$M$804, 4, $N$5:$N$804, 3)</f>
        <v>0</v>
      </c>
      <c r="U21">
        <f>COUNTIFS($M$5:$M$804, 4, $N$5:$N$804, 4)</f>
        <v>0</v>
      </c>
      <c r="V21">
        <f>COUNTIFS($M$5:$M$804, 4, $N$5:$N$804, 5)</f>
        <v>0</v>
      </c>
      <c r="W21">
        <f>COUNTIFS($M$5:$M$804, 4, $N$5:$N$804, "P")</f>
        <v>0</v>
      </c>
      <c r="X21">
        <f>COUNTIFS($M$5:$M$804, 4, $N$5:$N$804, 0)</f>
        <v>0</v>
      </c>
    </row>
    <row r="22" spans="1:24" x14ac:dyDescent="0.25">
      <c r="B22">
        <v>0</v>
      </c>
      <c r="D22">
        <v>0</v>
      </c>
      <c r="Q22" s="14" t="s">
        <v>59</v>
      </c>
      <c r="R22">
        <f>COUNTIFS($M$5:$M$804, 5, $N$5:$N$804, 1)</f>
        <v>0</v>
      </c>
      <c r="S22">
        <f>COUNTIFS($M$5:$M$804, 5, $N$5:$N$804, 2)</f>
        <v>0</v>
      </c>
      <c r="T22">
        <f>COUNTIFS($M$5:$M$804, 5, $N$5:$N$804, 3)</f>
        <v>0</v>
      </c>
      <c r="U22">
        <f>COUNTIFS($M$5:$M$804, 5, $N$5:$N$804, 4)</f>
        <v>0</v>
      </c>
      <c r="V22">
        <f>COUNTIFS($M$5:$M$804, 5, $N$5:$N$804, 5)</f>
        <v>0</v>
      </c>
      <c r="W22">
        <f>COUNTIFS($M$5:$M$804, 5, $N$5:$N$804, "P")</f>
        <v>0</v>
      </c>
      <c r="X22">
        <f>COUNTIFS($M$5:$M$804, 5, $N$5:$N$804, 0)</f>
        <v>0</v>
      </c>
    </row>
    <row r="23" spans="1:24" x14ac:dyDescent="0.25">
      <c r="Q23" s="14" t="s">
        <v>60</v>
      </c>
      <c r="R23">
        <f>COUNTIFS($M$5:$M$804, "P", $N$5:$N$804, 1)</f>
        <v>0</v>
      </c>
      <c r="S23">
        <f>COUNTIFS($M$5:$M$804, "P", $N$5:$N$804, 2)</f>
        <v>0</v>
      </c>
      <c r="T23">
        <f>COUNTIFS($M$5:$M$804, "P", $N$5:$N$804, 3)</f>
        <v>0</v>
      </c>
      <c r="U23">
        <f>COUNTIFS($M$5:$M$804, "P", $N$5:$N$804, 4)</f>
        <v>0</v>
      </c>
      <c r="V23">
        <f>COUNTIFS($M$5:$M$804, "P", $N$5:$N$804, 5)</f>
        <v>0</v>
      </c>
      <c r="W23">
        <f>COUNTIFS($M$5:$M$804, "P", $N$5:$N$804, "P")</f>
        <v>0</v>
      </c>
      <c r="X23">
        <f>COUNTIFS($M$5:$M$804, "P", $N$5:$N$804, 0)</f>
        <v>0</v>
      </c>
    </row>
    <row r="24" spans="1:24" x14ac:dyDescent="0.25">
      <c r="B24" t="s">
        <v>15</v>
      </c>
      <c r="C24">
        <f>SUM(C16:C22)</f>
        <v>0</v>
      </c>
      <c r="E24">
        <f>SUM(E16:E22)</f>
        <v>0</v>
      </c>
      <c r="Q24" s="14">
        <v>0</v>
      </c>
      <c r="R24">
        <f>COUNTIFS($M$5:$M$804, 0, $N$5:$N$804, 1)</f>
        <v>0</v>
      </c>
      <c r="S24">
        <f>COUNTIFS($M$5:$M$804, 0, $N$5:$N$804, 2)</f>
        <v>0</v>
      </c>
      <c r="T24">
        <f>COUNTIFS($M$5:$M$804, 0, $N$5:$N$804, 3)</f>
        <v>0</v>
      </c>
      <c r="U24">
        <f>COUNTIFS($M$5:$M$804, 0, $N$5:$N$804, 4)</f>
        <v>0</v>
      </c>
      <c r="V24">
        <f>COUNTIFS($M$5:$M$804, 0, $N$5:$N$804, 5)</f>
        <v>0</v>
      </c>
      <c r="W24">
        <f>COUNTIFS($M$5:$M$804, 0, $N$5:$N$804, "P")</f>
        <v>0</v>
      </c>
      <c r="X24">
        <f>COUNTIFS($M$5:$M$804, 0, $N$5:$N$804, 0)</f>
        <v>0</v>
      </c>
    </row>
    <row r="25" spans="1:24" x14ac:dyDescent="0.25">
      <c r="B25" t="s">
        <v>25</v>
      </c>
      <c r="C25">
        <f>C24-C22</f>
        <v>0</v>
      </c>
      <c r="E25">
        <f>E24-E22</f>
        <v>0</v>
      </c>
    </row>
    <row r="27" spans="1:24" x14ac:dyDescent="0.25">
      <c r="B27" s="5" t="s">
        <v>23</v>
      </c>
      <c r="C27" s="5" t="s">
        <v>16</v>
      </c>
      <c r="D27" s="4" t="s">
        <v>24</v>
      </c>
      <c r="E27" s="4" t="s">
        <v>16</v>
      </c>
      <c r="P27" s="44" t="s">
        <v>61</v>
      </c>
      <c r="Q27" s="45"/>
      <c r="R27" s="26" t="s">
        <v>24</v>
      </c>
    </row>
    <row r="28" spans="1:24" x14ac:dyDescent="0.25">
      <c r="B28">
        <v>1</v>
      </c>
      <c r="C28" s="2" t="e">
        <f>C16/C25</f>
        <v>#DIV/0!</v>
      </c>
      <c r="D28">
        <v>1</v>
      </c>
      <c r="E28" s="2" t="e">
        <f>E16/E25</f>
        <v>#DIV/0!</v>
      </c>
      <c r="H28" s="1" t="s">
        <v>29</v>
      </c>
      <c r="I28" s="1" t="s">
        <v>30</v>
      </c>
      <c r="P28" s="29"/>
      <c r="Q28" s="25"/>
      <c r="R28" s="27">
        <v>1</v>
      </c>
      <c r="S28" s="10">
        <v>2</v>
      </c>
      <c r="T28" s="10">
        <v>3</v>
      </c>
      <c r="U28" s="10">
        <v>4</v>
      </c>
      <c r="V28" s="10" t="s">
        <v>59</v>
      </c>
      <c r="W28" s="10" t="s">
        <v>60</v>
      </c>
      <c r="X28" s="10">
        <v>0</v>
      </c>
    </row>
    <row r="29" spans="1:24" x14ac:dyDescent="0.25">
      <c r="B29">
        <v>2</v>
      </c>
      <c r="C29" s="2" t="e">
        <f>C17/C25</f>
        <v>#DIV/0!</v>
      </c>
      <c r="D29">
        <v>2</v>
      </c>
      <c r="E29" s="2" t="e">
        <f>E17/E25</f>
        <v>#DIV/0!</v>
      </c>
      <c r="H29" s="10" t="s">
        <v>31</v>
      </c>
      <c r="I29" s="10"/>
      <c r="P29" s="5" t="s">
        <v>23</v>
      </c>
      <c r="Q29" s="28">
        <v>1</v>
      </c>
      <c r="R29">
        <f>COUNTIFS($M$5:$M$804, 1, $N$5:$N$804, 1, L5:L804, 1)</f>
        <v>0</v>
      </c>
      <c r="S29">
        <f>COUNTIFS($M$5:$M$804, 1, $N$5:$N$804, 2, L5:L804, 1)</f>
        <v>0</v>
      </c>
      <c r="T29">
        <f>COUNTIFS($M$5:$M$804, 1, $N$5:$N$804, 3, L5:L804, 1)</f>
        <v>0</v>
      </c>
      <c r="U29">
        <f>COUNTIFS($M$5:$M$804, 1, $N$5:$N$804, 4, L5:L804, 1)</f>
        <v>0</v>
      </c>
      <c r="V29">
        <f>COUNTIFS($M$5:$M$804, 1, $N$5:$N$804, 5, L5:L804, 1)</f>
        <v>0</v>
      </c>
      <c r="W29">
        <f>COUNTIFS($M$5:$M$804, 1, $N$5:$N$804, "P", L5:L804, 1)</f>
        <v>0</v>
      </c>
      <c r="X29">
        <f>COUNTIFS($M$5:$M$804, 1, $N$5:$N$804, 0, L5:L804, 1)</f>
        <v>0</v>
      </c>
    </row>
    <row r="30" spans="1:24" x14ac:dyDescent="0.25">
      <c r="B30">
        <v>3</v>
      </c>
      <c r="C30" s="2" t="e">
        <f>C18/C25</f>
        <v>#DIV/0!</v>
      </c>
      <c r="D30">
        <v>3</v>
      </c>
      <c r="E30" s="2" t="e">
        <f>E18/E25</f>
        <v>#DIV/0!</v>
      </c>
      <c r="H30" s="14" t="s">
        <v>32</v>
      </c>
      <c r="I30" s="14"/>
      <c r="Q30" s="14">
        <v>2</v>
      </c>
      <c r="R30">
        <f>COUNTIFS($M$5:$M$804, 2, $N$5:$N$804, 1, L5:L804, 1)</f>
        <v>0</v>
      </c>
      <c r="S30">
        <f>COUNTIFS($M$5:$M$804, 2, $N$5:$N$804, 2, L5:L804, 1)</f>
        <v>0</v>
      </c>
      <c r="T30">
        <f>COUNTIFS($M$5:$M$804, 2, $N$5:$N$804, 3, L5:L804, 1)</f>
        <v>0</v>
      </c>
      <c r="U30">
        <f>COUNTIFS($M$5:$M$804, 2, $N$5:$N$804, 4, L5:L804, 1)</f>
        <v>0</v>
      </c>
      <c r="V30">
        <f>COUNTIFS($M$5:$M$804, 2, $N$5:$N$804, 5, L5:L804, 1)</f>
        <v>0</v>
      </c>
      <c r="W30">
        <f>COUNTIFS($M$5:$M$804, 2, $N$5:$N$804, "P", L5:L804, 1)</f>
        <v>0</v>
      </c>
      <c r="X30">
        <f>COUNTIFS($M$5:$M$804, 2, $N$5:$N$804, 0, L5:L804, 1)</f>
        <v>0</v>
      </c>
    </row>
    <row r="31" spans="1:24" x14ac:dyDescent="0.25">
      <c r="B31">
        <v>4</v>
      </c>
      <c r="C31" s="2" t="e">
        <f>C19/C25</f>
        <v>#DIV/0!</v>
      </c>
      <c r="D31">
        <v>4</v>
      </c>
      <c r="E31" s="2" t="e">
        <f>E19/E25</f>
        <v>#DIV/0!</v>
      </c>
      <c r="H31" s="6" t="s">
        <v>33</v>
      </c>
      <c r="I31" s="6"/>
      <c r="Q31" s="14">
        <v>3</v>
      </c>
      <c r="R31">
        <f>COUNTIFS($M$5:$M$804, 3, $N$5:$N$804, 1, L5:L804, 1)</f>
        <v>0</v>
      </c>
      <c r="S31">
        <f>COUNTIFS($M$5:$M$804, 3, $N$5:$N$804, 2, L5:L804, 1)</f>
        <v>0</v>
      </c>
      <c r="T31">
        <f>COUNTIFS($M$5:$M$804, 3, $N$5:$N$804, 3, L5:L804, 1)</f>
        <v>0</v>
      </c>
      <c r="U31">
        <f>COUNTIFS($M$5:$M$804, 3, $N$5:$N$804, 4, L5:L804, 1)</f>
        <v>0</v>
      </c>
      <c r="V31">
        <f>COUNTIFS($M$5:$M$804, 3, $N$5:$N$804, 5, L5:L804, 1)</f>
        <v>0</v>
      </c>
      <c r="W31">
        <f>COUNTIFS($M$5:$M$804, 3, $N$5:$N$804, "P", L5:L804, 1)</f>
        <v>0</v>
      </c>
      <c r="X31">
        <f>COUNTIFS($M$5:$M$804, 3, $N$5:$N$804, 0, L5:L804, 1)</f>
        <v>0</v>
      </c>
    </row>
    <row r="32" spans="1:24" x14ac:dyDescent="0.25">
      <c r="B32" t="s">
        <v>75</v>
      </c>
      <c r="C32" s="2" t="e">
        <f>C20/C25</f>
        <v>#DIV/0!</v>
      </c>
      <c r="D32" t="s">
        <v>10</v>
      </c>
      <c r="E32" s="2" t="e">
        <f>E20/E25</f>
        <v>#DIV/0!</v>
      </c>
      <c r="Q32" s="14">
        <v>4</v>
      </c>
      <c r="R32">
        <f>COUNTIFS($M$5:$M$804, 4, $N$5:$N$804, 1, L5:L804, 1)</f>
        <v>0</v>
      </c>
      <c r="S32">
        <f>COUNTIFS($M$5:$M$804, 4, $N$5:$N$804, 2, L5:L804, 1)</f>
        <v>0</v>
      </c>
      <c r="T32">
        <f>COUNTIFS($M$5:$M$804, 4, $N$5:$N$804, 3, L5:L804, 1)</f>
        <v>0</v>
      </c>
      <c r="U32">
        <f>COUNTIFS($M$5:$M$804, 4, $N$5:$N$804, 4, L5:L804, 1)</f>
        <v>0</v>
      </c>
      <c r="V32">
        <f>COUNTIFS($M$5:$M$804, 4, $N$5:$N$804, 5, L5:L804, 1)</f>
        <v>0</v>
      </c>
      <c r="W32">
        <f>COUNTIFS($M$5:$M$804, 4, $N$5:$N$804, "P", L5:L804, 1)</f>
        <v>0</v>
      </c>
      <c r="X32">
        <f>COUNTIFS($M$5:$M$804, 4, $N$5:$N$804, 0, L5:L804, 1)</f>
        <v>0</v>
      </c>
    </row>
    <row r="33" spans="2:24" x14ac:dyDescent="0.25">
      <c r="B33" t="s">
        <v>76</v>
      </c>
      <c r="C33" s="2" t="e">
        <f>C21/C25</f>
        <v>#DIV/0!</v>
      </c>
      <c r="D33" t="s">
        <v>11</v>
      </c>
      <c r="E33" s="2" t="e">
        <f>E21/E25</f>
        <v>#DIV/0!</v>
      </c>
      <c r="Q33" s="14" t="s">
        <v>59</v>
      </c>
      <c r="R33">
        <f>COUNTIFS($M$5:$M$804, 5, $N$5:$N$804, 1, L5:L804, 1)</f>
        <v>0</v>
      </c>
      <c r="S33">
        <f>COUNTIFS($M$5:$M$804, 5, $N$5:$N$804, 2, L5:L804, 1)</f>
        <v>0</v>
      </c>
      <c r="T33">
        <f>COUNTIFS($M$5:$M$804, 5, $N$5:$N$804, 3, L5:L804, 1)</f>
        <v>0</v>
      </c>
      <c r="U33">
        <f>COUNTIFS($M$5:$M$804, 5, $N$5:$N$804, 4, L5:L804, 1)</f>
        <v>0</v>
      </c>
      <c r="V33">
        <f>COUNTIFS($M$5:$M$804, 5, $N$5:$N$804, 5, L5:L804, 1)</f>
        <v>0</v>
      </c>
      <c r="W33">
        <f>COUNTIFS($M$5:$M$804, 5, $N$5:$N$804, "P", L5:L804, 1)</f>
        <v>0</v>
      </c>
      <c r="X33">
        <f>COUNTIFS($M$5:$M$804, 5, $N$5:$N$804, 0, L5:L804, 1)</f>
        <v>0</v>
      </c>
    </row>
    <row r="34" spans="2:24" x14ac:dyDescent="0.25">
      <c r="B34">
        <v>0</v>
      </c>
      <c r="C34" s="2" t="e">
        <f>C22/C24</f>
        <v>#DIV/0!</v>
      </c>
      <c r="D34">
        <v>0</v>
      </c>
      <c r="E34" s="2" t="e">
        <f>E22/E24</f>
        <v>#DIV/0!</v>
      </c>
      <c r="Q34" s="14" t="s">
        <v>60</v>
      </c>
      <c r="R34">
        <f>COUNTIFS($M$5:$M$804, "P", $N$5:$N$804, 1, L5:L804, 1)</f>
        <v>0</v>
      </c>
      <c r="S34">
        <f>COUNTIFS($M$5:$M$804, "P", $N$5:$N$804, 2, L5:L804, 1)</f>
        <v>0</v>
      </c>
      <c r="T34">
        <f>COUNTIFS($M$5:$M$804, "P", $N$5:$N$804, 3, L5:L804, 1)</f>
        <v>0</v>
      </c>
      <c r="U34">
        <f>COUNTIFS($M$5:$M$804, "P", $N$5:$N$804, 4, L5:L804, 1)</f>
        <v>0</v>
      </c>
      <c r="V34">
        <f>COUNTIFS($M$5:$M$804, "P", $N$5:$N$804, 5, L5:L804, 1)</f>
        <v>0</v>
      </c>
      <c r="W34">
        <f>COUNTIFS($M$5:$M$804, "P", $N$5:$N$804, "P", L5:L804, 1)</f>
        <v>0</v>
      </c>
      <c r="X34">
        <f>COUNTIFS($M$5:$M$804, "P", $N$5:$N$804, 0, L5:L804, 1)</f>
        <v>0</v>
      </c>
    </row>
    <row r="35" spans="2:24" x14ac:dyDescent="0.25">
      <c r="Q35" s="14">
        <v>0</v>
      </c>
      <c r="R35">
        <f>COUNTIFS($M$5:$M$804, 0, $N$5:$N$804, 1, L5:L804, 1)</f>
        <v>0</v>
      </c>
      <c r="S35">
        <f>COUNTIFS($M$5:$M$804, 0, $N$5:$N$804, 2, L5:L804, 1)</f>
        <v>0</v>
      </c>
      <c r="T35">
        <f>COUNTIFS($M$5:$M$804, 0, $N$5:$N$804, 3, L5:L804, 1)</f>
        <v>0</v>
      </c>
      <c r="U35">
        <f>COUNTIFS($M$5:$M$804, 0, $N$5:$N$804, 4, L5:L804, 1)</f>
        <v>0</v>
      </c>
      <c r="V35">
        <f>COUNTIFS($M$5:$M$804, 0, $N$5:$N$804, 5, L5:L804, 1)</f>
        <v>0</v>
      </c>
      <c r="W35">
        <f>COUNTIFS($M$5:$M$804, 0, $N$5:$N$804, "P", L5:L804, 1)</f>
        <v>0</v>
      </c>
      <c r="X35">
        <f>COUNTIFS($M$5:$M$804, 0, $N$5:$N$804, 0, L5:L804, 1)</f>
        <v>0</v>
      </c>
    </row>
  </sheetData>
  <mergeCells count="1">
    <mergeCell ref="P27:Q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topLeftCell="D1" workbookViewId="0">
      <selection activeCell="AB24" sqref="AB24"/>
    </sheetView>
  </sheetViews>
  <sheetFormatPr defaultRowHeight="15" x14ac:dyDescent="0.25"/>
  <cols>
    <col min="1" max="1" width="31.28515625" bestFit="1" customWidth="1"/>
  </cols>
  <sheetData>
    <row r="1" spans="1:10" x14ac:dyDescent="0.25">
      <c r="A1" s="1" t="s">
        <v>12</v>
      </c>
      <c r="H1" t="e">
        <f>LOG(E1)</f>
        <v>#NUM!</v>
      </c>
      <c r="I1" t="e">
        <f>LOG(F1)</f>
        <v>#NUM!</v>
      </c>
      <c r="J1" t="e">
        <f>LOG(G1)</f>
        <v>#NUM!</v>
      </c>
    </row>
    <row r="2" spans="1:10" x14ac:dyDescent="0.25">
      <c r="A2" t="s">
        <v>13</v>
      </c>
      <c r="H2" t="e">
        <f t="shared" ref="H2:H10" si="0">LOG(E2)</f>
        <v>#NUM!</v>
      </c>
      <c r="I2" t="e">
        <f t="shared" ref="I2:I10" si="1">LOG(F2)</f>
        <v>#NUM!</v>
      </c>
      <c r="J2" t="e">
        <f t="shared" ref="J2:J10" si="2">LOG(G2)</f>
        <v>#NUM!</v>
      </c>
    </row>
    <row r="3" spans="1:10" x14ac:dyDescent="0.25">
      <c r="H3" t="e">
        <f t="shared" si="0"/>
        <v>#NUM!</v>
      </c>
      <c r="I3" t="e">
        <f t="shared" si="1"/>
        <v>#NUM!</v>
      </c>
      <c r="J3" t="e">
        <f t="shared" si="2"/>
        <v>#NUM!</v>
      </c>
    </row>
    <row r="4" spans="1:10" x14ac:dyDescent="0.25">
      <c r="H4" t="e">
        <f t="shared" si="0"/>
        <v>#NUM!</v>
      </c>
      <c r="I4" t="e">
        <f t="shared" si="1"/>
        <v>#NUM!</v>
      </c>
      <c r="J4" t="e">
        <f t="shared" si="2"/>
        <v>#NUM!</v>
      </c>
    </row>
    <row r="5" spans="1:10" x14ac:dyDescent="0.25">
      <c r="H5" t="e">
        <f t="shared" si="0"/>
        <v>#NUM!</v>
      </c>
      <c r="I5" t="e">
        <f t="shared" si="1"/>
        <v>#NUM!</v>
      </c>
      <c r="J5" t="e">
        <f t="shared" si="2"/>
        <v>#NUM!</v>
      </c>
    </row>
    <row r="6" spans="1:10" x14ac:dyDescent="0.25">
      <c r="H6" t="e">
        <f t="shared" si="0"/>
        <v>#NUM!</v>
      </c>
      <c r="I6" t="e">
        <f t="shared" si="1"/>
        <v>#NUM!</v>
      </c>
      <c r="J6" t="e">
        <f t="shared" si="2"/>
        <v>#NUM!</v>
      </c>
    </row>
    <row r="7" spans="1:10" x14ac:dyDescent="0.25">
      <c r="H7" t="e">
        <f t="shared" si="0"/>
        <v>#NUM!</v>
      </c>
      <c r="I7" t="e">
        <f t="shared" si="1"/>
        <v>#NUM!</v>
      </c>
      <c r="J7" t="e">
        <f t="shared" si="2"/>
        <v>#NUM!</v>
      </c>
    </row>
    <row r="8" spans="1:10" x14ac:dyDescent="0.25">
      <c r="H8" t="e">
        <f t="shared" si="0"/>
        <v>#NUM!</v>
      </c>
      <c r="I8" t="e">
        <f t="shared" si="1"/>
        <v>#NUM!</v>
      </c>
      <c r="J8" t="e">
        <f t="shared" si="2"/>
        <v>#NUM!</v>
      </c>
    </row>
    <row r="9" spans="1:10" x14ac:dyDescent="0.25">
      <c r="H9" t="e">
        <f t="shared" si="0"/>
        <v>#NUM!</v>
      </c>
      <c r="I9" t="e">
        <f t="shared" si="1"/>
        <v>#NUM!</v>
      </c>
      <c r="J9" t="e">
        <f t="shared" si="2"/>
        <v>#NUM!</v>
      </c>
    </row>
    <row r="10" spans="1:10" x14ac:dyDescent="0.25">
      <c r="H10" t="e">
        <f t="shared" si="0"/>
        <v>#NUM!</v>
      </c>
      <c r="I10" t="e">
        <f t="shared" si="1"/>
        <v>#NUM!</v>
      </c>
      <c r="J10" t="e">
        <f t="shared" si="2"/>
        <v>#NUM!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44"/>
  <sheetViews>
    <sheetView zoomScale="80" zoomScaleNormal="80" workbookViewId="0">
      <selection activeCell="Q45" sqref="Q45"/>
    </sheetView>
  </sheetViews>
  <sheetFormatPr defaultRowHeight="15" x14ac:dyDescent="0.25"/>
  <sheetData>
    <row r="3" spans="1:3" x14ac:dyDescent="0.25">
      <c r="A3" s="46">
        <f>Statistics!I31</f>
        <v>0</v>
      </c>
      <c r="B3" s="46"/>
      <c r="C3" s="46"/>
    </row>
    <row r="4" spans="1:3" x14ac:dyDescent="0.25">
      <c r="A4" s="46"/>
      <c r="B4" s="46"/>
      <c r="C4" s="46"/>
    </row>
    <row r="5" spans="1:3" x14ac:dyDescent="0.25">
      <c r="B5" s="48" t="s">
        <v>99</v>
      </c>
      <c r="C5" s="48">
        <f>Statistics!C13</f>
        <v>0</v>
      </c>
    </row>
    <row r="6" spans="1:3" x14ac:dyDescent="0.25">
      <c r="B6" s="48"/>
      <c r="C6" s="48"/>
    </row>
    <row r="41" spans="7:17" x14ac:dyDescent="0.25">
      <c r="G41" s="46">
        <f>Statistics!I30</f>
        <v>0</v>
      </c>
      <c r="H41" s="46"/>
      <c r="I41" s="46"/>
      <c r="O41" s="46">
        <f>Statistics!I29</f>
        <v>0</v>
      </c>
      <c r="P41" s="46"/>
      <c r="Q41" s="46"/>
    </row>
    <row r="42" spans="7:17" x14ac:dyDescent="0.25">
      <c r="G42" s="46"/>
      <c r="H42" s="46"/>
      <c r="I42" s="46"/>
      <c r="O42" s="46"/>
      <c r="P42" s="46"/>
      <c r="Q42" s="46"/>
    </row>
    <row r="43" spans="7:17" x14ac:dyDescent="0.25">
      <c r="H43" s="48" t="s">
        <v>99</v>
      </c>
      <c r="I43" s="48">
        <f>Statistics!C24</f>
        <v>0</v>
      </c>
      <c r="P43" s="48" t="s">
        <v>99</v>
      </c>
      <c r="Q43" s="48">
        <f>Statistics!E24</f>
        <v>0</v>
      </c>
    </row>
    <row r="44" spans="7:17" x14ac:dyDescent="0.25">
      <c r="H44" s="48"/>
      <c r="I44" s="48"/>
      <c r="P44" s="48"/>
      <c r="Q44" s="48"/>
    </row>
  </sheetData>
  <mergeCells count="9">
    <mergeCell ref="H43:H44"/>
    <mergeCell ref="I43:I44"/>
    <mergeCell ref="P43:P44"/>
    <mergeCell ref="Q43:Q44"/>
    <mergeCell ref="G41:I42"/>
    <mergeCell ref="O41:Q42"/>
    <mergeCell ref="A3:C4"/>
    <mergeCell ref="B5:B6"/>
    <mergeCell ref="C5:C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6"/>
  <sheetViews>
    <sheetView workbookViewId="0">
      <selection activeCell="H28" sqref="H28"/>
    </sheetView>
  </sheetViews>
  <sheetFormatPr defaultRowHeight="15" x14ac:dyDescent="0.25"/>
  <cols>
    <col min="2" max="2" width="30.85546875" bestFit="1" customWidth="1"/>
  </cols>
  <sheetData>
    <row r="1" spans="2:9" x14ac:dyDescent="0.25">
      <c r="B1" s="1" t="s">
        <v>93</v>
      </c>
    </row>
    <row r="2" spans="2:9" x14ac:dyDescent="0.25">
      <c r="C2" s="1" t="s">
        <v>39</v>
      </c>
      <c r="D2" s="1" t="s">
        <v>40</v>
      </c>
    </row>
    <row r="3" spans="2:9" x14ac:dyDescent="0.25">
      <c r="B3" s="1" t="s">
        <v>35</v>
      </c>
      <c r="C3" s="9">
        <f>SUM(F3:OO3)</f>
        <v>0</v>
      </c>
      <c r="D3" s="13"/>
    </row>
    <row r="4" spans="2:9" x14ac:dyDescent="0.25">
      <c r="B4" s="1" t="s">
        <v>56</v>
      </c>
      <c r="C4" s="10">
        <f>SUM(F4:OO4)</f>
        <v>0</v>
      </c>
      <c r="D4" s="11" t="e">
        <f>C4/C3</f>
        <v>#DIV/0!</v>
      </c>
    </row>
    <row r="5" spans="2:9" x14ac:dyDescent="0.25">
      <c r="B5" s="1" t="s">
        <v>57</v>
      </c>
      <c r="C5" s="14">
        <f>SUM(F5:OO5)</f>
        <v>0</v>
      </c>
      <c r="D5" s="15" t="e">
        <f>C5/C3</f>
        <v>#DIV/0!</v>
      </c>
    </row>
    <row r="6" spans="2:9" x14ac:dyDescent="0.25">
      <c r="B6" s="1"/>
      <c r="C6" s="16"/>
      <c r="D6" s="17"/>
    </row>
    <row r="7" spans="2:9" x14ac:dyDescent="0.25">
      <c r="B7" s="1" t="s">
        <v>38</v>
      </c>
      <c r="C7" s="10">
        <f>SUM(F7:OO7)</f>
        <v>0</v>
      </c>
    </row>
    <row r="8" spans="2:9" x14ac:dyDescent="0.25">
      <c r="B8" s="1" t="s">
        <v>36</v>
      </c>
      <c r="C8" s="14">
        <f>SUM(F8:OO8)</f>
        <v>0</v>
      </c>
    </row>
    <row r="10" spans="2:9" x14ac:dyDescent="0.25">
      <c r="B10" s="36" t="s">
        <v>84</v>
      </c>
      <c r="D10" t="s">
        <v>85</v>
      </c>
    </row>
    <row r="11" spans="2:9" x14ac:dyDescent="0.25">
      <c r="B11" s="37" t="s">
        <v>89</v>
      </c>
      <c r="D11" t="s">
        <v>86</v>
      </c>
    </row>
    <row r="12" spans="2:9" x14ac:dyDescent="0.25">
      <c r="B12" s="39" t="s">
        <v>90</v>
      </c>
      <c r="D12" t="s">
        <v>87</v>
      </c>
    </row>
    <row r="13" spans="2:9" x14ac:dyDescent="0.25">
      <c r="B13" s="38" t="s">
        <v>91</v>
      </c>
      <c r="D13" t="s">
        <v>88</v>
      </c>
    </row>
    <row r="15" spans="2:9" x14ac:dyDescent="0.25">
      <c r="B15" s="1" t="s">
        <v>37</v>
      </c>
      <c r="C15" s="8"/>
      <c r="D15" s="8"/>
      <c r="E15" s="8"/>
      <c r="F15" s="8"/>
    </row>
    <row r="16" spans="2:9" x14ac:dyDescent="0.25">
      <c r="B16" s="12"/>
      <c r="C16" s="9" t="s">
        <v>33</v>
      </c>
      <c r="D16" s="14" t="s">
        <v>32</v>
      </c>
      <c r="E16" s="10" t="s">
        <v>31</v>
      </c>
      <c r="F16" s="8"/>
      <c r="G16" s="47" t="s">
        <v>98</v>
      </c>
      <c r="H16" s="47"/>
      <c r="I16" s="47"/>
    </row>
    <row r="17" spans="2:9" x14ac:dyDescent="0.25">
      <c r="B17" s="12" t="s">
        <v>41</v>
      </c>
      <c r="C17" s="9"/>
      <c r="D17" s="14"/>
      <c r="E17" s="10"/>
      <c r="G17" s="47"/>
      <c r="H17" s="47"/>
      <c r="I17" s="47"/>
    </row>
    <row r="18" spans="2:9" x14ac:dyDescent="0.25">
      <c r="B18" s="12" t="s">
        <v>42</v>
      </c>
      <c r="C18" s="9"/>
      <c r="D18" s="14"/>
      <c r="E18" s="10"/>
      <c r="F18" s="8"/>
    </row>
    <row r="19" spans="2:9" x14ac:dyDescent="0.25">
      <c r="B19" s="12" t="s">
        <v>43</v>
      </c>
      <c r="C19" s="9"/>
      <c r="D19" s="14"/>
      <c r="E19" s="10"/>
      <c r="G19" s="7" t="s">
        <v>33</v>
      </c>
      <c r="H19" s="41"/>
    </row>
    <row r="20" spans="2:9" x14ac:dyDescent="0.25">
      <c r="B20" s="12" t="s">
        <v>44</v>
      </c>
      <c r="C20" s="9"/>
      <c r="D20" s="14"/>
      <c r="E20" s="10"/>
      <c r="G20" s="5" t="s">
        <v>32</v>
      </c>
      <c r="H20" s="42"/>
    </row>
    <row r="21" spans="2:9" x14ac:dyDescent="0.25">
      <c r="B21" s="12" t="s">
        <v>45</v>
      </c>
      <c r="C21" s="9"/>
      <c r="D21" s="14"/>
      <c r="E21" s="10"/>
      <c r="G21" s="4" t="s">
        <v>31</v>
      </c>
      <c r="H21" s="43"/>
    </row>
    <row r="22" spans="2:9" x14ac:dyDescent="0.25">
      <c r="B22" s="12" t="s">
        <v>46</v>
      </c>
      <c r="C22" s="9"/>
      <c r="D22" s="14"/>
      <c r="E22" s="10"/>
    </row>
    <row r="23" spans="2:9" x14ac:dyDescent="0.25">
      <c r="B23" s="12" t="s">
        <v>47</v>
      </c>
      <c r="C23" s="9"/>
      <c r="D23" s="14"/>
      <c r="E23" s="10"/>
    </row>
    <row r="24" spans="2:9" x14ac:dyDescent="0.25">
      <c r="B24" s="12" t="s">
        <v>48</v>
      </c>
      <c r="C24" s="9"/>
      <c r="D24" s="14"/>
      <c r="E24" s="10"/>
    </row>
    <row r="25" spans="2:9" x14ac:dyDescent="0.25">
      <c r="B25" s="12" t="s">
        <v>49</v>
      </c>
      <c r="C25" s="9"/>
      <c r="D25" s="14"/>
      <c r="E25" s="10"/>
    </row>
    <row r="28" spans="2:9" x14ac:dyDescent="0.25">
      <c r="B28" s="1" t="s">
        <v>62</v>
      </c>
    </row>
    <row r="30" spans="2:9" x14ac:dyDescent="0.25">
      <c r="B30" t="s">
        <v>63</v>
      </c>
      <c r="C30" s="9"/>
      <c r="D30" s="32"/>
      <c r="E30" s="31"/>
    </row>
    <row r="31" spans="2:9" x14ac:dyDescent="0.25">
      <c r="B31" t="s">
        <v>64</v>
      </c>
      <c r="C31" s="9"/>
      <c r="D31" s="32"/>
      <c r="E31" s="31"/>
    </row>
    <row r="34" spans="2:5" x14ac:dyDescent="0.25">
      <c r="B34" s="1" t="s">
        <v>65</v>
      </c>
    </row>
    <row r="36" spans="2:5" x14ac:dyDescent="0.25">
      <c r="B36" s="33" t="s">
        <v>66</v>
      </c>
    </row>
    <row r="37" spans="2:5" ht="18" x14ac:dyDescent="0.35">
      <c r="B37" s="33" t="s">
        <v>67</v>
      </c>
    </row>
    <row r="38" spans="2:5" ht="18" x14ac:dyDescent="0.35">
      <c r="B38" s="33" t="s">
        <v>68</v>
      </c>
    </row>
    <row r="39" spans="2:5" ht="18" x14ac:dyDescent="0.35">
      <c r="B39" s="33" t="s">
        <v>69</v>
      </c>
    </row>
    <row r="40" spans="2:5" ht="18" x14ac:dyDescent="0.35">
      <c r="B40" s="33" t="s">
        <v>70</v>
      </c>
    </row>
    <row r="41" spans="2:5" ht="18" x14ac:dyDescent="0.35">
      <c r="B41" s="33" t="s">
        <v>71</v>
      </c>
    </row>
    <row r="42" spans="2:5" ht="18" x14ac:dyDescent="0.35">
      <c r="B42" s="33" t="s">
        <v>72</v>
      </c>
    </row>
    <row r="43" spans="2:5" x14ac:dyDescent="0.25">
      <c r="B43" s="33" t="s">
        <v>73</v>
      </c>
    </row>
    <row r="45" spans="2:5" x14ac:dyDescent="0.25">
      <c r="B45" s="1" t="s">
        <v>92</v>
      </c>
    </row>
    <row r="46" spans="2:5" x14ac:dyDescent="0.25">
      <c r="B46" t="s">
        <v>97</v>
      </c>
    </row>
    <row r="47" spans="2:5" x14ac:dyDescent="0.25">
      <c r="B47" s="9" t="s">
        <v>94</v>
      </c>
      <c r="C47" s="40"/>
      <c r="D47" s="40"/>
      <c r="E47" s="40"/>
    </row>
    <row r="48" spans="2:5" x14ac:dyDescent="0.25">
      <c r="B48" s="10" t="s">
        <v>31</v>
      </c>
    </row>
    <row r="49" spans="2:2" x14ac:dyDescent="0.25">
      <c r="B49" s="14" t="s">
        <v>32</v>
      </c>
    </row>
    <row r="52" spans="2:2" x14ac:dyDescent="0.25">
      <c r="B52" s="1" t="s">
        <v>95</v>
      </c>
    </row>
    <row r="53" spans="2:2" x14ac:dyDescent="0.25">
      <c r="B53" s="1" t="s">
        <v>96</v>
      </c>
    </row>
    <row r="54" spans="2:2" x14ac:dyDescent="0.25">
      <c r="B54" s="40"/>
    </row>
    <row r="55" spans="2:2" x14ac:dyDescent="0.25">
      <c r="B55" s="40"/>
    </row>
    <row r="56" spans="2:2" x14ac:dyDescent="0.25">
      <c r="B56" s="40"/>
    </row>
  </sheetData>
  <mergeCells count="1">
    <mergeCell ref="G16:I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Traces</vt:lpstr>
      <vt:lpstr>Statistics</vt:lpstr>
      <vt:lpstr>Photons</vt:lpstr>
      <vt:lpstr>Plots</vt:lpstr>
      <vt:lpstr>Colocalization and Parameters</vt:lpstr>
    </vt:vector>
  </TitlesOfParts>
  <Company>University of Leicester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Wills, Max F.K.</dc:creator>
  <cp:lastModifiedBy>Wills, Max F.K.</cp:lastModifiedBy>
  <dcterms:created xsi:type="dcterms:W3CDTF">2022-02-24T12:22:47Z</dcterms:created>
  <dcterms:modified xsi:type="dcterms:W3CDTF">2023-11-06T17:04:20Z</dcterms:modified>
</cp:coreProperties>
</file>