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Media &amp; Entertainment - TL Diana Castro/Comcast Corporation/"/>
    </mc:Choice>
  </mc:AlternateContent>
  <xr:revisionPtr revIDLastSave="4191" documentId="13_ncr:1_{7F764681-38F7-4055-A5B6-77C18C3DCE83}" xr6:coauthVersionLast="47" xr6:coauthVersionMax="47" xr10:uidLastSave="{C269B9C7-6198-4F2E-8A25-4958329E7FE1}"/>
  <bookViews>
    <workbookView xWindow="-120" yWindow="-120" windowWidth="20730" windowHeight="11160" tabRatio="644" firstSheet="5" activeTab="5" xr2:uid="{00000000-000D-0000-FFFF-FFFF00000000}"/>
  </bookViews>
  <sheets>
    <sheet name="OP" sheetId="1" r:id="rId1"/>
    <sheet name="Segments" sheetId="3" r:id="rId2"/>
    <sheet name="Acuerdo" sheetId="11" state="hidden" r:id="rId3"/>
    <sheet name="Peers" sheetId="10" r:id="rId4"/>
    <sheet name="ESG" sheetId="19" r:id="rId5"/>
    <sheet name="DCF" sheetId="4" r:id="rId6"/>
    <sheet name="Fin. Data (Common Size)" sheetId="20" r:id="rId7"/>
    <sheet name="Assum." sheetId="21" r:id="rId8"/>
    <sheet name="Fin. Data" sheetId="16" r:id="rId9"/>
    <sheet name="Inputs" sheetId="17" r:id="rId10"/>
    <sheet name="Sector Impact" sheetId="18" state="hidden" r:id="rId11"/>
  </sheets>
  <definedNames>
    <definedName name="businessresearchinsights">Segments!$D$38,Segments!$B$38</definedName>
    <definedName name="_xlnm.Print_Area" localSheetId="0">OP!$A$1:$M$81</definedName>
    <definedName name="_xlnm.Print_Area" localSheetId="1">Segments!#REF!</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4" l="1"/>
  <c r="E54" i="4"/>
  <c r="E53" i="4"/>
  <c r="D65" i="4"/>
  <c r="G7" i="4"/>
  <c r="E65" i="4"/>
  <c r="Z22" i="21" l="1"/>
  <c r="AA22" i="21" s="1"/>
  <c r="Y22" i="21"/>
  <c r="L22" i="21"/>
  <c r="M22" i="21" s="1"/>
  <c r="N22" i="21" s="1"/>
  <c r="O22" i="21" s="1"/>
  <c r="P22" i="21" s="1"/>
  <c r="Q22" i="21" s="1"/>
  <c r="R22" i="21" s="1"/>
  <c r="S22" i="21" s="1"/>
  <c r="T22" i="21" s="1"/>
  <c r="U22" i="21" s="1"/>
  <c r="V22" i="21" s="1"/>
  <c r="W22" i="21" s="1"/>
  <c r="X22" i="21" s="1"/>
  <c r="K22" i="21"/>
  <c r="J22" i="21"/>
  <c r="I30" i="21"/>
  <c r="I32" i="21"/>
  <c r="I34" i="21"/>
  <c r="J34" i="21"/>
  <c r="D65" i="21"/>
  <c r="E65" i="21"/>
  <c r="F65" i="21"/>
  <c r="G65" i="21"/>
  <c r="H65" i="21"/>
  <c r="J65" i="21"/>
  <c r="K65" i="21"/>
  <c r="L65" i="21"/>
  <c r="M65" i="21"/>
  <c r="AB22" i="21" l="1"/>
  <c r="H48" i="21" l="1"/>
  <c r="I55" i="21"/>
  <c r="D47" i="10"/>
  <c r="B77" i="17"/>
  <c r="D27" i="10"/>
  <c r="D18" i="10"/>
  <c r="D4" i="1" a="1"/>
  <c r="D4" i="1" s="1"/>
  <c r="L8" i="19" l="1"/>
  <c r="I45" i="10"/>
  <c r="F40" i="21"/>
  <c r="D40" i="21"/>
  <c r="I60" i="21"/>
  <c r="I59" i="21"/>
  <c r="G60" i="21"/>
  <c r="G59" i="21"/>
  <c r="C77" i="17"/>
  <c r="E2" i="21"/>
  <c r="K14" i="3"/>
  <c r="O8" i="3" s="1"/>
  <c r="K8" i="3"/>
  <c r="N8" i="3"/>
  <c r="M8" i="3"/>
  <c r="L8" i="3"/>
  <c r="L6" i="3"/>
  <c r="K6" i="3"/>
  <c r="G19" i="3"/>
  <c r="H30" i="10" l="1"/>
  <c r="Q11" i="19"/>
  <c r="Q7" i="19" s="1"/>
  <c r="O6" i="19"/>
  <c r="M11" i="19"/>
  <c r="N11" i="19"/>
  <c r="O11" i="19"/>
  <c r="P11" i="19"/>
  <c r="P6" i="19" s="1"/>
  <c r="C8" i="19"/>
  <c r="H47" i="10"/>
  <c r="H69" i="10"/>
  <c r="E43" i="10"/>
  <c r="E44" i="10"/>
  <c r="H43" i="10"/>
  <c r="H44" i="10"/>
  <c r="E47" i="10"/>
  <c r="F54" i="10"/>
  <c r="G54" i="10"/>
  <c r="F69" i="10"/>
  <c r="G69" i="10"/>
  <c r="E49" i="10"/>
  <c r="F47" i="10" l="1"/>
  <c r="E31" i="10"/>
  <c r="E30" i="10"/>
  <c r="E29" i="10"/>
  <c r="E28" i="10"/>
  <c r="E27" i="10"/>
  <c r="E16" i="10"/>
  <c r="E15" i="10"/>
  <c r="E14" i="10"/>
  <c r="E13" i="10"/>
  <c r="D11" i="10"/>
  <c r="E11" i="10"/>
  <c r="G10" i="10" a="1"/>
  <c r="G10" i="10" s="1"/>
  <c r="H10" i="10" a="1"/>
  <c r="H10" i="10" s="1"/>
  <c r="D10" i="10" a="1"/>
  <c r="D10" i="10" s="1"/>
  <c r="E10" i="10" a="1"/>
  <c r="E10" i="10" s="1"/>
  <c r="F10" i="10" a="1"/>
  <c r="F10" i="10" s="1"/>
  <c r="D31" i="10"/>
  <c r="D30" i="10"/>
  <c r="D28" i="10"/>
  <c r="D16" i="10"/>
  <c r="D15" i="10"/>
  <c r="D14" i="10"/>
  <c r="D13" i="10"/>
  <c r="D6" i="10" a="1"/>
  <c r="D6" i="10" s="1"/>
  <c r="C6" i="10"/>
  <c r="C3" i="10"/>
  <c r="D3" i="10" a="1"/>
  <c r="D3" i="10" s="1"/>
  <c r="D36" i="10" l="1"/>
  <c r="D37" i="10"/>
  <c r="E37" i="10"/>
  <c r="E36" i="10"/>
  <c r="H36" i="10"/>
  <c r="H37" i="10"/>
  <c r="F36" i="10"/>
  <c r="F37" i="10"/>
  <c r="G37" i="10"/>
  <c r="G36" i="10"/>
  <c r="H35" i="10"/>
  <c r="H33" i="10"/>
  <c r="H34" i="10"/>
  <c r="G35" i="10"/>
  <c r="G34" i="10"/>
  <c r="G33" i="10"/>
  <c r="D33" i="10"/>
  <c r="D34" i="10"/>
  <c r="D35" i="10"/>
  <c r="F33" i="10"/>
  <c r="F34" i="10"/>
  <c r="F35" i="10"/>
  <c r="E33" i="10"/>
  <c r="E34" i="10"/>
  <c r="E35" i="10"/>
  <c r="D49" i="10"/>
  <c r="J9" i="21" l="1"/>
  <c r="G30" i="10"/>
  <c r="D62" i="21" l="1"/>
  <c r="E62" i="21" s="1"/>
  <c r="F62" i="21" s="1"/>
  <c r="G62" i="21" s="1"/>
  <c r="H62" i="21" s="1"/>
  <c r="I62" i="21" s="1"/>
  <c r="J62" i="21" s="1"/>
  <c r="K62" i="21" s="1"/>
  <c r="L62" i="21" s="1"/>
  <c r="M62" i="21" s="1"/>
  <c r="B40" i="21"/>
  <c r="G44" i="10"/>
  <c r="G43" i="10"/>
  <c r="F43" i="10"/>
  <c r="F44" i="10"/>
  <c r="D44" i="10"/>
  <c r="D43" i="10"/>
  <c r="C43" i="10"/>
  <c r="C44" i="10"/>
  <c r="C47" i="10"/>
  <c r="C5" i="10"/>
  <c r="C4" i="10"/>
  <c r="C2" i="10"/>
  <c r="D2" i="10" a="1"/>
  <c r="D2" i="10" s="1"/>
  <c r="D5" i="10" a="1"/>
  <c r="D5" i="10" s="1"/>
  <c r="D4" i="10" a="1"/>
  <c r="D4" i="10" s="1"/>
  <c r="E2" i="1"/>
  <c r="I56" i="21"/>
  <c r="E45" i="21"/>
  <c r="F45" i="21"/>
  <c r="G45" i="21"/>
  <c r="H45" i="21"/>
  <c r="I45" i="21"/>
  <c r="J45" i="21"/>
  <c r="K45" i="21"/>
  <c r="L45" i="21"/>
  <c r="M45" i="21"/>
  <c r="N45" i="21"/>
  <c r="D45" i="21"/>
  <c r="F38" i="4"/>
  <c r="H16" i="21" s="1"/>
  <c r="E38" i="4"/>
  <c r="G16" i="21" s="1"/>
  <c r="D38" i="4"/>
  <c r="F16" i="21" s="1"/>
  <c r="Q9" i="21"/>
  <c r="R9" i="21" s="1"/>
  <c r="S9" i="21" s="1"/>
  <c r="T9" i="21" s="1"/>
  <c r="J7" i="21"/>
  <c r="K7" i="21" s="1"/>
  <c r="L7" i="21" s="1"/>
  <c r="M7" i="21" s="1"/>
  <c r="N7" i="21" s="1"/>
  <c r="O7" i="21" s="1"/>
  <c r="P7" i="21" s="1"/>
  <c r="Q7" i="21" s="1"/>
  <c r="R7" i="21" s="1"/>
  <c r="S7" i="21" s="1"/>
  <c r="T7" i="21" s="1"/>
  <c r="U7" i="21" s="1"/>
  <c r="V7" i="21" s="1"/>
  <c r="W7" i="21" s="1"/>
  <c r="X7" i="21" s="1"/>
  <c r="Y7" i="21" s="1"/>
  <c r="Z7" i="21" s="1"/>
  <c r="AA7" i="21" s="1"/>
  <c r="AB7" i="21" s="1"/>
  <c r="AC7" i="21" s="1"/>
  <c r="AD7" i="21" s="1"/>
  <c r="AE7" i="21" s="1"/>
  <c r="AF7" i="21" s="1"/>
  <c r="AG7" i="21" s="1"/>
  <c r="AH7" i="21" s="1"/>
  <c r="D40" i="4"/>
  <c r="F15" i="21" s="1"/>
  <c r="E40" i="4"/>
  <c r="G15" i="21" s="1"/>
  <c r="F40" i="4"/>
  <c r="H15" i="21" s="1"/>
  <c r="B63" i="17"/>
  <c r="F21" i="4"/>
  <c r="E5" i="4"/>
  <c r="H49" i="10"/>
  <c r="G49" i="10"/>
  <c r="F49" i="10"/>
  <c r="D32" i="17"/>
  <c r="E32" i="17"/>
  <c r="E36" i="17" s="1"/>
  <c r="F32" i="17"/>
  <c r="G32" i="17"/>
  <c r="H32" i="17"/>
  <c r="I32" i="17"/>
  <c r="J32" i="17"/>
  <c r="K32" i="17"/>
  <c r="L32" i="17"/>
  <c r="M32" i="17"/>
  <c r="D47" i="17"/>
  <c r="E47" i="17"/>
  <c r="F47" i="17"/>
  <c r="G47" i="17"/>
  <c r="H47" i="17"/>
  <c r="I47" i="17"/>
  <c r="J47" i="17"/>
  <c r="K47" i="17"/>
  <c r="K50" i="17" s="1"/>
  <c r="L47" i="17"/>
  <c r="M47" i="17"/>
  <c r="M54" i="17"/>
  <c r="L54" i="17"/>
  <c r="K54" i="17"/>
  <c r="J54" i="17"/>
  <c r="I54" i="17"/>
  <c r="H54" i="17"/>
  <c r="G54" i="17"/>
  <c r="F54" i="17"/>
  <c r="E54" i="17"/>
  <c r="D54" i="17"/>
  <c r="C54" i="17"/>
  <c r="B54" i="17"/>
  <c r="B56" i="17" s="1"/>
  <c r="I46" i="10"/>
  <c r="H22" i="10"/>
  <c r="G22" i="10"/>
  <c r="F22" i="10"/>
  <c r="E22" i="10"/>
  <c r="D22" i="10"/>
  <c r="F52" i="1"/>
  <c r="D77" i="17"/>
  <c r="F51" i="1" s="1"/>
  <c r="E77" i="17"/>
  <c r="F50" i="1" s="1"/>
  <c r="F77" i="17"/>
  <c r="F49" i="1" s="1"/>
  <c r="G77" i="17"/>
  <c r="F48" i="1" s="1"/>
  <c r="H77" i="17"/>
  <c r="F47" i="1" s="1"/>
  <c r="I77" i="17"/>
  <c r="F46" i="1" s="1"/>
  <c r="J77" i="17"/>
  <c r="F45" i="1" s="1"/>
  <c r="K77" i="17"/>
  <c r="L77" i="17"/>
  <c r="M77" i="17"/>
  <c r="F53" i="1"/>
  <c r="G47" i="10"/>
  <c r="P9" i="19"/>
  <c r="P8" i="19"/>
  <c r="P7" i="19"/>
  <c r="B23" i="17"/>
  <c r="C23" i="17"/>
  <c r="D23" i="17"/>
  <c r="E23" i="17"/>
  <c r="F23" i="17"/>
  <c r="G23" i="17"/>
  <c r="H23" i="17"/>
  <c r="I23" i="17"/>
  <c r="J23" i="17"/>
  <c r="K23" i="17"/>
  <c r="L23" i="17"/>
  <c r="M23" i="17"/>
  <c r="D21" i="4"/>
  <c r="E21" i="4"/>
  <c r="D24" i="4"/>
  <c r="D27" i="4"/>
  <c r="E27" i="4"/>
  <c r="F27" i="4"/>
  <c r="K75" i="17"/>
  <c r="L75" i="17"/>
  <c r="M75" i="17"/>
  <c r="J75" i="17"/>
  <c r="B75" i="17"/>
  <c r="F31" i="4" s="1"/>
  <c r="E67" i="17"/>
  <c r="B67" i="17"/>
  <c r="F25" i="4" s="1"/>
  <c r="M63" i="17"/>
  <c r="E63" i="17"/>
  <c r="F63" i="17"/>
  <c r="G63" i="17"/>
  <c r="H63" i="17"/>
  <c r="I63" i="17"/>
  <c r="J63" i="17"/>
  <c r="F30" i="1"/>
  <c r="F27" i="1"/>
  <c r="F28" i="1"/>
  <c r="F29" i="1"/>
  <c r="F26" i="1"/>
  <c r="F21" i="1"/>
  <c r="F20" i="1"/>
  <c r="D28" i="4"/>
  <c r="E28" i="4"/>
  <c r="F28" i="4"/>
  <c r="E75" i="17"/>
  <c r="F75" i="17"/>
  <c r="G75" i="17"/>
  <c r="H75" i="17"/>
  <c r="I75" i="17"/>
  <c r="F46" i="17"/>
  <c r="C32" i="17"/>
  <c r="D75" i="17"/>
  <c r="D31" i="4" s="1"/>
  <c r="C75" i="17"/>
  <c r="E31" i="4" s="1"/>
  <c r="D63" i="17"/>
  <c r="B31" i="17"/>
  <c r="M6" i="19"/>
  <c r="N6" i="19"/>
  <c r="Q6" i="19"/>
  <c r="M7" i="19"/>
  <c r="N7" i="19"/>
  <c r="O7" i="19"/>
  <c r="M8" i="19"/>
  <c r="N8" i="19"/>
  <c r="O8" i="19"/>
  <c r="Q8" i="19"/>
  <c r="M9" i="19"/>
  <c r="N9" i="19"/>
  <c r="O9" i="19"/>
  <c r="Q9" i="19"/>
  <c r="L14" i="3"/>
  <c r="M14" i="3"/>
  <c r="N14" i="3"/>
  <c r="O14" i="3"/>
  <c r="L15" i="3"/>
  <c r="M15" i="3"/>
  <c r="N15" i="3"/>
  <c r="O15" i="3"/>
  <c r="L16" i="3"/>
  <c r="M16" i="3"/>
  <c r="N16" i="3"/>
  <c r="O16" i="3"/>
  <c r="L17" i="3"/>
  <c r="M17" i="3"/>
  <c r="N17" i="3"/>
  <c r="O17" i="3"/>
  <c r="L18" i="3"/>
  <c r="M18" i="3"/>
  <c r="N18" i="3"/>
  <c r="O18" i="3"/>
  <c r="K15" i="3"/>
  <c r="K16" i="3"/>
  <c r="K17" i="3"/>
  <c r="K18" i="3"/>
  <c r="O6" i="3"/>
  <c r="O5" i="3"/>
  <c r="N6" i="3"/>
  <c r="N5" i="3"/>
  <c r="M6" i="3"/>
  <c r="M5" i="3"/>
  <c r="L5" i="3"/>
  <c r="K5" i="3"/>
  <c r="E11" i="4"/>
  <c r="G19" i="21" s="1"/>
  <c r="F11" i="4"/>
  <c r="H19" i="21" s="1"/>
  <c r="D11" i="4"/>
  <c r="F19" i="21" s="1"/>
  <c r="C63" i="17"/>
  <c r="D67" i="17"/>
  <c r="D25" i="4" s="1"/>
  <c r="B47" i="17"/>
  <c r="B32" i="17"/>
  <c r="D19" i="3"/>
  <c r="K19" i="3" s="1"/>
  <c r="H28" i="1"/>
  <c r="H30" i="1"/>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G28" i="10"/>
  <c r="F11" i="10"/>
  <c r="G11" i="10"/>
  <c r="H11" i="10"/>
  <c r="F13" i="10"/>
  <c r="G13" i="10"/>
  <c r="H13" i="10"/>
  <c r="F14" i="10"/>
  <c r="G14" i="10"/>
  <c r="H14" i="10"/>
  <c r="F15" i="10"/>
  <c r="G15" i="10"/>
  <c r="H15" i="10"/>
  <c r="F16" i="10"/>
  <c r="G16" i="10"/>
  <c r="H16" i="10"/>
  <c r="D17" i="10"/>
  <c r="E17" i="10"/>
  <c r="F17" i="10"/>
  <c r="G17" i="10"/>
  <c r="H17" i="10"/>
  <c r="E18" i="10"/>
  <c r="F18" i="10"/>
  <c r="G18" i="10"/>
  <c r="H18" i="10"/>
  <c r="D20" i="10"/>
  <c r="E20" i="10"/>
  <c r="F20" i="10"/>
  <c r="G20" i="10"/>
  <c r="H20" i="10"/>
  <c r="D21" i="10"/>
  <c r="E21" i="10"/>
  <c r="F21" i="10"/>
  <c r="G21" i="10"/>
  <c r="H21" i="10"/>
  <c r="D24" i="10"/>
  <c r="E24" i="10"/>
  <c r="F24" i="10"/>
  <c r="G24" i="10"/>
  <c r="H24" i="10"/>
  <c r="D25" i="10"/>
  <c r="E25" i="10"/>
  <c r="F25" i="10"/>
  <c r="G25" i="10"/>
  <c r="H25" i="10"/>
  <c r="F27" i="10"/>
  <c r="G27" i="10"/>
  <c r="H27" i="10"/>
  <c r="F28" i="10"/>
  <c r="H28" i="10"/>
  <c r="D29" i="10"/>
  <c r="F29" i="10"/>
  <c r="G29" i="10"/>
  <c r="H29" i="10"/>
  <c r="F30" i="10"/>
  <c r="F31" i="10"/>
  <c r="G31" i="10"/>
  <c r="H31" i="10"/>
  <c r="C40" i="10"/>
  <c r="C39" i="10"/>
  <c r="I9" i="10"/>
  <c r="I38" i="10"/>
  <c r="C68" i="10"/>
  <c r="C67" i="10"/>
  <c r="C64" i="10"/>
  <c r="B11" i="3"/>
  <c r="E19" i="3"/>
  <c r="F19" i="3"/>
  <c r="M19" i="3"/>
  <c r="H19" i="3"/>
  <c r="N19" i="3" s="1"/>
  <c r="I19" i="3"/>
  <c r="E9" i="3"/>
  <c r="F9" i="3"/>
  <c r="G9" i="3"/>
  <c r="H9" i="3"/>
  <c r="I9" i="3"/>
  <c r="K13" i="3"/>
  <c r="L13" i="3" s="1"/>
  <c r="M13" i="3" s="1"/>
  <c r="N13" i="3" s="1"/>
  <c r="O13" i="3" s="1"/>
  <c r="P13" i="3" s="1"/>
  <c r="K4" i="3"/>
  <c r="L4" i="3" s="1"/>
  <c r="M4" i="3" s="1"/>
  <c r="N4" i="3" s="1"/>
  <c r="O4" i="3" s="1"/>
  <c r="P4" i="3" s="1"/>
  <c r="D13" i="3"/>
  <c r="E13" i="3" s="1"/>
  <c r="F13" i="3" s="1"/>
  <c r="G13" i="3" s="1"/>
  <c r="H13" i="3" s="1"/>
  <c r="I13"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C59" i="10" s="1"/>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C67" i="20"/>
  <c r="B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2" i="20"/>
  <c r="L52" i="20"/>
  <c r="J52" i="20"/>
  <c r="I52" i="20"/>
  <c r="H52" i="20"/>
  <c r="G52" i="20"/>
  <c r="F52" i="20"/>
  <c r="E52" i="20"/>
  <c r="D52" i="20"/>
  <c r="B52" i="20"/>
  <c r="M50" i="20"/>
  <c r="L50" i="20"/>
  <c r="K50" i="20"/>
  <c r="J50" i="20"/>
  <c r="I50" i="20"/>
  <c r="H50" i="20"/>
  <c r="G50" i="20"/>
  <c r="F50" i="20"/>
  <c r="E50" i="20"/>
  <c r="D50" i="20"/>
  <c r="C50" i="20"/>
  <c r="B50" i="20"/>
  <c r="M49" i="20"/>
  <c r="L49" i="20"/>
  <c r="K49" i="20"/>
  <c r="K58" i="20" s="1"/>
  <c r="J49" i="20"/>
  <c r="J58" i="20" s="1"/>
  <c r="I49" i="20"/>
  <c r="I58" i="20" s="1"/>
  <c r="H49" i="20"/>
  <c r="G49" i="20"/>
  <c r="F49" i="20"/>
  <c r="F58" i="20" s="1"/>
  <c r="E49" i="20"/>
  <c r="D49" i="20"/>
  <c r="C49" i="20"/>
  <c r="C58" i="20" s="1"/>
  <c r="B49" i="20"/>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s="1"/>
  <c r="L39" i="20"/>
  <c r="K39" i="20"/>
  <c r="J39" i="20"/>
  <c r="I39" i="20"/>
  <c r="H39" i="20"/>
  <c r="H26" i="20" s="1"/>
  <c r="G39" i="20"/>
  <c r="F39" i="20"/>
  <c r="F26" i="20" s="1"/>
  <c r="E39" i="20"/>
  <c r="E26" i="20" s="1"/>
  <c r="D39" i="20"/>
  <c r="C39" i="20"/>
  <c r="B39" i="20"/>
  <c r="M33" i="20"/>
  <c r="L33" i="20"/>
  <c r="K33" i="20"/>
  <c r="J33" i="20"/>
  <c r="I33" i="20"/>
  <c r="I34" i="20" s="1"/>
  <c r="H33" i="20"/>
  <c r="G33" i="20"/>
  <c r="F33" i="20"/>
  <c r="E33" i="20"/>
  <c r="D33" i="20"/>
  <c r="C33" i="20"/>
  <c r="B33" i="20"/>
  <c r="M32" i="20"/>
  <c r="M34" i="20" s="1"/>
  <c r="L32" i="20"/>
  <c r="K32" i="20"/>
  <c r="J32" i="20"/>
  <c r="I32" i="20"/>
  <c r="H32" i="20"/>
  <c r="G32" i="20"/>
  <c r="F32" i="20"/>
  <c r="E32" i="20"/>
  <c r="E34" i="20" s="1"/>
  <c r="D32" i="20"/>
  <c r="C32" i="20"/>
  <c r="B32" i="20"/>
  <c r="M28" i="20"/>
  <c r="L28" i="20"/>
  <c r="K28" i="20"/>
  <c r="J28" i="20"/>
  <c r="I28" i="20"/>
  <c r="I35" i="20" s="1"/>
  <c r="H28" i="20"/>
  <c r="G28" i="20"/>
  <c r="F28" i="20"/>
  <c r="E28" i="20"/>
  <c r="D28" i="20"/>
  <c r="C28" i="20"/>
  <c r="B28" i="20"/>
  <c r="M27" i="20"/>
  <c r="M35" i="20" s="1"/>
  <c r="M36" i="20" s="1"/>
  <c r="L27" i="20"/>
  <c r="K27" i="20"/>
  <c r="J27" i="20"/>
  <c r="I27" i="20"/>
  <c r="H27" i="20"/>
  <c r="G27" i="20"/>
  <c r="F27" i="20"/>
  <c r="E27" i="20"/>
  <c r="D27" i="20"/>
  <c r="C27" i="20"/>
  <c r="B27" i="20"/>
  <c r="M23" i="20"/>
  <c r="L23" i="20"/>
  <c r="K23" i="20"/>
  <c r="J23" i="20"/>
  <c r="I23" i="20"/>
  <c r="H23" i="20"/>
  <c r="G23" i="20"/>
  <c r="F23" i="20"/>
  <c r="E23" i="20"/>
  <c r="D23" i="20"/>
  <c r="C23" i="20"/>
  <c r="B23" i="20"/>
  <c r="M21" i="20"/>
  <c r="M22" i="20" s="1"/>
  <c r="L21" i="20"/>
  <c r="K21" i="20"/>
  <c r="J21" i="20"/>
  <c r="I21" i="20"/>
  <c r="H21" i="20"/>
  <c r="G21" i="20"/>
  <c r="F21" i="20"/>
  <c r="F22" i="20" s="1"/>
  <c r="E21" i="20"/>
  <c r="D21" i="20"/>
  <c r="C21" i="20"/>
  <c r="B21" i="20"/>
  <c r="M15" i="20"/>
  <c r="L15" i="20"/>
  <c r="K15" i="20"/>
  <c r="J15" i="20"/>
  <c r="I15" i="20"/>
  <c r="H15" i="20"/>
  <c r="G15" i="20"/>
  <c r="F15" i="20"/>
  <c r="E15" i="20"/>
  <c r="D15" i="20"/>
  <c r="C15" i="20"/>
  <c r="B15" i="20"/>
  <c r="M14" i="20"/>
  <c r="L14" i="20"/>
  <c r="K14" i="20"/>
  <c r="J14" i="20"/>
  <c r="I14" i="20"/>
  <c r="H14" i="20"/>
  <c r="G14" i="20"/>
  <c r="F14" i="20"/>
  <c r="E14" i="20"/>
  <c r="D14" i="20"/>
  <c r="C14" i="20"/>
  <c r="B14" i="20"/>
  <c r="M11" i="20"/>
  <c r="L11" i="20"/>
  <c r="L16" i="20" s="1"/>
  <c r="K11" i="20"/>
  <c r="J11" i="20"/>
  <c r="I11" i="20"/>
  <c r="H11" i="20"/>
  <c r="G11" i="20"/>
  <c r="G16" i="20" s="1"/>
  <c r="F11" i="20"/>
  <c r="F16" i="20" s="1"/>
  <c r="E11" i="20"/>
  <c r="D11" i="20"/>
  <c r="C11" i="20"/>
  <c r="B11" i="20"/>
  <c r="M7" i="20"/>
  <c r="M8" i="20" s="1"/>
  <c r="L7" i="20"/>
  <c r="K7" i="20"/>
  <c r="J7" i="20"/>
  <c r="I7" i="20"/>
  <c r="H7" i="20"/>
  <c r="G7" i="20"/>
  <c r="F7" i="20"/>
  <c r="E7" i="20"/>
  <c r="D7" i="20"/>
  <c r="C7" i="20"/>
  <c r="B7" i="20"/>
  <c r="M5" i="20"/>
  <c r="M6" i="20"/>
  <c r="L5" i="20"/>
  <c r="L6" i="20" s="1"/>
  <c r="K5" i="20"/>
  <c r="K9" i="20" s="1"/>
  <c r="K10" i="20" s="1"/>
  <c r="J5" i="20"/>
  <c r="I5" i="20"/>
  <c r="H5" i="20"/>
  <c r="G5" i="20"/>
  <c r="F5" i="20"/>
  <c r="E5" i="20"/>
  <c r="E12" i="20" s="1"/>
  <c r="E9" i="20"/>
  <c r="E10" i="20" s="1"/>
  <c r="D5" i="20"/>
  <c r="D24" i="20" s="1"/>
  <c r="C5" i="20"/>
  <c r="B5" i="20"/>
  <c r="B4" i="20"/>
  <c r="C4" i="20" s="1"/>
  <c r="A2" i="20"/>
  <c r="A1"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66" i="10" s="1"/>
  <c r="M42" i="16"/>
  <c r="L42" i="16"/>
  <c r="K42" i="16"/>
  <c r="J42" i="16"/>
  <c r="I42" i="16"/>
  <c r="H42" i="16"/>
  <c r="G42" i="16"/>
  <c r="F42" i="16"/>
  <c r="E42" i="16"/>
  <c r="D42" i="16"/>
  <c r="C42" i="16"/>
  <c r="B42" i="16"/>
  <c r="C65" i="10" s="1"/>
  <c r="M41" i="16"/>
  <c r="L41" i="16"/>
  <c r="K41" i="16"/>
  <c r="J41" i="16"/>
  <c r="I41" i="16"/>
  <c r="H41" i="16"/>
  <c r="G41" i="16"/>
  <c r="F41" i="16"/>
  <c r="E41" i="16"/>
  <c r="D41" i="16"/>
  <c r="C41" i="16"/>
  <c r="B41" i="16"/>
  <c r="C63" i="10" s="1"/>
  <c r="M40" i="16"/>
  <c r="L40" i="16"/>
  <c r="K40" i="16"/>
  <c r="J40" i="16"/>
  <c r="I40" i="16"/>
  <c r="H40" i="16"/>
  <c r="G40" i="16"/>
  <c r="F40" i="16"/>
  <c r="E40" i="16"/>
  <c r="D40" i="16"/>
  <c r="C40" i="16"/>
  <c r="B40" i="16"/>
  <c r="C62" i="10" s="1"/>
  <c r="M39" i="16"/>
  <c r="M26" i="16" s="1"/>
  <c r="L39" i="16"/>
  <c r="L26" i="16" s="1"/>
  <c r="K39" i="16"/>
  <c r="J39" i="16"/>
  <c r="J26" i="16" s="1"/>
  <c r="I39" i="16"/>
  <c r="H39" i="16"/>
  <c r="G39" i="16"/>
  <c r="F39" i="16"/>
  <c r="E39" i="16"/>
  <c r="D39" i="16"/>
  <c r="D43" i="4" s="1"/>
  <c r="C39" i="16"/>
  <c r="B39" i="16"/>
  <c r="M33" i="16"/>
  <c r="L33" i="16"/>
  <c r="K33" i="16"/>
  <c r="J33" i="16"/>
  <c r="I33" i="16"/>
  <c r="H33" i="16"/>
  <c r="G33" i="16"/>
  <c r="F33" i="16"/>
  <c r="D14" i="21" s="1"/>
  <c r="E33" i="16"/>
  <c r="D33" i="16"/>
  <c r="F14" i="21" s="1"/>
  <c r="C33" i="16"/>
  <c r="E24" i="4" s="1"/>
  <c r="B33" i="16"/>
  <c r="M32" i="16"/>
  <c r="L32" i="16"/>
  <c r="K32" i="16"/>
  <c r="J32" i="16"/>
  <c r="I32" i="16"/>
  <c r="H32" i="16"/>
  <c r="G32" i="16"/>
  <c r="F32" i="16"/>
  <c r="E32" i="16"/>
  <c r="D32" i="16"/>
  <c r="C32" i="16"/>
  <c r="E23" i="4" s="1"/>
  <c r="B32" i="16"/>
  <c r="M28" i="16"/>
  <c r="L28" i="16"/>
  <c r="K28" i="16"/>
  <c r="J28" i="16"/>
  <c r="I28" i="16"/>
  <c r="H28" i="16"/>
  <c r="G28" i="16"/>
  <c r="F28" i="16"/>
  <c r="E28" i="16"/>
  <c r="D28" i="16"/>
  <c r="C28" i="16"/>
  <c r="E29" i="4" s="1"/>
  <c r="B28" i="16"/>
  <c r="M27" i="16"/>
  <c r="L27" i="16"/>
  <c r="K27" i="16"/>
  <c r="J27" i="16"/>
  <c r="I27" i="16"/>
  <c r="H27" i="16"/>
  <c r="G27" i="16"/>
  <c r="F27" i="16"/>
  <c r="E27" i="16"/>
  <c r="D27" i="16"/>
  <c r="C27" i="16"/>
  <c r="E30" i="4" s="1"/>
  <c r="B27" i="16"/>
  <c r="M23" i="16"/>
  <c r="L23" i="16"/>
  <c r="K23" i="16"/>
  <c r="J23" i="16"/>
  <c r="I23" i="16"/>
  <c r="H23" i="16"/>
  <c r="G23" i="16"/>
  <c r="F23" i="16"/>
  <c r="E23" i="16"/>
  <c r="D23" i="16"/>
  <c r="C23" i="16"/>
  <c r="E17" i="4" s="1"/>
  <c r="E19" i="4" s="1"/>
  <c r="E22" i="4" s="1"/>
  <c r="M21" i="16"/>
  <c r="L21" i="16"/>
  <c r="K21" i="16"/>
  <c r="J21" i="16"/>
  <c r="I21" i="16"/>
  <c r="H21" i="16"/>
  <c r="G21" i="16"/>
  <c r="F21" i="16"/>
  <c r="E21" i="16"/>
  <c r="D21" i="16"/>
  <c r="C21" i="16"/>
  <c r="E16" i="4" s="1"/>
  <c r="B21" i="16"/>
  <c r="F16" i="4" s="1"/>
  <c r="M17" i="16"/>
  <c r="M17" i="20" s="1"/>
  <c r="L17" i="16"/>
  <c r="L17" i="20" s="1"/>
  <c r="K17" i="16"/>
  <c r="K17" i="20" s="1"/>
  <c r="J17" i="16"/>
  <c r="J17" i="20" s="1"/>
  <c r="I17" i="16"/>
  <c r="I17" i="20" s="1"/>
  <c r="H17" i="16"/>
  <c r="H17" i="20" s="1"/>
  <c r="G17" i="16"/>
  <c r="G17" i="20" s="1"/>
  <c r="F17" i="16"/>
  <c r="F17" i="20"/>
  <c r="E17" i="16"/>
  <c r="E17" i="20" s="1"/>
  <c r="D17" i="16"/>
  <c r="D17" i="20" s="1"/>
  <c r="C17" i="16"/>
  <c r="C17" i="20" s="1"/>
  <c r="B17" i="16"/>
  <c r="B17" i="20" s="1"/>
  <c r="M15" i="16"/>
  <c r="L15" i="16"/>
  <c r="K15" i="16"/>
  <c r="J15" i="16"/>
  <c r="I15" i="16"/>
  <c r="H15" i="16"/>
  <c r="G15" i="16"/>
  <c r="F15" i="16"/>
  <c r="E15" i="16"/>
  <c r="D15" i="16"/>
  <c r="C15" i="16"/>
  <c r="E14" i="4" s="1"/>
  <c r="B15" i="16"/>
  <c r="M14" i="16"/>
  <c r="L14" i="16"/>
  <c r="K14" i="16"/>
  <c r="J14" i="16"/>
  <c r="I14" i="16"/>
  <c r="H14" i="16"/>
  <c r="G14" i="16"/>
  <c r="F14" i="16"/>
  <c r="E14" i="16"/>
  <c r="D14" i="16"/>
  <c r="D13" i="4" s="1"/>
  <c r="C14" i="16"/>
  <c r="E13" i="4" s="1"/>
  <c r="B14" i="16"/>
  <c r="C57" i="10" s="1"/>
  <c r="C11" i="16"/>
  <c r="E8" i="4" s="1"/>
  <c r="D11" i="16"/>
  <c r="D8" i="4" s="1"/>
  <c r="D7" i="4" s="1"/>
  <c r="E11" i="16"/>
  <c r="F11" i="16"/>
  <c r="G11" i="16"/>
  <c r="H11" i="16"/>
  <c r="I11" i="16"/>
  <c r="J11" i="16"/>
  <c r="K11" i="16"/>
  <c r="L11" i="16"/>
  <c r="M11" i="16"/>
  <c r="B11" i="16"/>
  <c r="C7" i="16"/>
  <c r="D7" i="16"/>
  <c r="E7" i="16"/>
  <c r="F7" i="16"/>
  <c r="G7" i="16"/>
  <c r="H7" i="16"/>
  <c r="I7" i="16"/>
  <c r="J7" i="16"/>
  <c r="K7" i="16"/>
  <c r="L7" i="16"/>
  <c r="M7" i="16"/>
  <c r="B7" i="16"/>
  <c r="M5" i="16"/>
  <c r="L5" i="16"/>
  <c r="L9" i="16" s="1"/>
  <c r="L10" i="16" s="1"/>
  <c r="K5" i="16"/>
  <c r="J5" i="16"/>
  <c r="I5" i="16"/>
  <c r="H5" i="16"/>
  <c r="G5" i="16"/>
  <c r="C8" i="21" s="1"/>
  <c r="F5" i="16"/>
  <c r="E5" i="16"/>
  <c r="D5" i="16"/>
  <c r="F8" i="21" s="1"/>
  <c r="C5" i="16"/>
  <c r="B5" i="16"/>
  <c r="C53" i="10" s="1"/>
  <c r="M13" i="17"/>
  <c r="M14" i="17" s="1"/>
  <c r="L13" i="17"/>
  <c r="L14" i="17" s="1"/>
  <c r="K13" i="17"/>
  <c r="K14" i="17" s="1"/>
  <c r="J13" i="17"/>
  <c r="J14" i="17" s="1"/>
  <c r="I13" i="17"/>
  <c r="I14" i="17" s="1"/>
  <c r="H13" i="17"/>
  <c r="H14" i="17" s="1"/>
  <c r="G13" i="17"/>
  <c r="G14" i="17" s="1"/>
  <c r="F13" i="17"/>
  <c r="F14" i="17" s="1"/>
  <c r="E13" i="17"/>
  <c r="E14" i="17" s="1"/>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36" i="17"/>
  <c r="B36" i="17"/>
  <c r="B37" i="17" s="1"/>
  <c r="B43" i="16" s="1"/>
  <c r="C31" i="17"/>
  <c r="D31" i="17"/>
  <c r="E31" i="17"/>
  <c r="F31" i="17"/>
  <c r="G31" i="17"/>
  <c r="H31" i="17"/>
  <c r="I31" i="17"/>
  <c r="J31" i="17"/>
  <c r="K31" i="17"/>
  <c r="L31" i="17"/>
  <c r="M31" i="17"/>
  <c r="C44" i="16"/>
  <c r="B44" i="20"/>
  <c r="B56" i="16"/>
  <c r="D50" i="17"/>
  <c r="D55" i="16" s="1"/>
  <c r="E50" i="17"/>
  <c r="F50" i="17"/>
  <c r="F55" i="20" s="1"/>
  <c r="F55" i="16"/>
  <c r="G50" i="17"/>
  <c r="G55" i="16" s="1"/>
  <c r="G55" i="20"/>
  <c r="H50" i="17"/>
  <c r="I50" i="17"/>
  <c r="I55" i="16" s="1"/>
  <c r="I55" i="20"/>
  <c r="J50" i="17"/>
  <c r="L50" i="17"/>
  <c r="L55" i="20" s="1"/>
  <c r="M50" i="17"/>
  <c r="B50" i="17"/>
  <c r="B55" i="16" s="1"/>
  <c r="C46" i="17"/>
  <c r="D46" i="17"/>
  <c r="D51" i="16" s="1"/>
  <c r="E46" i="17"/>
  <c r="E51" i="20" s="1"/>
  <c r="F51" i="20"/>
  <c r="G46" i="17"/>
  <c r="G51" i="16" s="1"/>
  <c r="H46" i="17"/>
  <c r="H51" i="20" s="1"/>
  <c r="I46" i="17"/>
  <c r="I51" i="16" s="1"/>
  <c r="I51" i="20"/>
  <c r="J46" i="17"/>
  <c r="J51" i="16" s="1"/>
  <c r="K46" i="17"/>
  <c r="K51" i="16" s="1"/>
  <c r="L46" i="17"/>
  <c r="M46" i="17"/>
  <c r="M51" i="16" s="1"/>
  <c r="B46" i="17"/>
  <c r="B51" i="16" s="1"/>
  <c r="AB38" i="17"/>
  <c r="H26" i="1"/>
  <c r="H29" i="1"/>
  <c r="C24" i="10"/>
  <c r="D13" i="17"/>
  <c r="D14" i="17" s="1"/>
  <c r="C13" i="17"/>
  <c r="C14" i="17" s="1"/>
  <c r="B13" i="17"/>
  <c r="B14" i="17" s="1"/>
  <c r="F51" i="16"/>
  <c r="B56" i="20"/>
  <c r="C44" i="20"/>
  <c r="B2" i="3"/>
  <c r="B5" i="17"/>
  <c r="C5" i="17" s="1"/>
  <c r="B4" i="16"/>
  <c r="C4" i="16" s="1"/>
  <c r="D4" i="16" s="1"/>
  <c r="E4" i="16" s="1"/>
  <c r="F4" i="16" s="1"/>
  <c r="G4" i="16" s="1"/>
  <c r="H4" i="16" s="1"/>
  <c r="I4" i="16" s="1"/>
  <c r="J4" i="16" s="1"/>
  <c r="K4" i="16" s="1"/>
  <c r="L4" i="16" s="1"/>
  <c r="M4" i="16" s="1"/>
  <c r="L45" i="1"/>
  <c r="M45" i="1" s="1"/>
  <c r="B53" i="1"/>
  <c r="B52" i="1" s="1"/>
  <c r="B51" i="1" s="1"/>
  <c r="B50" i="1" s="1"/>
  <c r="B49" i="1" s="1"/>
  <c r="B48" i="1" s="1"/>
  <c r="B47" i="1" s="1"/>
  <c r="B46" i="1" s="1"/>
  <c r="B45" i="1" s="1"/>
  <c r="B84" i="17"/>
  <c r="B82" i="16" s="1"/>
  <c r="B83" i="17"/>
  <c r="B81" i="16" s="1"/>
  <c r="B82" i="17"/>
  <c r="B69" i="20" s="1"/>
  <c r="I26" i="10"/>
  <c r="C12" i="19"/>
  <c r="C13" i="19"/>
  <c r="C14" i="19"/>
  <c r="C15" i="19"/>
  <c r="C16" i="19"/>
  <c r="C17" i="19"/>
  <c r="C18" i="19"/>
  <c r="C19" i="19"/>
  <c r="C20" i="19"/>
  <c r="C21" i="19"/>
  <c r="C22" i="19"/>
  <c r="C7" i="19"/>
  <c r="C9" i="19"/>
  <c r="C10" i="19"/>
  <c r="I12" i="10"/>
  <c r="I40" i="10"/>
  <c r="M22" i="17"/>
  <c r="M18" i="20" s="1"/>
  <c r="C87" i="17"/>
  <c r="D87" i="17" s="1"/>
  <c r="AD53" i="17"/>
  <c r="AC53" i="17"/>
  <c r="G56" i="16"/>
  <c r="AD52" i="17"/>
  <c r="AC52" i="17"/>
  <c r="AG49" i="17"/>
  <c r="AG52" i="17" s="1"/>
  <c r="AF49" i="17"/>
  <c r="AF52" i="17" s="1"/>
  <c r="AE49" i="17"/>
  <c r="AB49" i="17"/>
  <c r="AA49" i="17"/>
  <c r="AA52" i="17" s="1"/>
  <c r="Z49" i="17"/>
  <c r="Z53" i="17" s="1"/>
  <c r="L56" i="20"/>
  <c r="E56" i="17"/>
  <c r="E63" i="20" s="1"/>
  <c r="D56" i="20"/>
  <c r="AD48" i="17"/>
  <c r="AC48" i="17"/>
  <c r="AB48" i="17"/>
  <c r="AA48" i="17"/>
  <c r="Z48" i="17"/>
  <c r="AG44" i="17"/>
  <c r="AG48" i="17" s="1"/>
  <c r="AF44" i="17"/>
  <c r="AF48" i="17" s="1"/>
  <c r="AE44" i="17"/>
  <c r="AE48" i="17" s="1"/>
  <c r="AG39" i="17"/>
  <c r="AF39" i="17"/>
  <c r="AE39" i="17"/>
  <c r="AD39" i="17"/>
  <c r="AC39" i="17"/>
  <c r="AB31" i="17"/>
  <c r="AA31" i="17"/>
  <c r="AA39" i="17" s="1"/>
  <c r="Z31" i="17"/>
  <c r="Z39" i="17" s="1"/>
  <c r="AA25" i="17"/>
  <c r="O74" i="17"/>
  <c r="AE12" i="17"/>
  <c r="AG11" i="17"/>
  <c r="AF11" i="17"/>
  <c r="AE11" i="17"/>
  <c r="AD11" i="17"/>
  <c r="L22" i="17"/>
  <c r="L18" i="20" s="1"/>
  <c r="H22" i="17"/>
  <c r="H18" i="20" s="1"/>
  <c r="D22" i="17"/>
  <c r="D18" i="20" s="1"/>
  <c r="J22" i="17"/>
  <c r="J18" i="20" s="1"/>
  <c r="G22" i="17"/>
  <c r="G18" i="20" s="1"/>
  <c r="F22" i="17"/>
  <c r="E22" i="17"/>
  <c r="E18" i="16" s="1"/>
  <c r="E18" i="20"/>
  <c r="C22" i="17"/>
  <c r="C18" i="16" s="1"/>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c r="Z7" i="17"/>
  <c r="Z8" i="17" s="1"/>
  <c r="O7" i="17"/>
  <c r="A2" i="16"/>
  <c r="A1" i="16"/>
  <c r="H56" i="17"/>
  <c r="H63" i="20" s="1"/>
  <c r="F56" i="16"/>
  <c r="D9" i="3"/>
  <c r="B7" i="3" s="1"/>
  <c r="B19" i="3"/>
  <c r="H27" i="1"/>
  <c r="F5" i="4"/>
  <c r="D56" i="16"/>
  <c r="J56" i="16"/>
  <c r="J56" i="20"/>
  <c r="E56" i="16"/>
  <c r="H56" i="16"/>
  <c r="H56" i="20"/>
  <c r="L56" i="16"/>
  <c r="M56" i="20"/>
  <c r="M56" i="16"/>
  <c r="I56" i="16"/>
  <c r="I56" i="20"/>
  <c r="I39" i="10"/>
  <c r="I19" i="10"/>
  <c r="I32" i="10"/>
  <c r="F36" i="17"/>
  <c r="J56" i="17"/>
  <c r="J64" i="16" s="1"/>
  <c r="J36" i="17"/>
  <c r="M44" i="16"/>
  <c r="M36" i="17"/>
  <c r="I44" i="16"/>
  <c r="I36" i="17"/>
  <c r="E44" i="16"/>
  <c r="G36" i="17"/>
  <c r="K36" i="17"/>
  <c r="H36" i="17"/>
  <c r="L44" i="16"/>
  <c r="L36" i="17"/>
  <c r="L44" i="20"/>
  <c r="G44" i="20"/>
  <c r="J44" i="16"/>
  <c r="J44" i="20"/>
  <c r="M56" i="17"/>
  <c r="M64" i="16" s="1"/>
  <c r="F56" i="17"/>
  <c r="F64" i="16" s="1"/>
  <c r="H44" i="20"/>
  <c r="F44" i="20"/>
  <c r="K44" i="16"/>
  <c r="F44" i="16"/>
  <c r="G44" i="16"/>
  <c r="H44" i="16"/>
  <c r="K44" i="20"/>
  <c r="E44" i="20"/>
  <c r="M44" i="20"/>
  <c r="I44" i="20"/>
  <c r="I56" i="17"/>
  <c r="I63" i="20" s="1"/>
  <c r="D36" i="17"/>
  <c r="D56" i="17"/>
  <c r="D63" i="20" s="1"/>
  <c r="C56" i="17"/>
  <c r="C64" i="16" s="1"/>
  <c r="C56" i="16"/>
  <c r="C47" i="17"/>
  <c r="C50" i="17" s="1"/>
  <c r="C56" i="20"/>
  <c r="D44" i="20"/>
  <c r="D44" i="16"/>
  <c r="B68" i="16"/>
  <c r="B75" i="16"/>
  <c r="C68" i="16"/>
  <c r="C67" i="17"/>
  <c r="E25" i="4" s="1"/>
  <c r="K56" i="20"/>
  <c r="K56" i="17"/>
  <c r="K63" i="20" s="1"/>
  <c r="K56" i="16"/>
  <c r="K52" i="16"/>
  <c r="K52" i="20"/>
  <c r="K63" i="17"/>
  <c r="K67" i="16"/>
  <c r="L63" i="17"/>
  <c r="L67" i="16"/>
  <c r="J68" i="16"/>
  <c r="L68" i="16"/>
  <c r="M68" i="16"/>
  <c r="I44" i="10"/>
  <c r="L9" i="3"/>
  <c r="O9" i="3"/>
  <c r="N9" i="3"/>
  <c r="L19" i="3"/>
  <c r="M9" i="3"/>
  <c r="Q48" i="1"/>
  <c r="F54" i="1"/>
  <c r="Q51" i="1"/>
  <c r="Q50" i="1"/>
  <c r="F57" i="1"/>
  <c r="Q53" i="1"/>
  <c r="G56" i="17"/>
  <c r="G63" i="20" s="1"/>
  <c r="E56" i="20"/>
  <c r="F56" i="20"/>
  <c r="G56" i="20"/>
  <c r="L56" i="17"/>
  <c r="L63" i="20" s="1"/>
  <c r="B22" i="17"/>
  <c r="B18" i="16" s="1"/>
  <c r="I47" i="10"/>
  <c r="C19" i="1" a="1"/>
  <c r="C19" i="1" s="1"/>
  <c r="D73" i="4" s="1"/>
  <c r="C49" i="10"/>
  <c r="F14" i="4" l="1"/>
  <c r="O15" i="16"/>
  <c r="H27" i="21"/>
  <c r="I27" i="21" s="1"/>
  <c r="J27" i="21" a="1"/>
  <c r="J27" i="21" s="1"/>
  <c r="K30" i="21" a="1"/>
  <c r="K30" i="21" s="1"/>
  <c r="F23" i="4"/>
  <c r="J13" i="21" a="1"/>
  <c r="J13" i="21" s="1"/>
  <c r="C23" i="1"/>
  <c r="J14" i="21"/>
  <c r="E63" i="4" s="1"/>
  <c r="I16" i="21"/>
  <c r="D54" i="4" s="1"/>
  <c r="D61" i="4" s="1"/>
  <c r="E61" i="4" s="1"/>
  <c r="F24" i="4"/>
  <c r="B16" i="16"/>
  <c r="K23" i="1" s="1"/>
  <c r="B12" i="16"/>
  <c r="C11" i="10"/>
  <c r="I11" i="10" s="1"/>
  <c r="G26" i="20"/>
  <c r="G29" i="20" s="1"/>
  <c r="B51" i="20"/>
  <c r="M12" i="20"/>
  <c r="M13" i="20" s="1"/>
  <c r="K51" i="20"/>
  <c r="J37" i="17"/>
  <c r="J43" i="20" s="1"/>
  <c r="I22" i="17"/>
  <c r="M18" i="16"/>
  <c r="G24" i="16"/>
  <c r="G35" i="16"/>
  <c r="G36" i="16" s="1"/>
  <c r="AB39" i="17"/>
  <c r="AE13" i="17"/>
  <c r="AE14" i="17" s="1"/>
  <c r="M8" i="16"/>
  <c r="G8" i="16"/>
  <c r="D18" i="16"/>
  <c r="Q47" i="1"/>
  <c r="C59" i="20"/>
  <c r="Z13" i="17"/>
  <c r="Z14" i="17" s="1"/>
  <c r="J22" i="20"/>
  <c r="M58" i="20"/>
  <c r="M59" i="20" s="1"/>
  <c r="D64" i="16"/>
  <c r="F37" i="17"/>
  <c r="F43" i="16" s="1"/>
  <c r="G18" i="16"/>
  <c r="B70" i="20"/>
  <c r="K8" i="16"/>
  <c r="J8" i="16"/>
  <c r="E32" i="4"/>
  <c r="K35" i="16"/>
  <c r="K36" i="16" s="1"/>
  <c r="J8" i="20"/>
  <c r="I24" i="20"/>
  <c r="K9" i="16"/>
  <c r="K10" i="16" s="1"/>
  <c r="M16" i="16"/>
  <c r="L35" i="16"/>
  <c r="L36" i="16" s="1"/>
  <c r="G34" i="16"/>
  <c r="J12" i="20"/>
  <c r="J59" i="20"/>
  <c r="C58" i="16"/>
  <c r="C59" i="16" s="1"/>
  <c r="G8" i="20"/>
  <c r="G22" i="20"/>
  <c r="G34" i="20"/>
  <c r="K59" i="20"/>
  <c r="AA53" i="17"/>
  <c r="I35" i="16"/>
  <c r="I36" i="16" s="1"/>
  <c r="D35" i="20"/>
  <c r="D36" i="20" s="1"/>
  <c r="J51" i="20"/>
  <c r="D51" i="20"/>
  <c r="K24" i="16"/>
  <c r="F26" i="16"/>
  <c r="F29" i="16" s="1"/>
  <c r="F24" i="20"/>
  <c r="E24" i="20"/>
  <c r="D25" i="20" s="1"/>
  <c r="O19" i="3"/>
  <c r="K55" i="16"/>
  <c r="K55" i="20"/>
  <c r="B64" i="16"/>
  <c r="C70" i="10" s="1"/>
  <c r="B63" i="20"/>
  <c r="K22" i="17"/>
  <c r="K18" i="20" s="1"/>
  <c r="I6" i="20"/>
  <c r="K37" i="17"/>
  <c r="K43" i="20" s="1"/>
  <c r="C37" i="17"/>
  <c r="C43" i="20" s="1"/>
  <c r="H37" i="17"/>
  <c r="H43" i="16" s="1"/>
  <c r="D8" i="16"/>
  <c r="L64" i="16"/>
  <c r="F63" i="20"/>
  <c r="B91" i="16"/>
  <c r="D37" i="17"/>
  <c r="D43" i="20" s="1"/>
  <c r="L24" i="16"/>
  <c r="D58" i="20"/>
  <c r="D59" i="20" s="1"/>
  <c r="L58" i="20"/>
  <c r="L59" i="20" s="1"/>
  <c r="F19" i="20"/>
  <c r="F20" i="20" s="1"/>
  <c r="G24" i="20"/>
  <c r="C35" i="20"/>
  <c r="C36" i="20" s="1"/>
  <c r="K35" i="20"/>
  <c r="K36" i="20" s="1"/>
  <c r="K34" i="20"/>
  <c r="E58" i="20"/>
  <c r="E59" i="20" s="1"/>
  <c r="C52" i="20"/>
  <c r="E37" i="17"/>
  <c r="E43" i="16" s="1"/>
  <c r="K6" i="16"/>
  <c r="I34" i="16"/>
  <c r="I26" i="16"/>
  <c r="I29" i="16" s="1"/>
  <c r="D8" i="20"/>
  <c r="L35" i="20"/>
  <c r="L36" i="20" s="1"/>
  <c r="L34" i="20"/>
  <c r="F6" i="16"/>
  <c r="D8" i="21"/>
  <c r="D9" i="21" s="1"/>
  <c r="J9" i="20"/>
  <c r="J10" i="20" s="1"/>
  <c r="AF13" i="17"/>
  <c r="AF14" i="17" s="1"/>
  <c r="E55" i="16"/>
  <c r="E55" i="20"/>
  <c r="I37" i="17"/>
  <c r="I43" i="16" s="1"/>
  <c r="J18" i="16"/>
  <c r="M35" i="16"/>
  <c r="M36" i="16" s="1"/>
  <c r="E24" i="16"/>
  <c r="C51" i="10"/>
  <c r="C14" i="10" s="1"/>
  <c r="I14" i="10" s="1"/>
  <c r="J55" i="20"/>
  <c r="J55" i="16"/>
  <c r="E51" i="16"/>
  <c r="M9" i="16"/>
  <c r="M10" i="16" s="1"/>
  <c r="AB53" i="17"/>
  <c r="AB52" i="17"/>
  <c r="B18" i="20"/>
  <c r="AE53" i="17"/>
  <c r="M22" i="16"/>
  <c r="L6" i="16"/>
  <c r="B43" i="20"/>
  <c r="C52" i="16"/>
  <c r="K64" i="16"/>
  <c r="F18" i="16"/>
  <c r="F18" i="20"/>
  <c r="AF53" i="17"/>
  <c r="C8" i="20"/>
  <c r="B26" i="20"/>
  <c r="B29" i="20" s="1"/>
  <c r="J26" i="20"/>
  <c r="J29" i="20" s="1"/>
  <c r="F59" i="20"/>
  <c r="I9" i="20"/>
  <c r="I10" i="20" s="1"/>
  <c r="I8" i="20"/>
  <c r="I16" i="20"/>
  <c r="I12" i="20"/>
  <c r="I43" i="10"/>
  <c r="I15" i="21"/>
  <c r="D53" i="4" s="1"/>
  <c r="G9" i="4" s="1"/>
  <c r="J24" i="20"/>
  <c r="F35" i="20"/>
  <c r="F36" i="20" s="1"/>
  <c r="I36" i="20"/>
  <c r="E29" i="20"/>
  <c r="M29" i="20"/>
  <c r="I59" i="20"/>
  <c r="AG13" i="17"/>
  <c r="AG14" i="17" s="1"/>
  <c r="I9" i="16"/>
  <c r="I10" i="16" s="1"/>
  <c r="G16" i="16"/>
  <c r="I16" i="16"/>
  <c r="F22" i="16"/>
  <c r="L34" i="16"/>
  <c r="L29" i="16"/>
  <c r="K58" i="16"/>
  <c r="K59" i="16" s="1"/>
  <c r="G58" i="16"/>
  <c r="G60" i="16" s="1"/>
  <c r="C9" i="20"/>
  <c r="C10" i="20" s="1"/>
  <c r="K19" i="20"/>
  <c r="K20" i="20" s="1"/>
  <c r="C24" i="20"/>
  <c r="C25" i="20" s="1"/>
  <c r="G35" i="20"/>
  <c r="G36" i="20" s="1"/>
  <c r="F34" i="20"/>
  <c r="M37" i="17"/>
  <c r="J9" i="16"/>
  <c r="J10" i="16" s="1"/>
  <c r="F19" i="16"/>
  <c r="F20" i="16" s="1"/>
  <c r="J19" i="16"/>
  <c r="J20" i="16" s="1"/>
  <c r="G22" i="16"/>
  <c r="D13" i="21"/>
  <c r="M34" i="16"/>
  <c r="M29" i="16"/>
  <c r="D58" i="16"/>
  <c r="D44" i="4" s="1"/>
  <c r="L58" i="16"/>
  <c r="L60" i="16" s="1"/>
  <c r="C63" i="20"/>
  <c r="B55" i="20"/>
  <c r="I8" i="16"/>
  <c r="M19" i="16"/>
  <c r="M20" i="16" s="1"/>
  <c r="E12" i="16"/>
  <c r="L19" i="20"/>
  <c r="L20" i="20" s="1"/>
  <c r="E27" i="21"/>
  <c r="M24" i="16"/>
  <c r="M25" i="16" s="1"/>
  <c r="J34" i="16"/>
  <c r="E58" i="16"/>
  <c r="E59" i="16" s="1"/>
  <c r="M58" i="16"/>
  <c r="M59" i="16" s="1"/>
  <c r="I58" i="16"/>
  <c r="I60" i="16" s="1"/>
  <c r="E19" i="16"/>
  <c r="E20" i="16" s="1"/>
  <c r="H64" i="16"/>
  <c r="AD13" i="17"/>
  <c r="AD14" i="17" s="1"/>
  <c r="L22" i="16"/>
  <c r="C35" i="16"/>
  <c r="C36" i="16" s="1"/>
  <c r="G8" i="21"/>
  <c r="G9" i="21" s="1"/>
  <c r="C52" i="10"/>
  <c r="C6" i="16"/>
  <c r="C8" i="16"/>
  <c r="G19" i="16"/>
  <c r="G20" i="16" s="1"/>
  <c r="C55" i="20"/>
  <c r="C55" i="16"/>
  <c r="K16" i="20"/>
  <c r="F29" i="20"/>
  <c r="J16" i="20"/>
  <c r="J22" i="16"/>
  <c r="G9" i="16"/>
  <c r="G10" i="16" s="1"/>
  <c r="E6" i="16"/>
  <c r="E9" i="16"/>
  <c r="E10" i="16" s="1"/>
  <c r="F12" i="16"/>
  <c r="G12" i="16"/>
  <c r="M12" i="16"/>
  <c r="M13" i="16" s="1"/>
  <c r="L12" i="16"/>
  <c r="L19" i="16"/>
  <c r="L20" i="16" s="1"/>
  <c r="I22" i="16"/>
  <c r="F24" i="16"/>
  <c r="C19" i="16"/>
  <c r="C20" i="16" s="1"/>
  <c r="C19" i="20"/>
  <c r="C20" i="20" s="1"/>
  <c r="E16" i="16"/>
  <c r="G48" i="21" s="1"/>
  <c r="L24" i="20"/>
  <c r="I12" i="16"/>
  <c r="K26" i="16"/>
  <c r="K29" i="16" s="1"/>
  <c r="F16" i="16"/>
  <c r="F9" i="16"/>
  <c r="F10" i="16" s="1"/>
  <c r="K12" i="16"/>
  <c r="M6" i="16"/>
  <c r="C22" i="16"/>
  <c r="E22" i="20"/>
  <c r="E8" i="16"/>
  <c r="L12" i="20"/>
  <c r="AB13" i="17"/>
  <c r="AB14" i="17" s="1"/>
  <c r="C51" i="16"/>
  <c r="C51" i="20"/>
  <c r="H55" i="20"/>
  <c r="H55" i="16"/>
  <c r="K22" i="16"/>
  <c r="J34" i="20"/>
  <c r="E8" i="20"/>
  <c r="J24" i="16"/>
  <c r="I6" i="16"/>
  <c r="D6" i="16"/>
  <c r="D5" i="4" s="1"/>
  <c r="L22" i="20"/>
  <c r="M63" i="20"/>
  <c r="D55" i="20"/>
  <c r="B80" i="16"/>
  <c r="AC13" i="17"/>
  <c r="AC14" i="17" s="1"/>
  <c r="I24" i="16"/>
  <c r="I25" i="16" s="1"/>
  <c r="L8" i="20"/>
  <c r="G58" i="20"/>
  <c r="G59" i="20" s="1"/>
  <c r="K16" i="16"/>
  <c r="E22" i="16"/>
  <c r="K19" i="16"/>
  <c r="K20" i="16" s="1"/>
  <c r="F34" i="16"/>
  <c r="J6" i="16"/>
  <c r="B8" i="3"/>
  <c r="I64" i="16"/>
  <c r="L51" i="20"/>
  <c r="L51" i="16"/>
  <c r="F35" i="16"/>
  <c r="F36" i="16" s="1"/>
  <c r="D27" i="21"/>
  <c r="K34" i="16"/>
  <c r="F58" i="16"/>
  <c r="F60" i="16" s="1"/>
  <c r="J58" i="16"/>
  <c r="J59" i="16" s="1"/>
  <c r="C6" i="20"/>
  <c r="C26" i="20"/>
  <c r="C29" i="20" s="1"/>
  <c r="K26" i="20"/>
  <c r="K29" i="20" s="1"/>
  <c r="AA13" i="17"/>
  <c r="AA14" i="17" s="1"/>
  <c r="F8" i="16"/>
  <c r="J12" i="16"/>
  <c r="E30" i="21"/>
  <c r="G26" i="16"/>
  <c r="G29" i="16" s="1"/>
  <c r="C34" i="20"/>
  <c r="L37" i="17"/>
  <c r="L43" i="20" s="1"/>
  <c r="I19" i="20"/>
  <c r="I20" i="20" s="1"/>
  <c r="E35" i="16"/>
  <c r="E36" i="16" s="1"/>
  <c r="E34" i="16"/>
  <c r="M19" i="20"/>
  <c r="M20" i="20" s="1"/>
  <c r="I22" i="20"/>
  <c r="M24" i="20"/>
  <c r="M25" i="20" s="1"/>
  <c r="B80" i="20"/>
  <c r="G6" i="16"/>
  <c r="L8" i="16"/>
  <c r="J19" i="20"/>
  <c r="J20" i="20" s="1"/>
  <c r="G13" i="21"/>
  <c r="E35" i="20"/>
  <c r="E36" i="20" s="1"/>
  <c r="D4" i="20"/>
  <c r="C80" i="20"/>
  <c r="E19" i="20"/>
  <c r="E20" i="20" s="1"/>
  <c r="D5" i="17"/>
  <c r="E5" i="17" s="1"/>
  <c r="F5" i="17" s="1"/>
  <c r="G5" i="17" s="1"/>
  <c r="H5" i="17" s="1"/>
  <c r="I5" i="17" s="1"/>
  <c r="J5" i="17" s="1"/>
  <c r="K5" i="17" s="1"/>
  <c r="L5" i="17" s="1"/>
  <c r="M5" i="17" s="1"/>
  <c r="C91" i="16"/>
  <c r="H51" i="16"/>
  <c r="AE52" i="17"/>
  <c r="AG53" i="17"/>
  <c r="L18" i="16"/>
  <c r="M55" i="16"/>
  <c r="M55" i="20"/>
  <c r="G37" i="17"/>
  <c r="L26" i="20"/>
  <c r="L29" i="20" s="1"/>
  <c r="K12" i="20"/>
  <c r="D26" i="20"/>
  <c r="D29" i="20" s="1"/>
  <c r="E64" i="16"/>
  <c r="L55" i="16"/>
  <c r="L16" i="16"/>
  <c r="E14" i="21"/>
  <c r="F9" i="20"/>
  <c r="F10" i="20" s="1"/>
  <c r="J6" i="20"/>
  <c r="M16" i="20"/>
  <c r="B5" i="3"/>
  <c r="G51" i="20"/>
  <c r="E13" i="21"/>
  <c r="B35" i="20"/>
  <c r="B36" i="20" s="1"/>
  <c r="G19" i="20"/>
  <c r="G20" i="20" s="1"/>
  <c r="G64" i="16"/>
  <c r="J63" i="20"/>
  <c r="M9" i="20"/>
  <c r="M10" i="20" s="1"/>
  <c r="F6" i="20"/>
  <c r="B6" i="3"/>
  <c r="C18" i="20"/>
  <c r="Z52" i="17"/>
  <c r="D9" i="16"/>
  <c r="D10" i="16" s="1"/>
  <c r="J16" i="16"/>
  <c r="D12" i="16"/>
  <c r="F27" i="21"/>
  <c r="J35" i="16"/>
  <c r="J36" i="16" s="1"/>
  <c r="F30" i="21"/>
  <c r="L9" i="20"/>
  <c r="L10" i="20" s="1"/>
  <c r="F8" i="20"/>
  <c r="J35" i="20"/>
  <c r="J36" i="20" s="1"/>
  <c r="K8" i="20"/>
  <c r="I19" i="16"/>
  <c r="I20" i="16" s="1"/>
  <c r="D22" i="16"/>
  <c r="C12" i="20"/>
  <c r="C16" i="20"/>
  <c r="Q49" i="1"/>
  <c r="G12" i="20"/>
  <c r="H18" i="16"/>
  <c r="K6" i="20"/>
  <c r="F56" i="1"/>
  <c r="K9" i="3"/>
  <c r="E8" i="21"/>
  <c r="F9" i="21" s="1"/>
  <c r="D9" i="20"/>
  <c r="D10" i="20" s="1"/>
  <c r="D34" i="20"/>
  <c r="E35" i="4"/>
  <c r="F12" i="20"/>
  <c r="E16" i="20"/>
  <c r="K24" i="20"/>
  <c r="G9" i="20"/>
  <c r="G10" i="20" s="1"/>
  <c r="J29" i="16"/>
  <c r="K22" i="20"/>
  <c r="M51" i="20"/>
  <c r="C34" i="16"/>
  <c r="E26" i="16"/>
  <c r="E29" i="16" s="1"/>
  <c r="E6" i="20"/>
  <c r="I26" i="20"/>
  <c r="I29" i="20" s="1"/>
  <c r="D17" i="4"/>
  <c r="D19" i="4" s="1"/>
  <c r="D22" i="4" s="1"/>
  <c r="D24" i="16"/>
  <c r="Q52" i="1"/>
  <c r="C9" i="16"/>
  <c r="C10" i="16" s="1"/>
  <c r="D30" i="21"/>
  <c r="H6" i="20"/>
  <c r="C22" i="20"/>
  <c r="O45" i="21"/>
  <c r="D60" i="4" s="1"/>
  <c r="E60" i="4" s="1"/>
  <c r="B34" i="20"/>
  <c r="C56" i="10"/>
  <c r="C15" i="10" s="1"/>
  <c r="I15" i="10" s="1"/>
  <c r="B19" i="16"/>
  <c r="B24" i="20"/>
  <c r="E26" i="4"/>
  <c r="E34" i="4" s="1"/>
  <c r="E7" i="4"/>
  <c r="E15" i="4"/>
  <c r="G34" i="21" s="1"/>
  <c r="E12" i="4"/>
  <c r="C16" i="16"/>
  <c r="E48" i="21" s="1"/>
  <c r="C12" i="16"/>
  <c r="G27" i="21"/>
  <c r="G14" i="21"/>
  <c r="M47" i="1"/>
  <c r="G30" i="21"/>
  <c r="C24" i="16"/>
  <c r="D19" i="16"/>
  <c r="D20" i="16" s="1"/>
  <c r="D6" i="20"/>
  <c r="D34" i="16"/>
  <c r="D19" i="20"/>
  <c r="D20" i="20" s="1"/>
  <c r="D16" i="20"/>
  <c r="D16" i="4"/>
  <c r="D12" i="20"/>
  <c r="D12" i="4"/>
  <c r="D16" i="16"/>
  <c r="F48" i="21" s="1"/>
  <c r="C26" i="16"/>
  <c r="C29" i="16" s="1"/>
  <c r="D22" i="20"/>
  <c r="D26" i="16"/>
  <c r="D29" i="16" s="1"/>
  <c r="D14" i="4"/>
  <c r="D15" i="4" s="1"/>
  <c r="D30" i="4"/>
  <c r="D23" i="4"/>
  <c r="D26" i="4" s="1"/>
  <c r="D35" i="16"/>
  <c r="D36" i="16" s="1"/>
  <c r="D29" i="4"/>
  <c r="F13" i="21"/>
  <c r="H8" i="20"/>
  <c r="H34" i="16"/>
  <c r="H58" i="16"/>
  <c r="B35" i="16"/>
  <c r="B36" i="16" s="1"/>
  <c r="C58" i="10"/>
  <c r="M49" i="1"/>
  <c r="H58" i="20"/>
  <c r="H59" i="20" s="1"/>
  <c r="H24" i="20"/>
  <c r="M48" i="1"/>
  <c r="H35" i="16"/>
  <c r="H36" i="16" s="1"/>
  <c r="H13" i="21"/>
  <c r="F30" i="4"/>
  <c r="I24" i="10"/>
  <c r="H26" i="16"/>
  <c r="H29" i="16" s="1"/>
  <c r="G6" i="20"/>
  <c r="H22" i="20"/>
  <c r="H9" i="20"/>
  <c r="H10" i="20" s="1"/>
  <c r="B12" i="20"/>
  <c r="H16" i="20"/>
  <c r="B71" i="20"/>
  <c r="H30" i="21"/>
  <c r="B58" i="20"/>
  <c r="B59" i="20" s="1"/>
  <c r="M50" i="1"/>
  <c r="M51" i="1"/>
  <c r="G10" i="4"/>
  <c r="H6" i="16"/>
  <c r="H8" i="16"/>
  <c r="M53" i="1"/>
  <c r="L49" i="1"/>
  <c r="M52" i="1"/>
  <c r="L48" i="1"/>
  <c r="H24" i="16"/>
  <c r="K30" i="1"/>
  <c r="F13" i="4"/>
  <c r="K29" i="1"/>
  <c r="B19" i="20"/>
  <c r="E22" i="1" s="1"/>
  <c r="C54" i="10"/>
  <c r="B9" i="20"/>
  <c r="B10" i="20" s="1"/>
  <c r="B9" i="16"/>
  <c r="B10" i="16" s="1"/>
  <c r="K24" i="1"/>
  <c r="B22" i="16"/>
  <c r="B6" i="16"/>
  <c r="E3" i="21" s="1"/>
  <c r="B8" i="16"/>
  <c r="F8" i="4"/>
  <c r="F17" i="4"/>
  <c r="F19" i="4" s="1"/>
  <c r="F22" i="4" s="1"/>
  <c r="B26" i="16"/>
  <c r="B29" i="16" s="1"/>
  <c r="C28" i="10"/>
  <c r="I28" i="10" s="1"/>
  <c r="C61" i="10"/>
  <c r="C25" i="10" s="1"/>
  <c r="I25" i="10" s="1"/>
  <c r="B6" i="20"/>
  <c r="B34" i="16"/>
  <c r="H19" i="16"/>
  <c r="H20" i="16" s="1"/>
  <c r="M54" i="1"/>
  <c r="H29" i="20"/>
  <c r="H35" i="20"/>
  <c r="H36" i="20" s="1"/>
  <c r="E20" i="1"/>
  <c r="H34" i="20"/>
  <c r="H16" i="16"/>
  <c r="H45" i="1" a="1"/>
  <c r="R49" i="1" s="1"/>
  <c r="F29" i="4"/>
  <c r="L53" i="1"/>
  <c r="L52" i="1"/>
  <c r="C30" i="10"/>
  <c r="I30" i="10" s="1"/>
  <c r="B8" i="20"/>
  <c r="B58" i="16"/>
  <c r="C31" i="10"/>
  <c r="I31" i="10" s="1"/>
  <c r="E24" i="1"/>
  <c r="B16" i="20"/>
  <c r="H14" i="21"/>
  <c r="C16" i="10"/>
  <c r="I16" i="10" s="1"/>
  <c r="H8" i="21"/>
  <c r="B24" i="16"/>
  <c r="B22" i="20"/>
  <c r="H9" i="16"/>
  <c r="H10" i="16" s="1"/>
  <c r="H12" i="16"/>
  <c r="H22" i="16"/>
  <c r="L54" i="1"/>
  <c r="L47" i="1"/>
  <c r="L51" i="1"/>
  <c r="L46" i="1"/>
  <c r="C45" i="1" a="1"/>
  <c r="K22" i="1"/>
  <c r="L50" i="1"/>
  <c r="M46" i="1"/>
  <c r="E19" i="1"/>
  <c r="C20" i="1" a="1"/>
  <c r="C20" i="1" s="1"/>
  <c r="C8" i="10"/>
  <c r="C10" i="10" s="1" a="1"/>
  <c r="C10" i="10" s="1"/>
  <c r="C33" i="10" s="1"/>
  <c r="H19" i="20"/>
  <c r="H20" i="20" s="1"/>
  <c r="H12" i="20"/>
  <c r="F26" i="4" l="1"/>
  <c r="C40" i="21"/>
  <c r="H22" i="1"/>
  <c r="I14" i="21"/>
  <c r="E64" i="4"/>
  <c r="D64" i="4"/>
  <c r="B60" i="16"/>
  <c r="C65" i="21"/>
  <c r="C63" i="21"/>
  <c r="H60" i="16"/>
  <c r="I65" i="21"/>
  <c r="D63" i="4"/>
  <c r="I13" i="21"/>
  <c r="D62" i="4" s="1"/>
  <c r="E62" i="4" s="1"/>
  <c r="F12" i="4"/>
  <c r="F7" i="4"/>
  <c r="G38" i="4"/>
  <c r="H10" i="4" s="1"/>
  <c r="G39" i="4"/>
  <c r="F30" i="20"/>
  <c r="F31" i="20" s="1"/>
  <c r="C29" i="10"/>
  <c r="I29" i="10" s="1"/>
  <c r="C27" i="10"/>
  <c r="I27" i="10" s="1"/>
  <c r="C34" i="10"/>
  <c r="I34" i="10" s="1"/>
  <c r="C17" i="10"/>
  <c r="I17" i="10" s="1"/>
  <c r="C35" i="10"/>
  <c r="I10" i="10"/>
  <c r="C13" i="10"/>
  <c r="I13" i="10" s="1"/>
  <c r="L11" i="19"/>
  <c r="L13" i="20"/>
  <c r="B13" i="16"/>
  <c r="I30" i="20"/>
  <c r="I31" i="20" s="1"/>
  <c r="C60" i="16"/>
  <c r="I43" i="20"/>
  <c r="G25" i="16"/>
  <c r="B25" i="20"/>
  <c r="M30" i="20"/>
  <c r="M31" i="20" s="1"/>
  <c r="H25" i="20"/>
  <c r="H43" i="20"/>
  <c r="F43" i="20"/>
  <c r="K25" i="16"/>
  <c r="I13" i="20"/>
  <c r="M30" i="16"/>
  <c r="M31" i="16" s="1"/>
  <c r="M60" i="16"/>
  <c r="J60" i="16"/>
  <c r="B13" i="20"/>
  <c r="D43" i="16"/>
  <c r="C43" i="16"/>
  <c r="J43" i="16"/>
  <c r="E44" i="4"/>
  <c r="F25" i="16"/>
  <c r="J30" i="16"/>
  <c r="J31" i="16" s="1"/>
  <c r="F55" i="1"/>
  <c r="E13" i="16"/>
  <c r="D60" i="16"/>
  <c r="J13" i="16"/>
  <c r="J25" i="16"/>
  <c r="D59" i="16"/>
  <c r="C30" i="20"/>
  <c r="C31" i="20" s="1"/>
  <c r="I18" i="20"/>
  <c r="I18" i="16"/>
  <c r="E30" i="16"/>
  <c r="E31" i="16" s="1"/>
  <c r="L59" i="16"/>
  <c r="K43" i="16"/>
  <c r="K18" i="16"/>
  <c r="F25" i="20"/>
  <c r="D13" i="16"/>
  <c r="E22" i="21"/>
  <c r="I25" i="20"/>
  <c r="E30" i="20"/>
  <c r="E31" i="20" s="1"/>
  <c r="F63" i="21"/>
  <c r="L43" i="16"/>
  <c r="J63" i="21"/>
  <c r="D30" i="20"/>
  <c r="D31" i="20" s="1"/>
  <c r="L13" i="16"/>
  <c r="L63" i="21"/>
  <c r="E60" i="16"/>
  <c r="E25" i="20"/>
  <c r="D19" i="21"/>
  <c r="L30" i="20"/>
  <c r="L31" i="20" s="1"/>
  <c r="H63" i="21"/>
  <c r="F13" i="16"/>
  <c r="E43" i="20"/>
  <c r="G59" i="16"/>
  <c r="G30" i="16"/>
  <c r="G31" i="16" s="1"/>
  <c r="D25" i="16"/>
  <c r="J30" i="20"/>
  <c r="J31" i="20" s="1"/>
  <c r="K30" i="16"/>
  <c r="K31" i="16" s="1"/>
  <c r="E36" i="4"/>
  <c r="E43" i="4" s="1"/>
  <c r="G30" i="20"/>
  <c r="G31" i="20" s="1"/>
  <c r="D63" i="21"/>
  <c r="E91" i="16"/>
  <c r="K60" i="16"/>
  <c r="D22" i="21"/>
  <c r="L25" i="20"/>
  <c r="G22" i="21"/>
  <c r="I59" i="16"/>
  <c r="D91" i="16"/>
  <c r="K63" i="21"/>
  <c r="L25" i="16"/>
  <c r="E63" i="21"/>
  <c r="M43" i="20"/>
  <c r="M43" i="16"/>
  <c r="G63" i="21"/>
  <c r="L30" i="16"/>
  <c r="L31" i="16" s="1"/>
  <c r="F59" i="16"/>
  <c r="M63" i="21"/>
  <c r="D34" i="4"/>
  <c r="F22" i="21"/>
  <c r="I13" i="16"/>
  <c r="K13" i="16"/>
  <c r="F34" i="21"/>
  <c r="C13" i="16"/>
  <c r="D30" i="16"/>
  <c r="D31" i="16" s="1"/>
  <c r="F30" i="16"/>
  <c r="F31" i="16" s="1"/>
  <c r="E25" i="16"/>
  <c r="E45" i="1" a="1"/>
  <c r="E45" i="1" s="1"/>
  <c r="F13" i="20"/>
  <c r="E13" i="20"/>
  <c r="C39" i="21"/>
  <c r="H21" i="1"/>
  <c r="K13" i="20"/>
  <c r="J13" i="20"/>
  <c r="E4" i="20"/>
  <c r="D80" i="20"/>
  <c r="G43" i="20"/>
  <c r="G43" i="16"/>
  <c r="C25" i="16"/>
  <c r="J25" i="20"/>
  <c r="K25" i="20"/>
  <c r="E9" i="21"/>
  <c r="E19" i="21"/>
  <c r="H20" i="1"/>
  <c r="B9" i="3"/>
  <c r="C38" i="21"/>
  <c r="K30" i="20"/>
  <c r="K31" i="20" s="1"/>
  <c r="I30" i="16"/>
  <c r="I31" i="16" s="1"/>
  <c r="H30" i="20"/>
  <c r="H31" i="20" s="1"/>
  <c r="H59" i="16"/>
  <c r="G25" i="20"/>
  <c r="I45" i="1" a="1"/>
  <c r="S53" i="1" s="1"/>
  <c r="C30" i="16"/>
  <c r="C31" i="16" s="1"/>
  <c r="D13" i="20"/>
  <c r="C13" i="20"/>
  <c r="D35" i="4"/>
  <c r="D32" i="4"/>
  <c r="B30" i="20"/>
  <c r="B31" i="20" s="1"/>
  <c r="I33" i="10"/>
  <c r="I63" i="21"/>
  <c r="M55" i="1"/>
  <c r="E23" i="1"/>
  <c r="E27" i="1"/>
  <c r="B20" i="20"/>
  <c r="H25" i="16"/>
  <c r="D48" i="21"/>
  <c r="I48" i="21" s="1"/>
  <c r="F15" i="4"/>
  <c r="H34" i="21" s="1"/>
  <c r="F34" i="4"/>
  <c r="D45" i="1" a="1"/>
  <c r="O49" i="1" s="1"/>
  <c r="K28" i="1"/>
  <c r="H30" i="16"/>
  <c r="H31" i="16" s="1"/>
  <c r="R51" i="1"/>
  <c r="R53" i="1"/>
  <c r="H45" i="1"/>
  <c r="H56" i="1" s="1"/>
  <c r="H57" i="1"/>
  <c r="R50" i="1"/>
  <c r="R48" i="1"/>
  <c r="R47" i="1"/>
  <c r="R52" i="1"/>
  <c r="B59" i="16"/>
  <c r="E25" i="1" s="1"/>
  <c r="C22" i="1"/>
  <c r="K27" i="1" s="1"/>
  <c r="C69" i="10"/>
  <c r="H22" i="21"/>
  <c r="F35" i="4"/>
  <c r="F32" i="4"/>
  <c r="F44" i="4"/>
  <c r="C55" i="10"/>
  <c r="C22" i="10" s="1"/>
  <c r="I22" i="10" s="1"/>
  <c r="K21" i="1"/>
  <c r="B20" i="16"/>
  <c r="E26" i="1" s="1"/>
  <c r="B30" i="16"/>
  <c r="B31" i="16" s="1"/>
  <c r="E28" i="1"/>
  <c r="B25" i="16"/>
  <c r="H9" i="21"/>
  <c r="I8" i="21"/>
  <c r="G13" i="20"/>
  <c r="H13" i="20"/>
  <c r="M24" i="1"/>
  <c r="K26" i="1"/>
  <c r="E21" i="1"/>
  <c r="C21" i="1"/>
  <c r="G13" i="16"/>
  <c r="D59" i="21"/>
  <c r="H13" i="16"/>
  <c r="D60" i="21"/>
  <c r="K25" i="1"/>
  <c r="C45" i="1"/>
  <c r="N46" i="1" s="1"/>
  <c r="N51" i="1"/>
  <c r="N47" i="1"/>
  <c r="N48" i="1"/>
  <c r="N52" i="1"/>
  <c r="N49" i="1"/>
  <c r="N50" i="1"/>
  <c r="N53" i="1"/>
  <c r="C56" i="1"/>
  <c r="C57" i="1"/>
  <c r="M23" i="1"/>
  <c r="L55" i="1"/>
  <c r="O65" i="21" l="1"/>
  <c r="D57" i="4" s="1"/>
  <c r="N65" i="21"/>
  <c r="E57" i="4" s="1"/>
  <c r="D56" i="4"/>
  <c r="D41" i="21"/>
  <c r="F41" i="21"/>
  <c r="C37" i="10"/>
  <c r="I37" i="10" s="1"/>
  <c r="C36" i="10"/>
  <c r="I36" i="10" s="1"/>
  <c r="H39" i="4"/>
  <c r="H38" i="4"/>
  <c r="I10" i="4" s="1"/>
  <c r="I38" i="4" s="1"/>
  <c r="J10" i="4" s="1"/>
  <c r="L6" i="19"/>
  <c r="L7" i="19"/>
  <c r="L9" i="19"/>
  <c r="E30" i="1"/>
  <c r="I19" i="21"/>
  <c r="D55" i="4" s="1"/>
  <c r="I22" i="21"/>
  <c r="D36" i="4"/>
  <c r="F4" i="20"/>
  <c r="G4" i="20" s="1"/>
  <c r="H4" i="20" s="1"/>
  <c r="I4" i="20" s="1"/>
  <c r="J4" i="20" s="1"/>
  <c r="K4" i="20" s="1"/>
  <c r="L4" i="20" s="1"/>
  <c r="M4" i="20" s="1"/>
  <c r="E80" i="20"/>
  <c r="C41" i="21"/>
  <c r="F50" i="4"/>
  <c r="F36" i="4"/>
  <c r="F43" i="4" s="1"/>
  <c r="G13" i="4" s="1"/>
  <c r="S51" i="1"/>
  <c r="M56" i="1"/>
  <c r="M57" i="1" s="1"/>
  <c r="S48" i="1"/>
  <c r="S49" i="1"/>
  <c r="S50" i="1"/>
  <c r="L56" i="1"/>
  <c r="L57" i="1" s="1"/>
  <c r="I45" i="1"/>
  <c r="S47" i="1"/>
  <c r="S52" i="1"/>
  <c r="N63" i="21"/>
  <c r="B85" i="17"/>
  <c r="I35" i="10"/>
  <c r="C54" i="1"/>
  <c r="N54" i="1" s="1"/>
  <c r="G45" i="1" a="1"/>
  <c r="G45" i="1" s="1"/>
  <c r="O51" i="1"/>
  <c r="D57" i="1"/>
  <c r="O50" i="1"/>
  <c r="O48" i="1"/>
  <c r="D45" i="1"/>
  <c r="D56" i="1" s="1"/>
  <c r="H54" i="1"/>
  <c r="O52" i="1"/>
  <c r="O53" i="1"/>
  <c r="O47" i="1"/>
  <c r="C20" i="10"/>
  <c r="I20" i="10" s="1"/>
  <c r="C18" i="10"/>
  <c r="I18" i="10" s="1"/>
  <c r="C21" i="10"/>
  <c r="I21" i="10" s="1"/>
  <c r="C55" i="1"/>
  <c r="G6" i="4"/>
  <c r="M28" i="1"/>
  <c r="M25" i="1"/>
  <c r="M30" i="1"/>
  <c r="C24" i="1"/>
  <c r="M31" i="1"/>
  <c r="C41" i="10" s="1"/>
  <c r="I41" i="10" s="1"/>
  <c r="G23" i="4" l="1"/>
  <c r="G21" i="4"/>
  <c r="G8" i="4"/>
  <c r="G12" i="4" s="1"/>
  <c r="G44" i="4" s="1"/>
  <c r="G11" i="4"/>
  <c r="G20" i="4" s="1"/>
  <c r="I39" i="4"/>
  <c r="J39" i="4" s="1"/>
  <c r="Z46" i="4"/>
  <c r="Y45" i="4"/>
  <c r="AE46" i="4"/>
  <c r="V47" i="4"/>
  <c r="I46" i="4"/>
  <c r="AD46" i="4"/>
  <c r="T46" i="4"/>
  <c r="AB47" i="4"/>
  <c r="T47" i="4"/>
  <c r="O46" i="4"/>
  <c r="N46" i="4"/>
  <c r="P46" i="4"/>
  <c r="AD47" i="4"/>
  <c r="L46" i="4"/>
  <c r="K45" i="4"/>
  <c r="AA45" i="4"/>
  <c r="AF46" i="4"/>
  <c r="Y47" i="4"/>
  <c r="Q46" i="4"/>
  <c r="X45" i="4"/>
  <c r="S47" i="4"/>
  <c r="V46" i="4"/>
  <c r="AD45" i="4"/>
  <c r="G46" i="4"/>
  <c r="V45" i="4"/>
  <c r="G47" i="4"/>
  <c r="AE47" i="4"/>
  <c r="M46" i="4"/>
  <c r="H47" i="4"/>
  <c r="AC46" i="4"/>
  <c r="W45" i="4"/>
  <c r="X47" i="4"/>
  <c r="S45" i="4"/>
  <c r="T45" i="4"/>
  <c r="AF45" i="4"/>
  <c r="P47" i="4"/>
  <c r="H46" i="4"/>
  <c r="L47" i="4"/>
  <c r="O47" i="4"/>
  <c r="Z45" i="4"/>
  <c r="Y46" i="4"/>
  <c r="R45" i="4"/>
  <c r="W46" i="4"/>
  <c r="Z47" i="4"/>
  <c r="AE45" i="4"/>
  <c r="H45" i="4"/>
  <c r="AF47" i="4"/>
  <c r="AC47" i="4"/>
  <c r="K47" i="4"/>
  <c r="U45" i="4"/>
  <c r="P45" i="4"/>
  <c r="I47" i="4"/>
  <c r="W47" i="4"/>
  <c r="U46" i="4"/>
  <c r="AC45" i="4"/>
  <c r="J46" i="4"/>
  <c r="F46" i="4"/>
  <c r="F47" i="4"/>
  <c r="G45" i="4"/>
  <c r="U47" i="4"/>
  <c r="N47" i="4"/>
  <c r="F45" i="4"/>
  <c r="L45" i="4"/>
  <c r="S46" i="4"/>
  <c r="R47" i="4"/>
  <c r="Q45" i="4"/>
  <c r="M45" i="4"/>
  <c r="R46" i="4"/>
  <c r="K46" i="4"/>
  <c r="J47" i="4"/>
  <c r="J45" i="4"/>
  <c r="I45" i="4"/>
  <c r="AB46" i="4"/>
  <c r="Q47" i="4"/>
  <c r="AA47" i="4"/>
  <c r="M47" i="4"/>
  <c r="N45" i="4"/>
  <c r="AA46" i="4"/>
  <c r="AB45" i="4"/>
  <c r="J39" i="1"/>
  <c r="X46" i="4"/>
  <c r="O45" i="4"/>
  <c r="H55" i="1"/>
  <c r="G40" i="4"/>
  <c r="G24" i="4"/>
  <c r="J38" i="4"/>
  <c r="O46" i="1"/>
  <c r="D55" i="1" s="1"/>
  <c r="D54" i="1"/>
  <c r="O54" i="1" s="1"/>
  <c r="G5" i="4"/>
  <c r="G41" i="4"/>
  <c r="M27" i="1"/>
  <c r="M26" i="1"/>
  <c r="G31" i="4" l="1"/>
  <c r="G14" i="4"/>
  <c r="G15" i="4" s="1"/>
  <c r="G16" i="4" s="1"/>
  <c r="G17" i="4" s="1"/>
  <c r="G28" i="4"/>
  <c r="K10" i="4"/>
  <c r="K39" i="4" s="1"/>
  <c r="G25" i="4"/>
  <c r="G26" i="4" s="1"/>
  <c r="G30" i="4" l="1"/>
  <c r="G29" i="4"/>
  <c r="G19" i="4"/>
  <c r="G22" i="4" s="1"/>
  <c r="G34" i="4" s="1"/>
  <c r="K38" i="4"/>
  <c r="L10" i="4" s="1"/>
  <c r="L39" i="4" s="1"/>
  <c r="H9" i="4"/>
  <c r="G35" i="4" l="1"/>
  <c r="G36" i="4" s="1"/>
  <c r="L38" i="4"/>
  <c r="M10" i="4" s="1"/>
  <c r="M39" i="4" s="1"/>
  <c r="H41" i="4"/>
  <c r="G32" i="4"/>
  <c r="G43" i="4" l="1"/>
  <c r="J24" i="21" s="1"/>
  <c r="M38" i="4"/>
  <c r="N10" i="4" s="1"/>
  <c r="N39" i="4" s="1"/>
  <c r="H13" i="4" l="1"/>
  <c r="N38" i="4"/>
  <c r="O10" i="4" l="1"/>
  <c r="O39" i="4" s="1"/>
  <c r="O38" i="4" l="1"/>
  <c r="P10" i="4" l="1"/>
  <c r="P39" i="4" s="1"/>
  <c r="P38" i="4" l="1"/>
  <c r="Q10" i="4" s="1"/>
  <c r="Q39" i="4" s="1"/>
  <c r="Q38" i="4" l="1"/>
  <c r="R10" i="4" l="1"/>
  <c r="R39" i="4" s="1"/>
  <c r="R38" i="4" l="1"/>
  <c r="S10" i="4" l="1"/>
  <c r="S39" i="4" s="1"/>
  <c r="S38" i="4" l="1"/>
  <c r="T10" i="4" l="1"/>
  <c r="T39" i="4" s="1"/>
  <c r="T38" i="4" l="1"/>
  <c r="U10" i="4" l="1"/>
  <c r="U39" i="4" s="1"/>
  <c r="U38" i="4" l="1"/>
  <c r="V10" i="4" s="1"/>
  <c r="V39" i="4" s="1"/>
  <c r="V38" i="4" l="1"/>
  <c r="W10" i="4" s="1"/>
  <c r="W38" i="4" s="1"/>
  <c r="X10" i="4" s="1"/>
  <c r="X38" i="4" s="1"/>
  <c r="Y10" i="4" s="1"/>
  <c r="Y38" i="4" s="1"/>
  <c r="Z10" i="4" s="1"/>
  <c r="W39" i="4" l="1"/>
  <c r="X39" i="4" s="1"/>
  <c r="Y39" i="4" s="1"/>
  <c r="Z39" i="4" s="1"/>
  <c r="Z38" i="4"/>
  <c r="AA10" i="4" s="1"/>
  <c r="AA39" i="4" l="1"/>
  <c r="AA38" i="4"/>
  <c r="AB10" i="4" l="1"/>
  <c r="AB39" i="4" s="1"/>
  <c r="AB38" i="4" l="1"/>
  <c r="AC10" i="4" s="1"/>
  <c r="AC38" i="4" s="1"/>
  <c r="AC39" i="4" l="1"/>
  <c r="AD10" i="4"/>
  <c r="AD38" i="4" s="1"/>
  <c r="AD39" i="4" l="1"/>
  <c r="AE10" i="4"/>
  <c r="AE39" i="4" l="1"/>
  <c r="AE38" i="4"/>
  <c r="AF10" i="4" s="1"/>
  <c r="AF39" i="4" l="1"/>
  <c r="AG39" i="4" s="1"/>
  <c r="AF38" i="4"/>
  <c r="AG38" i="4" s="1"/>
  <c r="J8" i="21" l="1"/>
  <c r="K9" i="21"/>
  <c r="L9" i="21" s="1"/>
  <c r="M9" i="21" s="1"/>
  <c r="N9" i="21" s="1"/>
  <c r="O9" i="21" s="1"/>
  <c r="K8" i="21" l="1"/>
  <c r="L8" i="21" s="1"/>
  <c r="H6" i="4"/>
  <c r="I6" i="4" l="1"/>
  <c r="I11" i="4" s="1"/>
  <c r="I20" i="4" s="1"/>
  <c r="H11" i="4"/>
  <c r="H20" i="4" s="1"/>
  <c r="H21" i="4"/>
  <c r="H24" i="4"/>
  <c r="H5" i="4"/>
  <c r="H23" i="4"/>
  <c r="M8" i="21"/>
  <c r="J6" i="4"/>
  <c r="H7" i="4" l="1"/>
  <c r="H8" i="4" s="1"/>
  <c r="H12" i="4" s="1"/>
  <c r="H44" i="4" s="1"/>
  <c r="I21" i="4"/>
  <c r="I5" i="4"/>
  <c r="I7" i="4" s="1"/>
  <c r="I23" i="4"/>
  <c r="I24" i="4"/>
  <c r="H40" i="4"/>
  <c r="J21" i="4"/>
  <c r="J23" i="4"/>
  <c r="J5" i="4"/>
  <c r="J7" i="4" s="1"/>
  <c r="J24" i="4"/>
  <c r="J11" i="4"/>
  <c r="J20" i="4" s="1"/>
  <c r="H31" i="4"/>
  <c r="H14" i="4"/>
  <c r="H25" i="4"/>
  <c r="H26" i="4" s="1"/>
  <c r="K6" i="4"/>
  <c r="N8" i="21"/>
  <c r="I31" i="4" l="1"/>
  <c r="J31" i="4" s="1"/>
  <c r="I8" i="4"/>
  <c r="I25" i="4"/>
  <c r="I26" i="4" s="1"/>
  <c r="H15" i="4"/>
  <c r="H16" i="4" s="1"/>
  <c r="H17" i="4" s="1"/>
  <c r="J8" i="4"/>
  <c r="I14" i="4"/>
  <c r="O8" i="21"/>
  <c r="L6" i="4"/>
  <c r="K21" i="4"/>
  <c r="K24" i="4"/>
  <c r="K5" i="4"/>
  <c r="K7" i="4" s="1"/>
  <c r="K23" i="4"/>
  <c r="K11" i="4"/>
  <c r="K20" i="4" s="1"/>
  <c r="I9" i="4"/>
  <c r="I40" i="4"/>
  <c r="J25" i="4" l="1"/>
  <c r="J26" i="4" s="1"/>
  <c r="J40" i="4"/>
  <c r="J9" i="4"/>
  <c r="J12" i="4" s="1"/>
  <c r="J44" i="4" s="1"/>
  <c r="I41" i="4"/>
  <c r="K8" i="4"/>
  <c r="K31" i="4"/>
  <c r="L24" i="4"/>
  <c r="L23" i="4"/>
  <c r="L21" i="4"/>
  <c r="L5" i="4"/>
  <c r="L7" i="4" s="1"/>
  <c r="L11" i="4"/>
  <c r="L20" i="4" s="1"/>
  <c r="H28" i="4"/>
  <c r="I12" i="4"/>
  <c r="I44" i="4" s="1"/>
  <c r="P8" i="21"/>
  <c r="M6" i="4"/>
  <c r="H29" i="4"/>
  <c r="H30" i="4"/>
  <c r="H19" i="4"/>
  <c r="H22" i="4" s="1"/>
  <c r="J14" i="4"/>
  <c r="K25" i="4" l="1"/>
  <c r="K26" i="4" s="1"/>
  <c r="H34" i="4"/>
  <c r="H35" i="4"/>
  <c r="L8" i="4"/>
  <c r="L31" i="4"/>
  <c r="J41" i="4"/>
  <c r="I28" i="4"/>
  <c r="J28" i="4"/>
  <c r="M23" i="4"/>
  <c r="M24" i="4"/>
  <c r="M21" i="4"/>
  <c r="M5" i="4"/>
  <c r="M7" i="4" s="1"/>
  <c r="M11" i="4"/>
  <c r="M20" i="4" s="1"/>
  <c r="Q8" i="21"/>
  <c r="N6" i="4"/>
  <c r="K9" i="4"/>
  <c r="K12" i="4" s="1"/>
  <c r="K44" i="4" s="1"/>
  <c r="K28" i="4" s="1"/>
  <c r="K40" i="4"/>
  <c r="H32" i="4"/>
  <c r="K14" i="4"/>
  <c r="L25" i="4" l="1"/>
  <c r="L26" i="4" s="1"/>
  <c r="K41" i="4"/>
  <c r="H36" i="4"/>
  <c r="H43" i="4" s="1"/>
  <c r="I13" i="4" s="1"/>
  <c r="I15" i="4" s="1"/>
  <c r="I16" i="4" s="1"/>
  <c r="I17" i="4" s="1"/>
  <c r="N24" i="4"/>
  <c r="N11" i="4"/>
  <c r="N20" i="4" s="1"/>
  <c r="N23" i="4"/>
  <c r="N21" i="4"/>
  <c r="N5" i="4"/>
  <c r="N7" i="4" s="1"/>
  <c r="O6" i="4"/>
  <c r="R8" i="21"/>
  <c r="M8" i="4"/>
  <c r="M31" i="4"/>
  <c r="L14" i="4"/>
  <c r="L40" i="4"/>
  <c r="L9" i="4"/>
  <c r="L12" i="4" s="1"/>
  <c r="L44" i="4" s="1"/>
  <c r="M25" i="4" l="1"/>
  <c r="M26" i="4" s="1"/>
  <c r="K24" i="21"/>
  <c r="L28" i="4"/>
  <c r="N8" i="4"/>
  <c r="N31" i="4"/>
  <c r="L41" i="4"/>
  <c r="I29" i="4"/>
  <c r="I19" i="4"/>
  <c r="I22" i="4" s="1"/>
  <c r="I34" i="4" s="1"/>
  <c r="I30" i="4"/>
  <c r="S8" i="21"/>
  <c r="P6" i="4"/>
  <c r="M40" i="4"/>
  <c r="M9" i="4"/>
  <c r="M12" i="4" s="1"/>
  <c r="M44" i="4" s="1"/>
  <c r="O23" i="4"/>
  <c r="O5" i="4"/>
  <c r="O7" i="4" s="1"/>
  <c r="O11" i="4"/>
  <c r="O20" i="4" s="1"/>
  <c r="O21" i="4"/>
  <c r="O24" i="4"/>
  <c r="M14" i="4"/>
  <c r="N25" i="4" l="1"/>
  <c r="N26" i="4" s="1"/>
  <c r="M28" i="4"/>
  <c r="O31" i="4"/>
  <c r="O8" i="4"/>
  <c r="P23" i="4"/>
  <c r="P5" i="4"/>
  <c r="P7" i="4" s="1"/>
  <c r="P24" i="4"/>
  <c r="P21" i="4"/>
  <c r="P11" i="4"/>
  <c r="P20" i="4" s="1"/>
  <c r="N9" i="4"/>
  <c r="N12" i="4" s="1"/>
  <c r="N44" i="4" s="1"/>
  <c r="N40" i="4"/>
  <c r="I35" i="4"/>
  <c r="I36" i="4" s="1"/>
  <c r="I43" i="4" s="1"/>
  <c r="I32" i="4"/>
  <c r="Q6" i="4"/>
  <c r="T8" i="21"/>
  <c r="M41" i="4"/>
  <c r="N14" i="4"/>
  <c r="O25" i="4" l="1"/>
  <c r="O26" i="4" s="1"/>
  <c r="N41" i="4"/>
  <c r="J13" i="4"/>
  <c r="J15" i="4" s="1"/>
  <c r="J16" i="4" s="1"/>
  <c r="J17" i="4" s="1"/>
  <c r="L24" i="21"/>
  <c r="N28" i="4"/>
  <c r="Q24" i="4"/>
  <c r="Q11" i="4"/>
  <c r="Q20" i="4" s="1"/>
  <c r="Q5" i="4"/>
  <c r="Q7" i="4" s="1"/>
  <c r="Q21" i="4"/>
  <c r="Q23" i="4"/>
  <c r="U8" i="21"/>
  <c r="R6" i="4"/>
  <c r="O14" i="4"/>
  <c r="O9" i="4"/>
  <c r="O40" i="4"/>
  <c r="P8" i="4"/>
  <c r="P31" i="4"/>
  <c r="P25" i="4" l="1"/>
  <c r="P26" i="4" s="1"/>
  <c r="O41" i="4"/>
  <c r="Q8" i="4"/>
  <c r="Q31" i="4"/>
  <c r="P9" i="4"/>
  <c r="P40" i="4"/>
  <c r="O12" i="4"/>
  <c r="O44" i="4" s="1"/>
  <c r="R23" i="4"/>
  <c r="R5" i="4"/>
  <c r="R7" i="4" s="1"/>
  <c r="R11" i="4"/>
  <c r="R20" i="4" s="1"/>
  <c r="R21" i="4"/>
  <c r="R24" i="4"/>
  <c r="S6" i="4"/>
  <c r="V8" i="21"/>
  <c r="P14" i="4"/>
  <c r="Q14" i="4" s="1"/>
  <c r="J29" i="4"/>
  <c r="J30" i="4"/>
  <c r="J19" i="4"/>
  <c r="J22" i="4" s="1"/>
  <c r="J34" i="4" s="1"/>
  <c r="J35" i="4" l="1"/>
  <c r="J36" i="4" s="1"/>
  <c r="J43" i="4" s="1"/>
  <c r="Q25" i="4"/>
  <c r="Q26" i="4" s="1"/>
  <c r="P41" i="4"/>
  <c r="O28" i="4"/>
  <c r="P12" i="4"/>
  <c r="P44" i="4" s="1"/>
  <c r="J32" i="4"/>
  <c r="S5" i="4"/>
  <c r="S7" i="4" s="1"/>
  <c r="S21" i="4"/>
  <c r="S24" i="4"/>
  <c r="S11" i="4"/>
  <c r="S20" i="4" s="1"/>
  <c r="S23" i="4"/>
  <c r="R31" i="4"/>
  <c r="R8" i="4"/>
  <c r="Q9" i="4"/>
  <c r="Q40" i="4"/>
  <c r="W8" i="21"/>
  <c r="T6" i="4"/>
  <c r="R14" i="4"/>
  <c r="R25" i="4" l="1"/>
  <c r="R26" i="4" s="1"/>
  <c r="Q41" i="4"/>
  <c r="S14" i="4"/>
  <c r="P28" i="4"/>
  <c r="K13" i="4"/>
  <c r="K15" i="4" s="1"/>
  <c r="K16" i="4" s="1"/>
  <c r="K17" i="4" s="1"/>
  <c r="M24" i="21"/>
  <c r="T23" i="4"/>
  <c r="T21" i="4"/>
  <c r="T24" i="4"/>
  <c r="T5" i="4"/>
  <c r="T7" i="4" s="1"/>
  <c r="T11" i="4"/>
  <c r="T20" i="4" s="1"/>
  <c r="S31" i="4"/>
  <c r="S8" i="4"/>
  <c r="Q12" i="4"/>
  <c r="Q44" i="4" s="1"/>
  <c r="R40" i="4"/>
  <c r="R9" i="4"/>
  <c r="U6" i="4"/>
  <c r="X8" i="21"/>
  <c r="S25" i="4" l="1"/>
  <c r="S26" i="4" s="1"/>
  <c r="R41" i="4"/>
  <c r="T14" i="4"/>
  <c r="K19" i="4"/>
  <c r="K22" i="4" s="1"/>
  <c r="K34" i="4" s="1"/>
  <c r="K29" i="4"/>
  <c r="K30" i="4"/>
  <c r="R12" i="4"/>
  <c r="R44" i="4" s="1"/>
  <c r="V6" i="4"/>
  <c r="Y8" i="21"/>
  <c r="U24" i="4"/>
  <c r="U11" i="4"/>
  <c r="U20" i="4" s="1"/>
  <c r="U23" i="4"/>
  <c r="U5" i="4"/>
  <c r="U7" i="4" s="1"/>
  <c r="U21" i="4"/>
  <c r="Q28" i="4"/>
  <c r="S9" i="4"/>
  <c r="S40" i="4"/>
  <c r="T8" i="4"/>
  <c r="T31" i="4"/>
  <c r="T25" i="4" l="1"/>
  <c r="T26" i="4" s="1"/>
  <c r="S41" i="4"/>
  <c r="K35" i="4"/>
  <c r="K36" i="4" s="1"/>
  <c r="K43" i="4" s="1"/>
  <c r="U31" i="4"/>
  <c r="U8" i="4"/>
  <c r="K32" i="4"/>
  <c r="U14" i="4"/>
  <c r="T40" i="4"/>
  <c r="T9" i="4"/>
  <c r="W6" i="4"/>
  <c r="Z8" i="21"/>
  <c r="V5" i="4"/>
  <c r="V7" i="4" s="1"/>
  <c r="V24" i="4"/>
  <c r="V21" i="4"/>
  <c r="V23" i="4"/>
  <c r="V11" i="4"/>
  <c r="V20" i="4" s="1"/>
  <c r="S12" i="4"/>
  <c r="S44" i="4" s="1"/>
  <c r="R28" i="4"/>
  <c r="U25" i="4" l="1"/>
  <c r="U26" i="4" s="1"/>
  <c r="T41" i="4"/>
  <c r="T12" i="4"/>
  <c r="T44" i="4" s="1"/>
  <c r="AA8" i="21"/>
  <c r="X6" i="4"/>
  <c r="S28" i="4"/>
  <c r="W11" i="4"/>
  <c r="W20" i="4" s="1"/>
  <c r="W23" i="4"/>
  <c r="W24" i="4"/>
  <c r="W5" i="4"/>
  <c r="W7" i="4" s="1"/>
  <c r="W21" i="4"/>
  <c r="V14" i="4"/>
  <c r="L13" i="4"/>
  <c r="L15" i="4" s="1"/>
  <c r="L16" i="4" s="1"/>
  <c r="L17" i="4" s="1"/>
  <c r="N24" i="21"/>
  <c r="V31" i="4"/>
  <c r="V8" i="4"/>
  <c r="U40" i="4"/>
  <c r="U9" i="4"/>
  <c r="T28" i="4" l="1"/>
  <c r="V25" i="4"/>
  <c r="V26" i="4" s="1"/>
  <c r="U41" i="4"/>
  <c r="W14" i="4"/>
  <c r="L19" i="4"/>
  <c r="L22" i="4" s="1"/>
  <c r="L34" i="4" s="1"/>
  <c r="L29" i="4"/>
  <c r="L30" i="4"/>
  <c r="X5" i="4"/>
  <c r="X7" i="4" s="1"/>
  <c r="X11" i="4"/>
  <c r="X20" i="4" s="1"/>
  <c r="X24" i="4"/>
  <c r="X23" i="4"/>
  <c r="X21" i="4"/>
  <c r="U12" i="4"/>
  <c r="U44" i="4" s="1"/>
  <c r="W8" i="4"/>
  <c r="W31" i="4"/>
  <c r="AB8" i="21"/>
  <c r="Y6" i="4"/>
  <c r="V40" i="4"/>
  <c r="V9" i="4"/>
  <c r="W25" i="4" l="1"/>
  <c r="W26" i="4" s="1"/>
  <c r="V41" i="4"/>
  <c r="V12" i="4"/>
  <c r="V44" i="4" s="1"/>
  <c r="L35" i="4"/>
  <c r="L32" i="4"/>
  <c r="AC8" i="21"/>
  <c r="Z6" i="4"/>
  <c r="W9" i="4"/>
  <c r="W40" i="4"/>
  <c r="Y11" i="4"/>
  <c r="Y20" i="4" s="1"/>
  <c r="Y23" i="4"/>
  <c r="Y5" i="4"/>
  <c r="Y7" i="4" s="1"/>
  <c r="Y24" i="4"/>
  <c r="Y21" i="4"/>
  <c r="U28" i="4"/>
  <c r="X8" i="4"/>
  <c r="X31" i="4"/>
  <c r="X14" i="4"/>
  <c r="X25" i="4" l="1"/>
  <c r="X26" i="4" s="1"/>
  <c r="W41" i="4"/>
  <c r="W12" i="4"/>
  <c r="W44" i="4" s="1"/>
  <c r="Y8" i="4"/>
  <c r="Y31" i="4"/>
  <c r="V28" i="4"/>
  <c r="AD8" i="21"/>
  <c r="AA6" i="4"/>
  <c r="L36" i="4"/>
  <c r="L43" i="4" s="1"/>
  <c r="Z11" i="4"/>
  <c r="Z20" i="4" s="1"/>
  <c r="Z23" i="4"/>
  <c r="Z5" i="4"/>
  <c r="Z7" i="4" s="1"/>
  <c r="Z24" i="4"/>
  <c r="Z21" i="4"/>
  <c r="X9" i="4"/>
  <c r="X40" i="4"/>
  <c r="Y14" i="4"/>
  <c r="Y25" i="4" l="1"/>
  <c r="Y26" i="4" s="1"/>
  <c r="W28" i="4"/>
  <c r="X41" i="4"/>
  <c r="AA24" i="4"/>
  <c r="AA21" i="4"/>
  <c r="AA23" i="4"/>
  <c r="AA5" i="4"/>
  <c r="AA7" i="4" s="1"/>
  <c r="AA11" i="4"/>
  <c r="AA20" i="4" s="1"/>
  <c r="AB6" i="4"/>
  <c r="AE8" i="21"/>
  <c r="Y40" i="4"/>
  <c r="Y9" i="4"/>
  <c r="X12" i="4"/>
  <c r="X44" i="4" s="1"/>
  <c r="M13" i="4"/>
  <c r="M15" i="4" s="1"/>
  <c r="M16" i="4" s="1"/>
  <c r="M17" i="4" s="1"/>
  <c r="O24" i="21"/>
  <c r="Z31" i="4"/>
  <c r="Z8" i="4"/>
  <c r="Z14" i="4"/>
  <c r="Z25" i="4" l="1"/>
  <c r="Z26" i="4" s="1"/>
  <c r="AA14" i="4"/>
  <c r="Y41" i="4"/>
  <c r="AF8" i="21"/>
  <c r="AC6" i="4"/>
  <c r="X28" i="4"/>
  <c r="M29" i="4"/>
  <c r="M30" i="4"/>
  <c r="M19" i="4"/>
  <c r="M22" i="4" s="1"/>
  <c r="M34" i="4" s="1"/>
  <c r="AA31" i="4"/>
  <c r="AA8" i="4"/>
  <c r="AA25" i="4"/>
  <c r="AA26" i="4" s="1"/>
  <c r="Z40" i="4"/>
  <c r="Z9" i="4"/>
  <c r="Y12" i="4"/>
  <c r="Y44" i="4" s="1"/>
  <c r="AB5" i="4"/>
  <c r="AB7" i="4" s="1"/>
  <c r="AB24" i="4"/>
  <c r="AB11" i="4"/>
  <c r="AB20" i="4" s="1"/>
  <c r="AB23" i="4"/>
  <c r="AB21" i="4"/>
  <c r="Z41" i="4" l="1"/>
  <c r="AB14" i="4"/>
  <c r="AA40" i="4"/>
  <c r="AA9" i="4"/>
  <c r="M35" i="4"/>
  <c r="M36" i="4" s="1"/>
  <c r="M43" i="4" s="1"/>
  <c r="M32" i="4"/>
  <c r="AB25" i="4"/>
  <c r="AB26" i="4" s="1"/>
  <c r="AB8" i="4"/>
  <c r="AB31" i="4"/>
  <c r="Y28" i="4"/>
  <c r="AC5" i="4"/>
  <c r="AC7" i="4" s="1"/>
  <c r="AC24" i="4"/>
  <c r="AC11" i="4"/>
  <c r="AC20" i="4" s="1"/>
  <c r="AC21" i="4"/>
  <c r="AC23" i="4"/>
  <c r="AG8" i="21"/>
  <c r="AD6" i="4"/>
  <c r="Z12" i="4"/>
  <c r="Z44" i="4" s="1"/>
  <c r="AA41" i="4" l="1"/>
  <c r="AA12" i="4"/>
  <c r="AA44" i="4" s="1"/>
  <c r="N13" i="4"/>
  <c r="N15" i="4" s="1"/>
  <c r="N16" i="4" s="1"/>
  <c r="N17" i="4" s="1"/>
  <c r="P24" i="21"/>
  <c r="AD21" i="4"/>
  <c r="AD11" i="4"/>
  <c r="AD20" i="4" s="1"/>
  <c r="AD23" i="4"/>
  <c r="AD24" i="4"/>
  <c r="AD5" i="4"/>
  <c r="AD7" i="4" s="1"/>
  <c r="AC25" i="4"/>
  <c r="AC26" i="4" s="1"/>
  <c r="AC31" i="4"/>
  <c r="AC8" i="4"/>
  <c r="AB40" i="4"/>
  <c r="AB9" i="4"/>
  <c r="AB12" i="4" s="1"/>
  <c r="AB44" i="4" s="1"/>
  <c r="AC14" i="4"/>
  <c r="AE6" i="4"/>
  <c r="AH8" i="21"/>
  <c r="AF6" i="4" s="1"/>
  <c r="Z28" i="4"/>
  <c r="AA28" i="4" l="1"/>
  <c r="AF5" i="4"/>
  <c r="AF7" i="4" s="1"/>
  <c r="AF24" i="4"/>
  <c r="AF21" i="4"/>
  <c r="AF23" i="4"/>
  <c r="AF11" i="4"/>
  <c r="AF20" i="4" s="1"/>
  <c r="AE24" i="4"/>
  <c r="AE21" i="4"/>
  <c r="AE5" i="4"/>
  <c r="AE7" i="4" s="1"/>
  <c r="AE23" i="4"/>
  <c r="AE11" i="4"/>
  <c r="AE20" i="4" s="1"/>
  <c r="AB41" i="4"/>
  <c r="AD31" i="4"/>
  <c r="AD8" i="4"/>
  <c r="AD25" i="4"/>
  <c r="AD26" i="4" s="1"/>
  <c r="AC9" i="4"/>
  <c r="AC12" i="4" s="1"/>
  <c r="AC44" i="4" s="1"/>
  <c r="AC40" i="4"/>
  <c r="AD14" i="4"/>
  <c r="N29" i="4"/>
  <c r="N19" i="4"/>
  <c r="N22" i="4" s="1"/>
  <c r="N34" i="4" s="1"/>
  <c r="N30" i="4"/>
  <c r="AB28" i="4" l="1"/>
  <c r="AC28" i="4"/>
  <c r="AF8" i="4"/>
  <c r="AE31" i="4"/>
  <c r="AF31" i="4" s="1"/>
  <c r="AE8" i="4"/>
  <c r="AE25" i="4"/>
  <c r="AE26" i="4" s="1"/>
  <c r="N35" i="4"/>
  <c r="N36" i="4" s="1"/>
  <c r="N43" i="4" s="1"/>
  <c r="N32" i="4"/>
  <c r="AE14" i="4"/>
  <c r="AF14" i="4" s="1"/>
  <c r="AD40" i="4"/>
  <c r="AD9" i="4"/>
  <c r="AD12" i="4" s="1"/>
  <c r="AD44" i="4" s="1"/>
  <c r="AC41" i="4"/>
  <c r="AG23" i="4"/>
  <c r="AD41" i="4" l="1"/>
  <c r="AF25" i="4"/>
  <c r="AF26" i="4" s="1"/>
  <c r="O13" i="4"/>
  <c r="O15" i="4" s="1"/>
  <c r="O16" i="4" s="1"/>
  <c r="O17" i="4" s="1"/>
  <c r="Q24" i="21"/>
  <c r="AE40" i="4"/>
  <c r="AE9" i="4"/>
  <c r="AD28" i="4"/>
  <c r="AE41" i="4" l="1"/>
  <c r="AE12" i="4"/>
  <c r="AE44" i="4" s="1"/>
  <c r="AF40" i="4"/>
  <c r="AG40" i="4" s="1"/>
  <c r="AF9" i="4"/>
  <c r="O19" i="4"/>
  <c r="O22" i="4" s="1"/>
  <c r="O34" i="4" s="1"/>
  <c r="O30" i="4"/>
  <c r="O29" i="4"/>
  <c r="O35" i="4" l="1"/>
  <c r="O36" i="4" s="1"/>
  <c r="O43" i="4" s="1"/>
  <c r="O32" i="4"/>
  <c r="AG9" i="4"/>
  <c r="AH24" i="4" s="1"/>
  <c r="AF12" i="4"/>
  <c r="AF44" i="4" s="1"/>
  <c r="AE28" i="4"/>
  <c r="AF41" i="4"/>
  <c r="AG41" i="4" s="1"/>
  <c r="AF28" i="4" l="1"/>
  <c r="P13" i="4"/>
  <c r="P15" i="4" s="1"/>
  <c r="P16" i="4" s="1"/>
  <c r="P17" i="4" s="1"/>
  <c r="R24" i="21"/>
  <c r="P19" i="4" l="1"/>
  <c r="P22" i="4" s="1"/>
  <c r="P34" i="4" s="1"/>
  <c r="P30" i="4"/>
  <c r="P29" i="4"/>
  <c r="P35" i="4" l="1"/>
  <c r="P36" i="4" s="1"/>
  <c r="P43" i="4" s="1"/>
  <c r="P32" i="4"/>
  <c r="Q13" i="4" l="1"/>
  <c r="Q15" i="4" s="1"/>
  <c r="Q16" i="4" s="1"/>
  <c r="Q17" i="4" s="1"/>
  <c r="S24" i="21"/>
  <c r="Q29" i="4" l="1"/>
  <c r="Q19" i="4"/>
  <c r="Q22" i="4" s="1"/>
  <c r="Q34" i="4" s="1"/>
  <c r="Q30" i="4"/>
  <c r="Q35" i="4" l="1"/>
  <c r="Q36" i="4" s="1"/>
  <c r="Q43" i="4" s="1"/>
  <c r="Q32" i="4"/>
  <c r="R13" i="4" l="1"/>
  <c r="R15" i="4" s="1"/>
  <c r="R16" i="4" s="1"/>
  <c r="R17" i="4" s="1"/>
  <c r="T24" i="21"/>
  <c r="R29" i="4" l="1"/>
  <c r="R19" i="4"/>
  <c r="R22" i="4" s="1"/>
  <c r="R34" i="4" s="1"/>
  <c r="R30" i="4"/>
  <c r="R35" i="4" l="1"/>
  <c r="R36" i="4" s="1"/>
  <c r="R43" i="4" s="1"/>
  <c r="R32" i="4"/>
  <c r="S13" i="4" l="1"/>
  <c r="S15" i="4" s="1"/>
  <c r="S16" i="4" s="1"/>
  <c r="S17" i="4" s="1"/>
  <c r="U24" i="21"/>
  <c r="S19" i="4" l="1"/>
  <c r="S22" i="4" s="1"/>
  <c r="S34" i="4" s="1"/>
  <c r="S30" i="4"/>
  <c r="S29" i="4"/>
  <c r="S35" i="4" l="1"/>
  <c r="S36" i="4" s="1"/>
  <c r="S43" i="4" s="1"/>
  <c r="S32" i="4"/>
  <c r="T13" i="4" l="1"/>
  <c r="T15" i="4" s="1"/>
  <c r="T16" i="4" s="1"/>
  <c r="T17" i="4" s="1"/>
  <c r="V24" i="21"/>
  <c r="T19" i="4" l="1"/>
  <c r="T22" i="4" s="1"/>
  <c r="T34" i="4" s="1"/>
  <c r="T30" i="4"/>
  <c r="T29" i="4"/>
  <c r="T35" i="4" l="1"/>
  <c r="T36" i="4" s="1"/>
  <c r="T43" i="4" s="1"/>
  <c r="T32" i="4"/>
  <c r="U13" i="4" l="1"/>
  <c r="U15" i="4" s="1"/>
  <c r="U16" i="4" s="1"/>
  <c r="U17" i="4" s="1"/>
  <c r="W24" i="21"/>
  <c r="U29" i="4" l="1"/>
  <c r="U19" i="4"/>
  <c r="U22" i="4" s="1"/>
  <c r="U34" i="4" s="1"/>
  <c r="U30" i="4"/>
  <c r="U35" i="4" l="1"/>
  <c r="U32" i="4"/>
  <c r="U36" i="4" l="1"/>
  <c r="U43" i="4" s="1"/>
  <c r="X24" i="21" l="1"/>
  <c r="V13" i="4"/>
  <c r="V15" i="4" s="1"/>
  <c r="V16" i="4" s="1"/>
  <c r="V17" i="4" s="1"/>
  <c r="V29" i="4" s="1"/>
  <c r="V30" i="4" l="1"/>
  <c r="V32" i="4" s="1"/>
  <c r="V19" i="4"/>
  <c r="V22" i="4" s="1"/>
  <c r="V34" i="4" s="1"/>
  <c r="V35" i="4" l="1"/>
  <c r="V36" i="4" s="1"/>
  <c r="V43" i="4" s="1"/>
  <c r="W13" i="4" s="1"/>
  <c r="W15" i="4" s="1"/>
  <c r="W16" i="4" s="1"/>
  <c r="W17" i="4" s="1"/>
  <c r="Y24" i="21"/>
  <c r="W19" i="4" l="1"/>
  <c r="W22" i="4" s="1"/>
  <c r="W34" i="4" s="1"/>
  <c r="W30" i="4"/>
  <c r="W29" i="4"/>
  <c r="W35" i="4" l="1"/>
  <c r="W36" i="4" s="1"/>
  <c r="W43" i="4" s="1"/>
  <c r="W32" i="4"/>
  <c r="X13" i="4" l="1"/>
  <c r="X15" i="4" s="1"/>
  <c r="X16" i="4" s="1"/>
  <c r="X17" i="4" s="1"/>
  <c r="Z24" i="21"/>
  <c r="X19" i="4" l="1"/>
  <c r="X22" i="4" s="1"/>
  <c r="X34" i="4" s="1"/>
  <c r="X30" i="4"/>
  <c r="X29" i="4"/>
  <c r="X35" i="4" l="1"/>
  <c r="X36" i="4" s="1"/>
  <c r="X43" i="4" s="1"/>
  <c r="X32" i="4"/>
  <c r="Y13" i="4" l="1"/>
  <c r="Y15" i="4" s="1"/>
  <c r="Y16" i="4" s="1"/>
  <c r="Y17" i="4" s="1"/>
  <c r="AA24" i="21"/>
  <c r="Y19" i="4" l="1"/>
  <c r="Y22" i="4" s="1"/>
  <c r="Y34" i="4" s="1"/>
  <c r="Y30" i="4"/>
  <c r="Y29" i="4"/>
  <c r="Y35" i="4" l="1"/>
  <c r="Y36" i="4" s="1"/>
  <c r="Y43" i="4" s="1"/>
  <c r="Y32" i="4"/>
  <c r="Z13" i="4" l="1"/>
  <c r="Z15" i="4" s="1"/>
  <c r="Z16" i="4" s="1"/>
  <c r="Z17" i="4" s="1"/>
  <c r="AB24" i="21"/>
  <c r="Z29" i="4" l="1"/>
  <c r="Z19" i="4"/>
  <c r="Z22" i="4" s="1"/>
  <c r="Z34" i="4" s="1"/>
  <c r="Z30" i="4"/>
  <c r="Z35" i="4" l="1"/>
  <c r="Z36" i="4" s="1"/>
  <c r="Z43" i="4" s="1"/>
  <c r="Z32" i="4"/>
  <c r="AA13" i="4" l="1"/>
  <c r="AA15" i="4" s="1"/>
  <c r="AA16" i="4" s="1"/>
  <c r="AA17" i="4" s="1"/>
  <c r="AC24" i="21"/>
  <c r="AA19" i="4" l="1"/>
  <c r="AA22" i="4" s="1"/>
  <c r="AA34" i="4" s="1"/>
  <c r="AA30" i="4"/>
  <c r="AA29" i="4"/>
  <c r="AA35" i="4" l="1"/>
  <c r="AA36" i="4" s="1"/>
  <c r="AA43" i="4" s="1"/>
  <c r="AA32" i="4"/>
  <c r="AB13" i="4" l="1"/>
  <c r="AB15" i="4" s="1"/>
  <c r="AB16" i="4" s="1"/>
  <c r="AB17" i="4" s="1"/>
  <c r="AD24" i="21"/>
  <c r="AB19" i="4" l="1"/>
  <c r="AB22" i="4" s="1"/>
  <c r="AB34" i="4" s="1"/>
  <c r="AB30" i="4"/>
  <c r="AB29" i="4"/>
  <c r="AB35" i="4" l="1"/>
  <c r="AB36" i="4" s="1"/>
  <c r="AB43" i="4" s="1"/>
  <c r="AB32" i="4"/>
  <c r="AC13" i="4" l="1"/>
  <c r="AC15" i="4" s="1"/>
  <c r="AC16" i="4" s="1"/>
  <c r="AC17" i="4" s="1"/>
  <c r="AE24" i="21"/>
  <c r="AC29" i="4" l="1"/>
  <c r="AC19" i="4"/>
  <c r="AC22" i="4" s="1"/>
  <c r="AC34" i="4" s="1"/>
  <c r="AC30" i="4"/>
  <c r="AC35" i="4" l="1"/>
  <c r="AC36" i="4" s="1"/>
  <c r="AC43" i="4" s="1"/>
  <c r="AC32" i="4"/>
  <c r="AD13" i="4" l="1"/>
  <c r="AD15" i="4" s="1"/>
  <c r="AD16" i="4" s="1"/>
  <c r="AD17" i="4" s="1"/>
  <c r="AF24" i="21"/>
  <c r="AD29" i="4" l="1"/>
  <c r="AD19" i="4"/>
  <c r="AD22" i="4" s="1"/>
  <c r="AD34" i="4" s="1"/>
  <c r="AD30" i="4"/>
  <c r="AD35" i="4" l="1"/>
  <c r="AD36" i="4" s="1"/>
  <c r="AD43" i="4" s="1"/>
  <c r="AD32" i="4"/>
  <c r="AE13" i="4" l="1"/>
  <c r="AE15" i="4" s="1"/>
  <c r="AE16" i="4" s="1"/>
  <c r="AE17" i="4" s="1"/>
  <c r="AG24" i="21"/>
  <c r="AE30" i="4" l="1"/>
  <c r="AE29" i="4"/>
  <c r="AE19" i="4"/>
  <c r="AE22" i="4" s="1"/>
  <c r="AE34" i="4" s="1"/>
  <c r="AE35" i="4" l="1"/>
  <c r="AE36" i="4" s="1"/>
  <c r="AE43" i="4" s="1"/>
  <c r="AE32" i="4"/>
  <c r="AF13" i="4" l="1"/>
  <c r="AF15" i="4" s="1"/>
  <c r="AF16" i="4" s="1"/>
  <c r="AF17" i="4" s="1"/>
  <c r="AF19" i="4" s="1"/>
  <c r="AH24" i="21"/>
  <c r="AF29" i="4" l="1"/>
  <c r="AF22" i="4"/>
  <c r="AF34" i="4" s="1"/>
  <c r="AF30" i="4"/>
  <c r="D71" i="4" l="1"/>
  <c r="AF35" i="4"/>
  <c r="AF36" i="4" s="1"/>
  <c r="AF43" i="4" s="1"/>
  <c r="AF32" i="4"/>
  <c r="AI24" i="21" l="1"/>
  <c r="D78" i="4"/>
  <c r="D77" i="4"/>
  <c r="D70" i="4"/>
  <c r="D72" i="4" l="1"/>
  <c r="E70" i="4" s="1"/>
  <c r="D75" i="4" l="1"/>
  <c r="E71" i="4"/>
  <c r="H39" i="1" l="1"/>
  <c r="D74" i="4"/>
  <c r="M39" i="1" s="1"/>
  <c r="E78" i="4"/>
  <c r="E7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João</author>
    <author>Diana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4"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I49" authorId="4" shapeId="0" xr:uid="{41F5293B-F8C0-4F11-B637-D3F46A6410B1}">
      <text>
        <r>
          <rPr>
            <b/>
            <sz val="10"/>
            <color indexed="81"/>
            <rFont val="Tahoma"/>
            <family val="2"/>
          </rPr>
          <t>Sky acquisition for $39B</t>
        </r>
      </text>
    </comment>
    <comment ref="F52" authorId="5" shapeId="0" xr:uid="{D1D170FA-CC4A-4D23-A896-015BDA13668D}">
      <text>
        <r>
          <rPr>
            <b/>
            <sz val="9"/>
            <color indexed="81"/>
            <rFont val="Tahoma"/>
            <family val="2"/>
          </rPr>
          <t>Diana:</t>
        </r>
        <r>
          <rPr>
            <sz val="9"/>
            <color indexed="81"/>
            <rFont val="Tahoma"/>
            <family val="2"/>
          </rPr>
          <t xml:space="preserve">
Increase in Net cash used in financing activities in 2021 consisted primarily of repayments of debt and the related early redemption payments presented in other
financing activities, repurchases of common stock under our share repurchase program and employee plans, dividend payments, and payments related to
the redemption of NBCUniversal Enterprise redeemable subsidiary preferred stock presented in other financing activities, partially offset by proceeds from
borrowings. </t>
        </r>
      </text>
    </comment>
    <comment ref="D53" authorId="5" shapeId="0" xr:uid="{618E8A86-E172-42DB-BC10-4E7BD078F97F}">
      <text>
        <r>
          <rPr>
            <b/>
            <sz val="9"/>
            <color indexed="81"/>
            <rFont val="Tahoma"/>
            <family val="2"/>
          </rPr>
          <t>Diana:</t>
        </r>
        <r>
          <rPr>
            <sz val="9"/>
            <color indexed="81"/>
            <rFont val="Tahoma"/>
            <family val="2"/>
          </rPr>
          <t xml:space="preserve">
The revenue of Sky Segment decreased 11.5%, and the record of goodwill and long-lived asset impairments related to our Sky segment totaling $8.6 billion in connection with our 2022 annual
impairment assessment. The impairments primarily reflected an increased discount rate and reduced estimated future cash flows as a result of
macroeconomic conditions in Sky’s territories.</t>
        </r>
      </text>
    </comment>
    <comment ref="E53" authorId="5" shapeId="0" xr:uid="{F349CC72-0468-4632-AC95-E2EB7E998933}">
      <text>
        <r>
          <rPr>
            <b/>
            <sz val="9"/>
            <color indexed="81"/>
            <rFont val="Tahoma"/>
            <family val="2"/>
          </rPr>
          <t>Diana:</t>
        </r>
        <r>
          <rPr>
            <sz val="9"/>
            <color indexed="81"/>
            <rFont val="Tahoma"/>
            <family val="2"/>
          </rPr>
          <t xml:space="preserve">
Board of Directors approved a new share repurchase program authorization of $20 billion, effective September 13, 2022. Repurchased a total
of 332 million shares of our Class A common stock for $13.0 billion in 2022 compared to a total of 73.2 million shares of our Class A common
stock for $4.0 billion in 2021. Raised our dividend by $0.08 to $1.08 per share on an annualized basis in January 2022 and paid $4.7 billion of
dividends in 2022.</t>
        </r>
      </text>
    </comment>
    <comment ref="F53" authorId="5" shapeId="0" xr:uid="{5519D5A5-B165-46DA-8A14-4475ECADF071}">
      <text>
        <r>
          <rPr>
            <b/>
            <sz val="9"/>
            <color indexed="81"/>
            <rFont val="Tahoma"/>
            <family val="2"/>
          </rPr>
          <t>Diana:</t>
        </r>
        <r>
          <rPr>
            <sz val="9"/>
            <color indexed="81"/>
            <rFont val="Tahoma"/>
            <family val="2"/>
          </rPr>
          <t xml:space="preserve">
revenue from oeprating activities decreased, and one of the reasons was the variance in changes in operating assets and liabilities in 2022 compared to 2021 was primarily related to the timing of amortization and related
payments for our film and television costs, including the return to normal production levels and the timing of sporting events, as well as decreases in
deferred revenue, partially offset by accruals related to severance in 2022.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D58" authorId="0" shapeId="0" xr:uid="{490C3F73-ED4C-447E-88D7-39D07370A519}">
      <text>
        <r>
          <rPr>
            <b/>
            <sz val="9"/>
            <color indexed="81"/>
            <rFont val="Tahoma"/>
            <family val="2"/>
          </rPr>
          <t>Diana:</t>
        </r>
        <r>
          <rPr>
            <sz val="9"/>
            <color indexed="81"/>
            <rFont val="Tahoma"/>
            <family val="2"/>
          </rPr>
          <t xml:space="preserve">
risk-free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B4" authorId="0" shapeId="0" xr:uid="{157D6A9E-D3B9-4213-97D9-81D5BA0F2F95}">
      <text>
        <r>
          <rPr>
            <b/>
            <sz val="9"/>
            <color indexed="81"/>
            <rFont val="Tahoma"/>
            <family val="2"/>
          </rPr>
          <t>Diana:</t>
        </r>
        <r>
          <rPr>
            <sz val="9"/>
            <color indexed="81"/>
            <rFont val="Tahoma"/>
            <family val="2"/>
          </rPr>
          <t xml:space="preserve">
https://finance.yahoo.com/quote/CMCSA/analysis?p=CMCSA</t>
        </r>
      </text>
    </comment>
    <comment ref="AE21" authorId="0" shapeId="0" xr:uid="{62121324-0655-43F9-88E4-8A3CDFBE5404}">
      <text>
        <r>
          <rPr>
            <b/>
            <sz val="9"/>
            <color indexed="81"/>
            <rFont val="Tahoma"/>
            <family val="2"/>
          </rPr>
          <t>Diana:</t>
        </r>
        <r>
          <rPr>
            <sz val="9"/>
            <color indexed="81"/>
            <rFont val="Tahoma"/>
            <family val="2"/>
          </rPr>
          <t xml:space="preserve">
target year</t>
        </r>
      </text>
    </comment>
    <comment ref="J27" authorId="0" shapeId="0" xr:uid="{ADD93586-288A-4122-80A1-3DEF4C6179F6}">
      <text>
        <r>
          <rPr>
            <b/>
            <sz val="9"/>
            <color indexed="81"/>
            <rFont val="Tahoma"/>
            <family val="2"/>
          </rPr>
          <t>Diana:</t>
        </r>
        <r>
          <rPr>
            <sz val="9"/>
            <color indexed="81"/>
            <rFont val="Tahoma"/>
            <family val="2"/>
          </rPr>
          <t xml:space="preserve">
average last 10Y</t>
        </r>
      </text>
    </comment>
    <comment ref="H30" authorId="0" shapeId="0" xr:uid="{150564EE-486F-4D52-8842-C41576297E05}">
      <text>
        <r>
          <rPr>
            <b/>
            <sz val="9"/>
            <color indexed="81"/>
            <rFont val="Tahoma"/>
            <family val="2"/>
          </rPr>
          <t>Diana:</t>
        </r>
        <r>
          <rPr>
            <sz val="9"/>
            <color indexed="81"/>
            <rFont val="Tahoma"/>
            <family val="2"/>
          </rPr>
          <t xml:space="preserve">
Board of Directors approved a new share repurchase program authorization of $20 billion</t>
        </r>
      </text>
    </comment>
    <comment ref="I30" authorId="0" shapeId="0" xr:uid="{7BF5C634-8DB0-4951-81F9-957405741346}">
      <text>
        <r>
          <rPr>
            <b/>
            <sz val="9"/>
            <color indexed="81"/>
            <rFont val="Tahoma"/>
            <family val="2"/>
          </rPr>
          <t>Diana
whitout the new share repurchase program</t>
        </r>
      </text>
    </comment>
    <comment ref="K30" authorId="0" shapeId="0" xr:uid="{8D1980E0-8745-4EA8-8D19-C10C8EB196B6}">
      <text>
        <r>
          <rPr>
            <b/>
            <sz val="9"/>
            <color indexed="81"/>
            <rFont val="Tahoma"/>
            <family val="2"/>
          </rPr>
          <t>Diana:</t>
        </r>
        <r>
          <rPr>
            <sz val="9"/>
            <color indexed="81"/>
            <rFont val="Tahoma"/>
            <family val="2"/>
          </rPr>
          <t xml:space="preserve">
average past 10 years</t>
        </r>
      </text>
    </comment>
    <comment ref="H34" authorId="0" shapeId="0" xr:uid="{8BC62517-1C15-4CCB-92A9-F35C55C31B3A}">
      <text>
        <r>
          <rPr>
            <b/>
            <sz val="9"/>
            <color indexed="81"/>
            <rFont val="Tahoma"/>
            <family val="2"/>
          </rPr>
          <t>Diana:</t>
        </r>
        <r>
          <rPr>
            <sz val="9"/>
            <color indexed="81"/>
            <rFont val="Tahoma"/>
            <family val="2"/>
          </rPr>
          <t xml:space="preserve">
Looking back at the last 5 years, Comcast's effective tax rate peaked in December 2022 at 47.0%.</t>
        </r>
      </text>
    </comment>
    <comment ref="J34" authorId="0" shapeId="0" xr:uid="{E804500B-C4C3-478D-BDD7-747B92E543A5}">
      <text>
        <r>
          <rPr>
            <b/>
            <sz val="9"/>
            <color indexed="81"/>
            <rFont val="Tahoma"/>
            <family val="2"/>
          </rPr>
          <t>Diana:</t>
        </r>
        <r>
          <rPr>
            <sz val="9"/>
            <color indexed="81"/>
            <rFont val="Tahoma"/>
            <family val="2"/>
          </rPr>
          <t xml:space="preserve">
Six Months Ended
June 30, 2023 
https://www.cmcsa.com/static-files/4b1f8e8c-8fcd-49a0-b5c8-fb54811634f3
</t>
        </r>
      </text>
    </comment>
    <comment ref="D40" authorId="0" shapeId="0" xr:uid="{6039A6A5-DFEC-4AB6-9F68-26D058157C7C}">
      <text>
        <r>
          <rPr>
            <b/>
            <sz val="9"/>
            <color indexed="81"/>
            <rFont val="Tahoma"/>
            <family val="2"/>
          </rPr>
          <t>Diana:</t>
        </r>
        <r>
          <rPr>
            <sz val="9"/>
            <color indexed="81"/>
            <rFont val="Tahoma"/>
            <family val="2"/>
          </rPr>
          <t xml:space="preserve">
germany, italy, irland and austria</t>
        </r>
      </text>
    </comment>
    <comment ref="B51" authorId="0" shapeId="0" xr:uid="{5E250664-EBBF-4558-874B-1FA8C3271CD2}">
      <text>
        <r>
          <rPr>
            <b/>
            <sz val="9"/>
            <color indexed="81"/>
            <rFont val="Tahoma"/>
            <family val="2"/>
          </rPr>
          <t>Diana:</t>
        </r>
        <r>
          <rPr>
            <sz val="9"/>
            <color indexed="81"/>
            <rFont val="Tahoma"/>
            <family val="2"/>
          </rPr>
          <t xml:space="preserve">
https://pages.stern.nyu.edu/~adamodar/New_Home_Page/datafile/ratings.html</t>
        </r>
      </text>
    </comment>
    <comment ref="B54" authorId="0" shapeId="0" xr:uid="{5D186D7B-377E-482F-AAA5-905813066EFA}">
      <text>
        <r>
          <rPr>
            <b/>
            <sz val="9"/>
            <color indexed="81"/>
            <rFont val="Tahoma"/>
            <family val="2"/>
          </rPr>
          <t>Diana:</t>
        </r>
        <r>
          <rPr>
            <sz val="9"/>
            <color indexed="81"/>
            <rFont val="Tahoma"/>
            <family val="2"/>
          </rPr>
          <t xml:space="preserve">
https://pages.stern.nyu.edu/~adamodar/New_Home_Page/datafile/ctryprem.html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Pereira Castro</author>
  </authors>
  <commentList>
    <comment ref="B12" authorId="0" shapeId="0" xr:uid="{9F1DB6B1-FABB-456F-8C61-A43E17CB50F3}">
      <text>
        <r>
          <rPr>
            <sz val="10"/>
            <rFont val="Arial"/>
          </rPr>
          <t>The revenue of Sky Segment decreased 11.5%, and the record of goodwill and long-lived asset impairments related to our Sky segment totaling $8.6 billion in connection with our 2022 annual
impairment assessment. The impairments primarily reflected an increased discount rate and reduced estimated future cash flows as a result of
macroeconomic conditions in Sky’s territories.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Pereira Castro</author>
  </authors>
  <commentList>
    <comment ref="F66" authorId="0" shapeId="0" xr:uid="{29E23992-3DB6-4760-910B-2061DED339F6}">
      <text>
        <r>
          <rPr>
            <sz val="10"/>
            <rFont val="Arial"/>
          </rPr>
          <t xml:space="preserve">
Sky acquisition for $39B</t>
        </r>
      </text>
    </comment>
    <comment ref="B74" authorId="0" shapeId="0" xr:uid="{1EB9EAE5-18A5-46DC-A2C1-8354AAE7238D}">
      <text>
        <r>
          <rPr>
            <sz val="10"/>
            <rFont val="Arial"/>
          </rPr>
          <t xml:space="preserve">
Board of Directors approved a new share repurchase program authorization of $20 billion,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<sst xmlns="http://schemas.openxmlformats.org/spreadsheetml/2006/main" count="1689" uniqueCount="824">
  <si>
    <t>Team 4</t>
  </si>
  <si>
    <t>NASDAQ</t>
  </si>
  <si>
    <t xml:space="preserve">SIC: </t>
  </si>
  <si>
    <t>COMPANY DESCRIPTION</t>
  </si>
  <si>
    <t>CEO &amp; BOARD OF DIRECTORS</t>
  </si>
  <si>
    <t>Name</t>
  </si>
  <si>
    <t>Gender</t>
  </si>
  <si>
    <t>Age</t>
  </si>
  <si>
    <t>Tenure</t>
  </si>
  <si>
    <t>Executive?</t>
  </si>
  <si>
    <t>Other roles</t>
  </si>
  <si>
    <t>Brian L. Roberts</t>
  </si>
  <si>
    <t>M</t>
  </si>
  <si>
    <t>YES</t>
  </si>
  <si>
    <t>CEO of Comcast Corporation</t>
  </si>
  <si>
    <t>Thomas J. Baltimore, Jr.</t>
  </si>
  <si>
    <t>NO</t>
  </si>
  <si>
    <t>Chairman, President and CEO of Park Hotels &amp; Resorts, Inc.</t>
  </si>
  <si>
    <t>Madeline S. Bell</t>
  </si>
  <si>
    <t>F</t>
  </si>
  <si>
    <t>President and CEO of Children’s Hospital of Philadelphia</t>
  </si>
  <si>
    <t>Edward D. Breen</t>
  </si>
  <si>
    <t>Executive Chairman and CEO of DuPont de Nemours, Inc.</t>
  </si>
  <si>
    <t>Gerald L. Hassell</t>
  </si>
  <si>
    <t>CEO of The Bank of New York Mellon</t>
  </si>
  <si>
    <t>Jeffrey A. Honickman</t>
  </si>
  <si>
    <t>CEO of Pepsi-Cola &amp; National Brand Beverages, Ltd.</t>
  </si>
  <si>
    <t>Maritza G. Montiel</t>
  </si>
  <si>
    <t>Deputy CEO of Deloitte LLP</t>
  </si>
  <si>
    <t>Asuka Nakahara</t>
  </si>
  <si>
    <t>Co-founder Incompass Labs, Inc.</t>
  </si>
  <si>
    <t>David C. Novak</t>
  </si>
  <si>
    <t>Founder of David Novak Leadership, Inc.</t>
  </si>
  <si>
    <t>Kenneth J. Bacon</t>
  </si>
  <si>
    <t>Partner at RailField Partners</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</si>
  <si>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</si>
  <si>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</si>
  <si>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</si>
  <si>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</si>
  <si>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</si>
  <si>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</si>
  <si>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</si>
  <si>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</si>
  <si>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</si>
  <si>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</si>
  <si>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</si>
  <si>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</si>
  <si>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</si>
  <si>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</si>
  <si>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</si>
  <si>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</si>
  <si>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</si>
  <si>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</si>
  <si>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</si>
  <si>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</si>
  <si>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</si>
  <si>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</si>
  <si>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</si>
  <si>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EBIDTA/Net Financial Cost (NFC)</t>
  </si>
  <si>
    <t>Other</t>
  </si>
  <si>
    <t>Depreciation &amp; Amortization</t>
  </si>
  <si>
    <t>Score (S&amp;P)</t>
  </si>
  <si>
    <t>A-</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</si>
  <si>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</si>
  <si>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</si>
  <si>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</si>
  <si>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</si>
  <si>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</si>
  <si>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</si>
  <si>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</si>
  <si>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</si>
  <si>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</si>
  <si>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</si>
  <si>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</si>
  <si>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</si>
  <si>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</si>
  <si>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</si>
  <si>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</si>
  <si>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</si>
  <si>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</si>
  <si>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</si>
  <si>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</si>
  <si>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</si>
  <si>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</si>
  <si>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</si>
  <si>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</si>
  <si>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</si>
  <si>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</si>
  <si>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</si>
  <si>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</si>
  <si>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</si>
  <si>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</si>
  <si>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</si>
  <si>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</si>
  <si>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</si>
  <si>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</si>
  <si>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</si>
  <si>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</si>
  <si>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</si>
  <si>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</si>
  <si>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</si>
  <si>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</si>
  <si>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</si>
  <si>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</si>
  <si>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</si>
  <si>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t>
  </si>
  <si>
    <t>Strong Market Position and Diversified Service Portfolio</t>
  </si>
  <si>
    <t>Comcast holds a dominant position in the telecommunications and media industry, making it a reliable and stable investment option. With a diversified service portfolio, Comcast has multiple revenue streams. This diversification reduces the company's reliance on any single business segment, making it better positioned to face market fluctuations and changes in consumer preferences.</t>
  </si>
  <si>
    <t>Robust Infrastructure and Technological Advancements</t>
  </si>
  <si>
    <t>Comcast has made significant investments in building and maintaining a state-of-the-art network infrastructure, allowing it to deliver high-quality services to millions of customers. The company's focus on technological advancements ensures it stays competitive and relevant in the rapidly evolving telecommunications landscape. Comcast's infrastructure investments provide a competitive edge and support future growth opportunities.</t>
  </si>
  <si>
    <t>Expansion into the Streaming and On-Demand Market</t>
  </si>
  <si>
    <t>Comcast's ownership of NBCUniversal gives it a strong position in the content creation and distribution space. The company's streaming platform, Peacock, has the potential for significant growth as the trend of online content consumption continues to rise. With a vast library of content from NBCUniversal's properties and original programming, Comcast can capitalize on the growing popularity of streaming services and attract new subscribers. This expansion into the streaming market allows Comcast to tap into a broader audience and diversify its revenue sources beyond traditional cable TV offerings.</t>
  </si>
  <si>
    <t>Risks of Investment</t>
  </si>
  <si>
    <t>Price Target</t>
  </si>
  <si>
    <t>Valuation</t>
  </si>
  <si>
    <t>Risk</t>
  </si>
  <si>
    <t>Discount Rate</t>
  </si>
  <si>
    <t>Upside</t>
  </si>
  <si>
    <t>Intense Competition and Market Disruptions</t>
  </si>
  <si>
    <t>The telecommunications and media industry is highly competitive, with various players vying for market share. Comcast faces competition not only from traditional cable providers but also from emerging streaming services and digital content platforms. As consumer preferences shift towards on-demand content consumption and cord-cutting becomes more prevalent, Comcast's traditional cable TV business could face challenges.</t>
  </si>
  <si>
    <t>Customer Service Issues and Reputation</t>
  </si>
  <si>
    <t>Comcast has faced criticism in the past for its customer service practices, including complaints about long wait times, service outages, and billing problems. Poor customer service experiences can lead to customer dissatisfaction, higher churn rates, and damage to the company's reputation.</t>
  </si>
  <si>
    <t>Regulatory and Legal Challenges</t>
  </si>
  <si>
    <t>The telecommunications industry is subject to extensive regulatory oversight, and changes in regulations can significantly affect Comcast's operations and profitability. Additionally, the company may face legal challenges related to antitrust, data privacy, or content distribution issues.</t>
  </si>
  <si>
    <t>FINANCIAL PERFORMANCE</t>
  </si>
  <si>
    <t>v</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</si>
  <si>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</si>
  <si>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</si>
  <si>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</si>
  <si>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</si>
  <si>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</si>
  <si>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</si>
  <si>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</si>
  <si>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</si>
  <si>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</si>
  <si>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</si>
  <si>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</si>
  <si>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</si>
  <si>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</si>
  <si>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</si>
  <si>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</si>
  <si>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</si>
  <si>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</si>
  <si>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</si>
  <si>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</si>
  <si>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</si>
  <si>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</si>
  <si>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</si>
  <si>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</si>
  <si>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</si>
  <si>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</si>
  <si>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</si>
  <si>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</si>
  <si>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</si>
  <si>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t>Strong Market Presence
Diverse Service Portfolio
Well-known brand and costumer loyalty</t>
  </si>
  <si>
    <t>Customer Services Issues
Regulation Issues due to being a regional monopoly in some areas
Technological Disruption in the industry (on-demand content)</t>
  </si>
  <si>
    <t>Opportunities</t>
  </si>
  <si>
    <t>Risks</t>
  </si>
  <si>
    <t xml:space="preserve">Expanding Broadband Services
Content Streaming through their Peacock platform
Integrated Smart Home Services
</t>
  </si>
  <si>
    <t>Highly competitive market
Uncertain Regulatory Environment 
Mass adoption of streaming instead of cable TV</t>
  </si>
  <si>
    <t>NOTES</t>
  </si>
  <si>
    <t>STOCK PERFORMANCE (5 years)</t>
  </si>
  <si>
    <t xml:space="preserve"> </t>
  </si>
  <si>
    <t>Products</t>
  </si>
  <si>
    <t>Nominal value</t>
  </si>
  <si>
    <t>YoY Growth</t>
  </si>
  <si>
    <t>Weight</t>
  </si>
  <si>
    <t>Region</t>
  </si>
  <si>
    <t>United Kingdom</t>
  </si>
  <si>
    <t>United States</t>
  </si>
  <si>
    <t>TOTAL</t>
  </si>
  <si>
    <t>Category</t>
  </si>
  <si>
    <t>TV and streaming</t>
  </si>
  <si>
    <t>Cable Communications</t>
  </si>
  <si>
    <t>Media</t>
  </si>
  <si>
    <t>Studios</t>
  </si>
  <si>
    <t>Theme Parks</t>
  </si>
  <si>
    <t>Sky</t>
  </si>
  <si>
    <t>Description</t>
  </si>
  <si>
    <t>Graphs</t>
  </si>
  <si>
    <t>Consists of the operations of Comcast Cable, which is a provider of broadband, video, voice, wireless, and other services. These services are provided to residencial customers in the United States under the Xfinity brand and are also provided to business costumers. Also selling of advertising.</t>
  </si>
  <si>
    <t>studios</t>
  </si>
  <si>
    <t xml:space="preserve">Consists primerily of NBCUniversal's(acquired between 2011 and 2013) television and streaming platforms, including nacional, regional and internacional cable networks </t>
  </si>
  <si>
    <t>Consists primarily of NBCUniversal's film and television studio production and distribution operations</t>
  </si>
  <si>
    <t>Consists primarily of Universal theme parks in Orlando, Florida, Hollywood, California, Osaka, Japan and China</t>
  </si>
  <si>
    <t>Consists primarily of the operations of sky (acquired in 2018), an intertainment company, wich includes a direct-to-consumer business, providing video, broadband, voice and wireless phone services, and a content business, operating entertainment network, the sky News broadcast network and Sky Sports networks</t>
  </si>
  <si>
    <t>theme parks</t>
  </si>
  <si>
    <t>Industry</t>
  </si>
  <si>
    <t>Graphs (Industry Forecasts)</t>
  </si>
  <si>
    <t>Drivers</t>
  </si>
  <si>
    <t>Consumption Patterns</t>
  </si>
  <si>
    <t>Consumers are incrisingly turning to streaming services, decreasing their consumption of cable communications and television networks</t>
  </si>
  <si>
    <t>Personalized user experience</t>
  </si>
  <si>
    <t>The sucesse of media and entertainment content depends on consumer tastes and preferences that usually chages in unpredictable ways, making harder to be consistent in creating personalized content.</t>
  </si>
  <si>
    <t>Tecnological developments</t>
  </si>
  <si>
    <t>Tecnological developments are rapidly changing the way streaming services are produced and distributed and the quality and speed of this services are increasing almost by the day, which is making harder for the companies to catch up</t>
  </si>
  <si>
    <t>Digital safety</t>
  </si>
  <si>
    <t>Technology brings along with all the developments,a bunch of concerns regarding the safety of confidencial information and the security needed to prevent cyber attacks and tecnhology disruptions</t>
  </si>
  <si>
    <t>Source</t>
  </si>
  <si>
    <t>Market Growth CGAR</t>
  </si>
  <si>
    <t>Period</t>
  </si>
  <si>
    <t>Research and Markets</t>
  </si>
  <si>
    <t>2021-2027</t>
  </si>
  <si>
    <t>Business Research Insights</t>
  </si>
  <si>
    <t>2022-2028</t>
  </si>
  <si>
    <t>Vault</t>
  </si>
  <si>
    <t>2021-2026</t>
  </si>
  <si>
    <t>Statista</t>
  </si>
  <si>
    <t>2022-2027</t>
  </si>
  <si>
    <t>Company's Strategy / Extra Notes</t>
  </si>
  <si>
    <t>"PHILADELPH"IA--(BUSINESS WIRE)--Jul. 27, 2023-- Comcast Corporation (Nasdaq: CMCSA) announced that its Board of Directors declared a
quarterly dividend of $0.29 a share on the company’s common stock. The quarterly dividend is payable on October 25, 2023, to shareholders of record
as of the close of business on October 4, 2023."</t>
  </si>
  <si>
    <t>Invertir</t>
  </si>
  <si>
    <t>NO invertir</t>
  </si>
  <si>
    <t>Mantener sin elevar posición</t>
  </si>
  <si>
    <t>Mantener (y seguir comprando)</t>
  </si>
  <si>
    <t>Liquidar</t>
  </si>
  <si>
    <t>PENDIENTE</t>
  </si>
  <si>
    <t>Peer Logo</t>
  </si>
  <si>
    <t>Peer Name</t>
  </si>
  <si>
    <t>In Millions USD (exc Market Cap)</t>
  </si>
  <si>
    <t>AVERAGE</t>
  </si>
  <si>
    <t>Company Info</t>
  </si>
  <si>
    <t>Market Cap</t>
  </si>
  <si>
    <t>Net Sales (current)</t>
  </si>
  <si>
    <t>Profitability</t>
  </si>
  <si>
    <t>Sales Growth (ttm)</t>
  </si>
  <si>
    <t>Sales Growth (36m)</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</si>
  <si>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</si>
  <si>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</si>
  <si>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</si>
  <si>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</si>
  <si>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</si>
  <si>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</si>
  <si>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</si>
  <si>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</si>
  <si>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</si>
  <si>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</si>
  <si>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</si>
  <si>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</si>
  <si>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</si>
  <si>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</si>
  <si>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</si>
  <si>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</si>
  <si>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</si>
  <si>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</si>
  <si>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</si>
  <si>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</si>
  <si>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</si>
  <si>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</si>
  <si>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</si>
  <si>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</si>
  <si>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</si>
  <si>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</si>
  <si>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</si>
  <si>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</si>
  <si>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</si>
  <si>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Financial Data</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</si>
  <si>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</si>
  <si>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</si>
  <si>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</si>
  <si>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</si>
  <si>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</si>
  <si>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</si>
  <si>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</si>
  <si>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</si>
  <si>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</si>
  <si>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</si>
  <si>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</si>
  <si>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</si>
  <si>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</si>
  <si>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</si>
  <si>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</si>
  <si>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</si>
  <si>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</si>
  <si>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Company GICS Sector:</t>
  </si>
  <si>
    <t>Yes</t>
  </si>
  <si>
    <t>Communication Services</t>
  </si>
  <si>
    <t>&lt;- Select Industry</t>
  </si>
  <si>
    <t>9+</t>
  </si>
  <si>
    <t>No</t>
  </si>
  <si>
    <t>ESG Analysis</t>
  </si>
  <si>
    <t>Relative ESG Analysis</t>
  </si>
  <si>
    <t>Parameters</t>
  </si>
  <si>
    <t>Impact</t>
  </si>
  <si>
    <t>Do they report?</t>
  </si>
  <si>
    <t>Ranking</t>
  </si>
  <si>
    <t>Mitigation Plan</t>
  </si>
  <si>
    <t>Traffic Lights</t>
  </si>
  <si>
    <t>Improvement over time?</t>
  </si>
  <si>
    <t>Targets / Goals?</t>
  </si>
  <si>
    <t>Comments</t>
  </si>
  <si>
    <t>Comcast Corporation</t>
  </si>
  <si>
    <t>AT&amp;T Inc.</t>
  </si>
  <si>
    <t>Paramount Global</t>
  </si>
  <si>
    <t>Lumen Technologies, Inc.</t>
  </si>
  <si>
    <t>Verizon Communications Inc.</t>
  </si>
  <si>
    <t>T-Mobile US, Inc.</t>
  </si>
  <si>
    <t>Environmental</t>
  </si>
  <si>
    <t>Ratios</t>
  </si>
  <si>
    <t>CO2 Direct Emissions</t>
  </si>
  <si>
    <t>low</t>
  </si>
  <si>
    <t>Medium</t>
  </si>
  <si>
    <t>Goal to become carbon neutral by 2035 for Scope 1 and 2
emissions across our global operations.</t>
  </si>
  <si>
    <t>CO2 Emissions/$M Sales</t>
  </si>
  <si>
    <t>Total Water Consumption</t>
  </si>
  <si>
    <t>Water Consumption/$M Sales</t>
  </si>
  <si>
    <t>Total Energy Consumption</t>
  </si>
  <si>
    <t xml:space="preserve">Utilizing the latest clean technologies to green our
operations and network. This means investing in clean and
renewable energy, piloting electric and hybrid vehicles, and
building for the future.
</t>
  </si>
  <si>
    <t>Energy Consumption/$M Sales</t>
  </si>
  <si>
    <t>Waste Management</t>
  </si>
  <si>
    <t>Waste Production/$M Sales</t>
  </si>
  <si>
    <t>Land Degradation/Deforestation/Biodiversity loss/Animal sufering/…</t>
  </si>
  <si>
    <t>Inputs</t>
  </si>
  <si>
    <t>Social</t>
  </si>
  <si>
    <t>Net Sales ($M)</t>
  </si>
  <si>
    <t>Employee Turnover %</t>
  </si>
  <si>
    <t>Medium High</t>
  </si>
  <si>
    <t>CO2 Emissions Total (Tonnes)</t>
  </si>
  <si>
    <t>Salaries &amp; Compensation</t>
  </si>
  <si>
    <t>Water Consumption Total (Cubic Meters)</t>
  </si>
  <si>
    <t>Reputation</t>
  </si>
  <si>
    <t>Energy Consumption Total (Gigajoules)</t>
  </si>
  <si>
    <t>Discrimination Events</t>
  </si>
  <si>
    <t>Waste Production Total (Tonnes)</t>
  </si>
  <si>
    <t>Work Safety</t>
  </si>
  <si>
    <t>None</t>
  </si>
  <si>
    <t>Robust Employee Assistance Program and generous portfolio of mental and behavioral health resources</t>
  </si>
  <si>
    <t>ESG Scores</t>
  </si>
  <si>
    <t>Damage to consumer health</t>
  </si>
  <si>
    <t>Refinitiv</t>
  </si>
  <si>
    <t>66/100</t>
  </si>
  <si>
    <t>76/100</t>
  </si>
  <si>
    <t>69/100</t>
  </si>
  <si>
    <t>72/100</t>
  </si>
  <si>
    <t>64/100</t>
  </si>
  <si>
    <t>PXP?</t>
  </si>
  <si>
    <t>Sustainalytics</t>
  </si>
  <si>
    <t>23,1 (Medium risk)</t>
  </si>
  <si>
    <t>23,9 (Medium Risk)</t>
  </si>
  <si>
    <t>15,0 (Low Risk)</t>
  </si>
  <si>
    <t>26,1 (Medium Risk)</t>
  </si>
  <si>
    <t>18,6 (Low Risk)</t>
  </si>
  <si>
    <t>24,7 (Medium Risk)</t>
  </si>
  <si>
    <t>Supply chain</t>
  </si>
  <si>
    <t>ISS</t>
  </si>
  <si>
    <t>Community involvement</t>
  </si>
  <si>
    <t>CDP</t>
  </si>
  <si>
    <t>B</t>
  </si>
  <si>
    <t>A</t>
  </si>
  <si>
    <t>Public Sector</t>
  </si>
  <si>
    <t>Litigation</t>
  </si>
  <si>
    <t>No major law-suits in the last 5 years</t>
  </si>
  <si>
    <t>Corporate Governance</t>
  </si>
  <si>
    <t>PARAMETERS</t>
  </si>
  <si>
    <t>Diversity (Gender, Age, Industry, Region)</t>
  </si>
  <si>
    <t>Aspiration to have 50% women and 33% people of color at every level of our workforce.</t>
  </si>
  <si>
    <t>Board of Directors is 50% diverse by people of color and gender</t>
  </si>
  <si>
    <t>IMPACT</t>
  </si>
  <si>
    <t>RANKING</t>
  </si>
  <si>
    <t>MITIGATION PLAN</t>
  </si>
  <si>
    <t>% Independence</t>
  </si>
  <si>
    <t>89% of Board membersand are independent (1 out of 9 is non-independent)</t>
  </si>
  <si>
    <t>Low</t>
  </si>
  <si>
    <t>"Best in class"</t>
  </si>
  <si>
    <t>Evidence / plan?</t>
  </si>
  <si>
    <t>average time as independent directors</t>
  </si>
  <si>
    <t>Independence director tenure has an average of10 years</t>
  </si>
  <si>
    <t>Recent departures of directors / C-level executives?</t>
  </si>
  <si>
    <t>Maritza G. Montiel has been a director since 2018, being the most recent change to the board</t>
  </si>
  <si>
    <t>High</t>
  </si>
  <si>
    <t>CEO/Chairman duality</t>
  </si>
  <si>
    <t>Brian L. Roberts is the Chairman, President and Chief Executive Officer of Comcast</t>
  </si>
  <si>
    <t>Very high</t>
  </si>
  <si>
    <t>"Villain"</t>
  </si>
  <si>
    <t>Transparency (ESG, segments, acquisitions, other)</t>
  </si>
  <si>
    <t>The information of the board about their public profile is 
available and accurately disclosed</t>
  </si>
  <si>
    <t>Time taken to report after the end of the quarter / year</t>
  </si>
  <si>
    <t>On Jan. 26, 2023, Comcast Corporation reported results for the quarter and year ended December 31, 2022.</t>
  </si>
  <si>
    <t>Additional participation of the CEO in other boards or excessive participation of Ch.</t>
  </si>
  <si>
    <t>The Ceo and Chairman, Brian L. Roberts is not present in any other committee</t>
  </si>
  <si>
    <t>Audit / Consulting</t>
  </si>
  <si>
    <t>In 2021 they paid 27,4 millions for the services of Deloitte</t>
  </si>
  <si>
    <t>ESG-compensation related</t>
  </si>
  <si>
    <t>Management compensation schemes</t>
  </si>
  <si>
    <t>Base salary, Annueal Cash Bonus, Annueal PSU Grants and Annual Stock Option Grants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</si>
  <si>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</si>
  <si>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</si>
  <si>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</si>
  <si>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</si>
  <si>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</si>
  <si>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</si>
  <si>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</si>
  <si>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</si>
  <si>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</si>
  <si>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</si>
  <si>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</si>
  <si>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</si>
  <si>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</si>
  <si>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</si>
  <si>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</si>
  <si>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</si>
  <si>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</si>
  <si>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</si>
  <si>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</si>
  <si>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EBIDTA</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</si>
  <si>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</si>
  <si>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</si>
  <si>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</si>
  <si>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</si>
  <si>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</si>
  <si>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</si>
  <si>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</si>
  <si>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</si>
  <si>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</si>
  <si>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</si>
  <si>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</si>
  <si>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</si>
  <si>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</si>
  <si>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</si>
  <si>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</si>
  <si>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</si>
  <si>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</si>
  <si>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</si>
  <si>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</si>
  <si>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</si>
  <si>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</si>
  <si>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</si>
  <si>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</si>
  <si>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</si>
  <si>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</si>
  <si>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</si>
  <si>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</si>
  <si>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</si>
  <si>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</si>
  <si>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</si>
  <si>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</si>
  <si>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</si>
  <si>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</si>
  <si>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</si>
  <si>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</si>
  <si>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</si>
  <si>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</si>
  <si>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</si>
  <si>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</si>
  <si>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</si>
  <si>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</si>
  <si>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</si>
  <si>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</si>
  <si>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</si>
  <si>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</si>
  <si>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</si>
  <si>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</si>
  <si>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</si>
  <si>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</si>
  <si>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</si>
  <si>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</si>
  <si>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</si>
  <si>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</si>
  <si>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</si>
  <si>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</si>
  <si>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</si>
  <si>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</si>
  <si>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</si>
  <si>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</si>
  <si>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</si>
  <si>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</si>
  <si>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</si>
  <si>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 xml:space="preserve">Capex </t>
  </si>
  <si>
    <t>% revenue (l2)</t>
  </si>
  <si>
    <t>Acquisition factor</t>
  </si>
  <si>
    <t>% net income (11)</t>
  </si>
  <si>
    <t>Repurchases</t>
  </si>
  <si>
    <t>Leases</t>
  </si>
  <si>
    <t>Cash Costs for EBIT</t>
  </si>
  <si>
    <t>$ millions</t>
  </si>
  <si>
    <t>Value of flows</t>
  </si>
  <si>
    <t>Value of perpetuity</t>
  </si>
  <si>
    <t>Total Value</t>
  </si>
  <si>
    <t>Actual share price</t>
  </si>
  <si>
    <t>Total value vs Mkt Cap</t>
  </si>
  <si>
    <t>Estimated NPV per share</t>
  </si>
  <si>
    <t>Sensibility</t>
  </si>
  <si>
    <t>Sensitivity +0.1%</t>
  </si>
  <si>
    <t>Sensitivity +0.5%</t>
  </si>
  <si>
    <t>Notes</t>
  </si>
  <si>
    <t>Results</t>
  </si>
  <si>
    <t>Growth vs. Previous year</t>
  </si>
  <si>
    <t>Gross Profit</t>
  </si>
  <si>
    <t>% over sales</t>
  </si>
  <si>
    <t>Operating expenses</t>
  </si>
  <si>
    <t xml:space="preserve">     Growth vs. Previous year</t>
  </si>
  <si>
    <t>Other Expenses (Revenues)</t>
  </si>
  <si>
    <t>Depreciation and Amortization</t>
  </si>
  <si>
    <t>Changes Net Working Capital</t>
  </si>
  <si>
    <t>% Tax</t>
  </si>
  <si>
    <t>Cash Generated</t>
  </si>
  <si>
    <t>Share buyback</t>
  </si>
  <si>
    <t>FNP</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</si>
  <si>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</si>
  <si>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</si>
  <si>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</si>
  <si>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</si>
  <si>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</si>
  <si>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</si>
  <si>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</si>
  <si>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</si>
  <si>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</si>
  <si>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</si>
  <si>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</si>
  <si>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</si>
  <si>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</si>
  <si>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</si>
  <si>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</si>
  <si>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Debt</t>
  </si>
  <si>
    <t>Minority Interest</t>
  </si>
  <si>
    <t xml:space="preserve">Shareholder's Equity </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</si>
  <si>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</si>
  <si>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</si>
  <si>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</si>
  <si>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</si>
  <si>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</si>
  <si>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</si>
  <si>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</si>
  <si>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</si>
  <si>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</si>
  <si>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</si>
  <si>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</si>
  <si>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</si>
  <si>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Growth Average last 3 years</t>
  </si>
  <si>
    <t>Growth Average last 5 years</t>
  </si>
  <si>
    <t>Next 5 Years (per annum)</t>
  </si>
  <si>
    <t>Real</t>
  </si>
  <si>
    <t>Forecast</t>
  </si>
  <si>
    <t>(millions)</t>
  </si>
  <si>
    <t>Sales</t>
  </si>
  <si>
    <t>% Growth</t>
  </si>
  <si>
    <t>Average/Target</t>
  </si>
  <si>
    <t>Capex % sales</t>
  </si>
  <si>
    <t>Acquisitions</t>
  </si>
  <si>
    <t>Depreciation</t>
  </si>
  <si>
    <t>Amortizations</t>
  </si>
  <si>
    <t>Stock base compensation expense % sales</t>
  </si>
  <si>
    <t>Target</t>
  </si>
  <si>
    <t>Net debt-to-EBITDA</t>
  </si>
  <si>
    <t>% past year net income</t>
  </si>
  <si>
    <t>Repurchase</t>
  </si>
  <si>
    <t>Payout ratio 5 Y average (dividends+ share repurchases)</t>
  </si>
  <si>
    <t>Tax rate</t>
  </si>
  <si>
    <t>Country Risk Premium</t>
  </si>
  <si>
    <t>Equity Risk Premium</t>
  </si>
  <si>
    <t>U.S.</t>
  </si>
  <si>
    <t>U.K.</t>
  </si>
  <si>
    <t>Estimating Working Capital</t>
  </si>
  <si>
    <t xml:space="preserve">% of change revenues </t>
  </si>
  <si>
    <t>Cost of Debt</t>
  </si>
  <si>
    <t>Interest Coverage ratio</t>
  </si>
  <si>
    <t>A3/A-(current level)</t>
  </si>
  <si>
    <t>Default spread</t>
  </si>
  <si>
    <t>30Y US Bond Yield</t>
  </si>
  <si>
    <t>5Y US Bond Yield</t>
  </si>
  <si>
    <t>Country default spread (US)</t>
  </si>
  <si>
    <t>Short-term cost debt</t>
  </si>
  <si>
    <t>Long-term cost of debt</t>
  </si>
  <si>
    <t>Operating margin</t>
  </si>
  <si>
    <t>Last 7y average</t>
  </si>
  <si>
    <t>2023 1Q</t>
  </si>
  <si>
    <t>2022 1Q</t>
  </si>
  <si>
    <t>Last 10Y average</t>
  </si>
  <si>
    <t>2023 2Q</t>
  </si>
  <si>
    <t>2022 2Q</t>
  </si>
  <si>
    <t>Debt/Ebitda</t>
  </si>
  <si>
    <t>Average 10Y</t>
  </si>
  <si>
    <t>Average 5Y</t>
  </si>
  <si>
    <t>Interest expense/Debt</t>
  </si>
  <si>
    <t>Effective Tax Rate Benchmarks of Communication Services : https://finbox.com/NASDAQGS:CMCS.A/explorer/effect_tax_rate/</t>
  </si>
  <si>
    <t>Debt to Ebitda https://www.discoverci.com/companies/CMCSA/debt-to-ebitda</t>
  </si>
  <si>
    <t>Country Default Spreads and Risk Premiums https://pages.stern.nyu.edu/~adamodar/New_Home_Page/datafile/ctryprem.html</t>
  </si>
  <si>
    <t>EBITDA Margin</t>
  </si>
  <si>
    <t>Net Debt</t>
  </si>
  <si>
    <t>Changes in cash</t>
  </si>
  <si>
    <t>Figures in Millions of USD</t>
  </si>
  <si>
    <t>Company</t>
  </si>
  <si>
    <t>Report in millions</t>
  </si>
  <si>
    <t>RESULTS</t>
  </si>
  <si>
    <t>Hoja</t>
  </si>
  <si>
    <t>Nombre campo Bloomberg</t>
  </si>
  <si>
    <t>Cambio de signo</t>
  </si>
  <si>
    <t>Income Statement</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</si>
  <si>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</si>
  <si>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</si>
  <si>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</si>
  <si>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</si>
  <si>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</si>
  <si>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</si>
  <si>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</si>
  <si>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</si>
  <si>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</si>
  <si>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</si>
  <si>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</si>
  <si>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</si>
  <si>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</si>
  <si>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</si>
  <si>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</si>
  <si>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</si>
  <si>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</si>
  <si>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</si>
  <si>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</si>
  <si>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</si>
  <si>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</si>
  <si>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</si>
  <si>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</si>
  <si>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</si>
  <si>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</si>
  <si>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</si>
  <si>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</si>
  <si>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</si>
  <si>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</si>
  <si>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</si>
  <si>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</si>
  <si>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</si>
  <si>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</si>
  <si>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</si>
  <si>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</si>
  <si>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</si>
  <si>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</si>
  <si>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</si>
  <si>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</si>
  <si>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</si>
  <si>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</si>
  <si>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</si>
  <si>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</si>
  <si>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</si>
  <si>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</si>
  <si>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</si>
  <si>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</si>
  <si>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</si>
  <si>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</si>
  <si>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</si>
  <si>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</si>
  <si>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</si>
  <si>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</si>
  <si>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</si>
  <si>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</si>
  <si>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</si>
  <si>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</si>
  <si>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</si>
  <si>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</si>
  <si>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</si>
  <si>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</si>
  <si>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</si>
  <si>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</si>
  <si>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</si>
  <si>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</si>
  <si>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</si>
  <si>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</si>
  <si>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</si>
  <si>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</si>
  <si>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</si>
  <si>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</si>
  <si>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</si>
  <si>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</si>
  <si>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</si>
  <si>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Sector</t>
  </si>
  <si>
    <t>Sub-Industry</t>
  </si>
  <si>
    <t>Environment</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</si>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</sst>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76" formatCode="_-&quot;$&quot;* #,##0.00_-;\-&quot;$&quot;* #,##0.00_-;_-&quot;$&quot;* &quot;-&quot;??_-;_-@_-"/>
    <numFmt numFmtId="177" formatCode="&quot;$&quot;#,##0.00"/>
    <numFmt numFmtId="178" formatCode="&quot;$&quot;#,##0.0"/>
    <numFmt numFmtId="179" formatCode="&quot;$&quot;#,##0"/>
    <numFmt numFmtId="180" formatCode="0.0%"/>
    <numFmt numFmtId="181" formatCode="0.0"/>
    <numFmt numFmtId="182" formatCode="#,##0.0"/>
    <numFmt numFmtId="183" formatCode="[$$-409]#,##0.00_ ;\-[$$-409]#,##0.00\ "/>
    <numFmt numFmtId="184" formatCode="[$$-409]#,##0.00"/>
    <numFmt numFmtId="185" formatCode="[$$-409]#,##0"/>
    <numFmt numFmtId="186" formatCode="_-[$$-409]* #,##0.00_ ;_-[$$-409]* \-#,##0.00\ ;_-[$$-409]* &quot;-&quot;??_ ;_-@_ "/>
    <numFmt numFmtId="187" formatCode="0.000000"/>
    <numFmt numFmtId="188" formatCode="_([$$-409]* #,##0.00_);_([$$-409]* \(#,##0.00\);_([$$-409]* &quot;-&quot;??_);_(@_)"/>
    <numFmt numFmtId="189" formatCode="[$$-409]#,##0.0"/>
    <numFmt numFmtId="190" formatCode="&quot;€&quot;#,##0.00"/>
    <numFmt numFmtId="191" formatCode="[$$-1009]#,##0"/>
    <numFmt numFmtId="192" formatCode="[$$-1009]#,##0.00"/>
    <numFmt numFmtId="193" formatCode="#,##0.00\ &quot;€&quot;"/>
  </numFmts>
  <fonts count="7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9"/>
      <color indexed="81"/>
      <name val="Tahoma"/>
      <family val="2"/>
    </font>
    <font>
      <sz val="9"/>
      <color indexed="81"/>
      <name val="Tahoma"/>
      <family val="2"/>
    </font>
    <font>
      <b/>
      <sz val="10"/>
      <color indexed="81"/>
      <name val="Tahoma"/>
      <family val="2"/>
    </font>
  </fonts>
  <fills count="4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DCE6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s>
  <borders count="224">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top/>
      <bottom style="medium">
        <color theme="3"/>
      </bottom>
      <diagonal/>
    </border>
    <border>
      <left/>
      <right style="medium">
        <color indexed="64"/>
      </right>
      <top style="medium">
        <color indexed="64"/>
      </top>
      <bottom/>
      <diagonal/>
    </border>
    <border>
      <left/>
      <right style="medium">
        <color theme="3"/>
      </right>
      <top style="thin">
        <color theme="0" tint="-0.249977111117893"/>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medium">
        <color rgb="FF1F497D"/>
      </left>
      <right style="thin">
        <color indexed="64"/>
      </right>
      <top style="thin">
        <color indexed="64"/>
      </top>
      <bottom style="thin">
        <color indexed="64"/>
      </bottom>
      <diagonal/>
    </border>
    <border>
      <left style="thin">
        <color indexed="64"/>
      </left>
      <right style="medium">
        <color rgb="FF1F497D"/>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medium">
        <color rgb="FF1F497D"/>
      </left>
      <right/>
      <top/>
      <bottom style="medium">
        <color theme="3"/>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rgb="FF000000"/>
      </bottom>
      <diagonal/>
    </border>
    <border>
      <left/>
      <right style="dotted">
        <color indexed="64"/>
      </right>
      <top/>
      <bottom/>
      <diagonal/>
    </border>
    <border>
      <left style="thin">
        <color indexed="64"/>
      </left>
      <right style="thin">
        <color rgb="FF000000"/>
      </right>
      <top style="thin">
        <color rgb="FF000000"/>
      </top>
      <bottom style="medium">
        <color indexed="64"/>
      </bottom>
      <diagonal/>
    </border>
    <border>
      <left/>
      <right/>
      <top/>
      <bottom style="medium">
        <color theme="0" tint="-0.249977111117893"/>
      </bottom>
      <diagonal/>
    </border>
    <border>
      <left/>
      <right/>
      <top style="medium">
        <color theme="0" tint="-0.249977111117893"/>
      </top>
      <bottom style="medium">
        <color theme="0" tint="-0.249977111117893"/>
      </bottom>
      <diagonal/>
    </border>
    <border>
      <left/>
      <right/>
      <top style="medium">
        <color theme="0" tint="-0.24994659260841701"/>
      </top>
      <bottom style="medium">
        <color theme="0" tint="-0.249977111117893"/>
      </bottom>
      <diagonal/>
    </border>
    <border>
      <left/>
      <right/>
      <top style="medium">
        <color theme="0" tint="-0.249977111117893"/>
      </top>
      <bottom/>
      <diagonal/>
    </border>
    <border>
      <left/>
      <right/>
      <top style="medium">
        <color theme="0" tint="-0.249977111117893"/>
      </top>
      <bottom style="medium">
        <color theme="0" tint="-0.24994659260841701"/>
      </bottom>
      <diagonal/>
    </border>
    <border>
      <left/>
      <right/>
      <top style="medium">
        <color rgb="FF1F497D"/>
      </top>
      <bottom style="medium">
        <color theme="0" tint="-0.249977111117893"/>
      </bottom>
      <diagonal/>
    </border>
    <border>
      <left style="medium">
        <color theme="3"/>
      </left>
      <right/>
      <top style="thin">
        <color theme="0" tint="-0.249977111117893"/>
      </top>
      <bottom/>
      <diagonal/>
    </border>
    <border>
      <left/>
      <right style="thin">
        <color theme="0" tint="-0.24994659260841701"/>
      </right>
      <top style="thin">
        <color theme="0" tint="-0.249977111117893"/>
      </top>
      <bottom/>
      <diagonal/>
    </border>
    <border>
      <left/>
      <right style="thin">
        <color theme="0" tint="-0.249977111117893"/>
      </right>
      <top style="thin">
        <color theme="0" tint="-0.249977111117893"/>
      </top>
      <bottom/>
      <diagonal/>
    </border>
    <border>
      <left style="medium">
        <color auto="1"/>
      </left>
      <right style="medium">
        <color auto="1"/>
      </right>
      <top style="medium">
        <color auto="1"/>
      </top>
      <bottom style="medium">
        <color auto="1"/>
      </bottom>
      <diagonal/>
    </border>
    <border>
      <left/>
      <right/>
      <top style="medium">
        <color theme="0"/>
      </top>
      <bottom/>
      <diagonal/>
    </border>
    <border>
      <left/>
      <right style="medium">
        <color rgb="FF1F497D"/>
      </right>
      <top style="medium">
        <color theme="0" tint="-0.24994659260841701"/>
      </top>
      <bottom style="medium">
        <color theme="0" tint="-0.24994659260841701"/>
      </bottom>
      <diagonal/>
    </border>
    <border>
      <left/>
      <right style="medium">
        <color rgb="FF1F497D"/>
      </right>
      <top style="medium">
        <color theme="0" tint="-0.249977111117893"/>
      </top>
      <bottom style="medium">
        <color theme="0" tint="-0.249977111117893"/>
      </bottom>
      <diagonal/>
    </border>
    <border>
      <left/>
      <right style="medium">
        <color rgb="FF1F497D"/>
      </right>
      <top/>
      <bottom style="medium">
        <color theme="0" tint="-0.249977111117893"/>
      </bottom>
      <diagonal/>
    </border>
    <border>
      <left/>
      <right style="medium">
        <color rgb="FF1F497D"/>
      </right>
      <top style="medium">
        <color theme="0" tint="-0.24994659260841701"/>
      </top>
      <bottom style="medium">
        <color theme="0" tint="-0.249977111117893"/>
      </bottom>
      <diagonal/>
    </border>
  </borders>
  <cellStyleXfs count="34">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82" fontId="10" fillId="3" borderId="4">
      <alignment horizontal="right"/>
    </xf>
    <xf numFmtId="4" fontId="10" fillId="3" borderId="4">
      <alignment horizontal="right"/>
    </xf>
    <xf numFmtId="0" fontId="19" fillId="4" borderId="5" applyNumberFormat="0" applyAlignment="0" applyProtection="0"/>
    <xf numFmtId="0" fontId="17" fillId="3" borderId="6"/>
    <xf numFmtId="0" fontId="18" fillId="3" borderId="6"/>
    <xf numFmtId="0" fontId="9" fillId="0" borderId="0" applyNumberFormat="0" applyFill="0" applyBorder="0" applyAlignment="0" applyProtection="0">
      <alignment vertical="top"/>
      <protection locked="0"/>
    </xf>
    <xf numFmtId="176" fontId="21" fillId="0" borderId="0" applyFont="0" applyFill="0" applyBorder="0" applyAlignment="0" applyProtection="0"/>
    <xf numFmtId="176"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21"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5" fillId="0" borderId="0"/>
    <xf numFmtId="9" fontId="5"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182" fontId="10" fillId="3" borderId="6">
      <alignment horizontal="right"/>
    </xf>
    <xf numFmtId="9" fontId="2" fillId="0" borderId="0" applyFont="0" applyFill="0" applyBorder="0" applyAlignment="0" applyProtection="0"/>
  </cellStyleXfs>
  <cellXfs count="1037">
    <xf numFmtId="0" fontId="0" fillId="0" borderId="0" xfId="0"/>
    <xf numFmtId="9" fontId="0" fillId="0" borderId="0" xfId="16" applyFont="1" applyAlignment="1">
      <alignment horizontal="center"/>
    </xf>
    <xf numFmtId="0" fontId="0" fillId="0" borderId="0" xfId="0" applyAlignment="1">
      <alignment horizontal="center"/>
    </xf>
    <xf numFmtId="179" fontId="0" fillId="0" borderId="0" xfId="0" applyNumberFormat="1"/>
    <xf numFmtId="10" fontId="0" fillId="0" borderId="0" xfId="0" applyNumberFormat="1" applyAlignment="1">
      <alignment horizontal="center"/>
    </xf>
    <xf numFmtId="180" fontId="0" fillId="0" borderId="0" xfId="0" applyNumberFormat="1" applyAlignment="1">
      <alignment horizontal="center"/>
    </xf>
    <xf numFmtId="0" fontId="12" fillId="0" borderId="0" xfId="0" applyFont="1" applyAlignment="1">
      <alignment horizontal="center"/>
    </xf>
    <xf numFmtId="0" fontId="25" fillId="0" borderId="0" xfId="0" applyFont="1"/>
    <xf numFmtId="0" fontId="14" fillId="0" borderId="19" xfId="0" applyFont="1" applyBorder="1"/>
    <xf numFmtId="0" fontId="12" fillId="0" borderId="22" xfId="0" applyFont="1" applyBorder="1" applyAlignment="1">
      <alignment horizontal="center"/>
    </xf>
    <xf numFmtId="0" fontId="22" fillId="0" borderId="0" xfId="0" applyFont="1"/>
    <xf numFmtId="0" fontId="7" fillId="0" borderId="0" xfId="0" applyFont="1"/>
    <xf numFmtId="0" fontId="7" fillId="0" borderId="19" xfId="0" applyFont="1" applyBorder="1"/>
    <xf numFmtId="0" fontId="7" fillId="0" borderId="19" xfId="0" applyFont="1" applyBorder="1" applyAlignment="1">
      <alignment horizontal="left"/>
    </xf>
    <xf numFmtId="0" fontId="12" fillId="0" borderId="0" xfId="0" applyFont="1"/>
    <xf numFmtId="179" fontId="12" fillId="0" borderId="0" xfId="0" applyNumberFormat="1" applyFont="1" applyAlignment="1">
      <alignment horizontal="center"/>
    </xf>
    <xf numFmtId="9" fontId="12" fillId="0" borderId="0" xfId="16" applyFont="1"/>
    <xf numFmtId="9" fontId="7" fillId="0" borderId="19" xfId="16" applyFont="1" applyFill="1" applyBorder="1" applyAlignment="1">
      <alignment horizontal="center"/>
    </xf>
    <xf numFmtId="9" fontId="7" fillId="8" borderId="19" xfId="16" applyFont="1" applyFill="1" applyBorder="1" applyAlignment="1">
      <alignment horizontal="center"/>
    </xf>
    <xf numFmtId="10" fontId="7" fillId="8" borderId="19" xfId="0" applyNumberFormat="1" applyFont="1" applyFill="1" applyBorder="1" applyAlignment="1">
      <alignment horizontal="center"/>
    </xf>
    <xf numFmtId="0" fontId="25" fillId="8" borderId="0" xfId="0" applyFont="1" applyFill="1"/>
    <xf numFmtId="0" fontId="32" fillId="0" borderId="0" xfId="0" applyFont="1"/>
    <xf numFmtId="0" fontId="25" fillId="8" borderId="0" xfId="0" applyFont="1" applyFill="1" applyAlignment="1">
      <alignment horizontal="center"/>
    </xf>
    <xf numFmtId="0" fontId="34" fillId="0" borderId="0" xfId="0" applyFont="1"/>
    <xf numFmtId="0" fontId="34" fillId="12" borderId="0" xfId="0" applyFont="1" applyFill="1"/>
    <xf numFmtId="3" fontId="34" fillId="0" borderId="0" xfId="0" applyNumberFormat="1" applyFont="1" applyAlignment="1">
      <alignment horizontal="center"/>
    </xf>
    <xf numFmtId="0" fontId="34" fillId="0" borderId="0" xfId="0" applyFont="1" applyAlignment="1">
      <alignment horizontal="left"/>
    </xf>
    <xf numFmtId="0" fontId="34" fillId="19" borderId="0" xfId="0" applyFont="1" applyFill="1"/>
    <xf numFmtId="3" fontId="34" fillId="19" borderId="0" xfId="0" applyNumberFormat="1" applyFont="1" applyFill="1" applyAlignment="1">
      <alignment horizontal="center"/>
    </xf>
    <xf numFmtId="0" fontId="0" fillId="12" borderId="0" xfId="0" applyFill="1"/>
    <xf numFmtId="3" fontId="34" fillId="0" borderId="0" xfId="0" applyNumberFormat="1" applyFont="1"/>
    <xf numFmtId="3" fontId="35" fillId="19" borderId="0" xfId="0" applyNumberFormat="1" applyFont="1" applyFill="1" applyAlignment="1">
      <alignment horizontal="center"/>
    </xf>
    <xf numFmtId="3" fontId="34" fillId="12" borderId="0" xfId="0" applyNumberFormat="1" applyFont="1" applyFill="1" applyAlignment="1">
      <alignment horizontal="center"/>
    </xf>
    <xf numFmtId="3" fontId="35" fillId="12" borderId="0" xfId="0" applyNumberFormat="1" applyFont="1" applyFill="1" applyAlignment="1">
      <alignment horizontal="center"/>
    </xf>
    <xf numFmtId="0" fontId="18" fillId="3" borderId="6" xfId="10"/>
    <xf numFmtId="0" fontId="0" fillId="20" borderId="0" xfId="0" applyFill="1"/>
    <xf numFmtId="3" fontId="22" fillId="0" borderId="0" xfId="0" applyNumberFormat="1" applyFont="1" applyAlignment="1">
      <alignment horizontal="center"/>
    </xf>
    <xf numFmtId="3" fontId="22" fillId="0" borderId="0" xfId="0" applyNumberFormat="1" applyFont="1"/>
    <xf numFmtId="0" fontId="0" fillId="21" borderId="0" xfId="0" applyFill="1"/>
    <xf numFmtId="3" fontId="22" fillId="19" borderId="0" xfId="0" applyNumberFormat="1" applyFont="1" applyFill="1" applyAlignment="1">
      <alignment horizontal="center"/>
    </xf>
    <xf numFmtId="0" fontId="22" fillId="19" borderId="0" xfId="0" applyFont="1" applyFill="1"/>
    <xf numFmtId="0" fontId="0" fillId="22" borderId="0" xfId="0" applyFill="1"/>
    <xf numFmtId="182" fontId="34" fillId="0" borderId="0" xfId="0" applyNumberFormat="1" applyFont="1" applyAlignment="1">
      <alignment horizontal="center"/>
    </xf>
    <xf numFmtId="9" fontId="0" fillId="8" borderId="19" xfId="16" applyFont="1" applyFill="1" applyBorder="1" applyAlignment="1">
      <alignment horizontal="center"/>
    </xf>
    <xf numFmtId="0" fontId="0" fillId="0" borderId="47" xfId="0" applyBorder="1"/>
    <xf numFmtId="0" fontId="37" fillId="0" borderId="0" xfId="0" applyFont="1"/>
    <xf numFmtId="0" fontId="38" fillId="0" borderId="0" xfId="0" applyFont="1"/>
    <xf numFmtId="0" fontId="39" fillId="0" borderId="0" xfId="0" applyFont="1" applyAlignment="1">
      <alignment horizontal="center"/>
    </xf>
    <xf numFmtId="0" fontId="39" fillId="0" borderId="0" xfId="0" applyFont="1"/>
    <xf numFmtId="181" fontId="38" fillId="0" borderId="0" xfId="0" applyNumberFormat="1" applyFont="1" applyAlignment="1">
      <alignment horizontal="center"/>
    </xf>
    <xf numFmtId="0" fontId="40" fillId="0" borderId="0" xfId="0" applyFont="1"/>
    <xf numFmtId="0" fontId="41" fillId="0" borderId="0" xfId="0" applyFont="1"/>
    <xf numFmtId="0" fontId="42" fillId="0" borderId="0" xfId="0" applyFont="1"/>
    <xf numFmtId="0" fontId="0" fillId="0" borderId="12" xfId="0" applyBorder="1"/>
    <xf numFmtId="0" fontId="22" fillId="0" borderId="0" xfId="0" applyFont="1" applyAlignment="1">
      <alignment horizontal="center"/>
    </xf>
    <xf numFmtId="0" fontId="38" fillId="0" borderId="0" xfId="0" applyFont="1" applyAlignment="1">
      <alignment horizontal="center"/>
    </xf>
    <xf numFmtId="179" fontId="7" fillId="24" borderId="19" xfId="0" applyNumberFormat="1" applyFont="1" applyFill="1" applyBorder="1" applyAlignment="1">
      <alignment horizontal="center"/>
    </xf>
    <xf numFmtId="3" fontId="37" fillId="0" borderId="0" xfId="0" applyNumberFormat="1" applyFont="1"/>
    <xf numFmtId="0" fontId="39" fillId="17" borderId="0" xfId="0" applyFont="1" applyFill="1" applyAlignment="1">
      <alignment horizontal="center"/>
    </xf>
    <xf numFmtId="0" fontId="38" fillId="17" borderId="48" xfId="0" applyFont="1" applyFill="1" applyBorder="1"/>
    <xf numFmtId="3" fontId="0" fillId="25" borderId="1" xfId="0" applyNumberFormat="1" applyFill="1" applyBorder="1" applyAlignment="1">
      <alignment horizontal="center"/>
    </xf>
    <xf numFmtId="3" fontId="0" fillId="25" borderId="49" xfId="0" applyNumberFormat="1" applyFill="1" applyBorder="1" applyAlignment="1">
      <alignment horizontal="center"/>
    </xf>
    <xf numFmtId="0" fontId="38" fillId="0" borderId="48" xfId="0" applyFont="1" applyBorder="1" applyAlignment="1">
      <alignment horizontal="left" indent="1"/>
    </xf>
    <xf numFmtId="180" fontId="12" fillId="26" borderId="1" xfId="16" applyNumberFormat="1" applyFont="1" applyFill="1" applyBorder="1" applyAlignment="1">
      <alignment horizontal="center"/>
    </xf>
    <xf numFmtId="180" fontId="12" fillId="26" borderId="49" xfId="16" applyNumberFormat="1" applyFont="1" applyFill="1" applyBorder="1" applyAlignment="1">
      <alignment horizontal="center"/>
    </xf>
    <xf numFmtId="0" fontId="38" fillId="0" borderId="48" xfId="0" applyFont="1" applyBorder="1" applyAlignment="1">
      <alignment horizontal="left"/>
    </xf>
    <xf numFmtId="3" fontId="0" fillId="25" borderId="1" xfId="16" applyNumberFormat="1" applyFont="1" applyFill="1" applyBorder="1" applyAlignment="1">
      <alignment horizontal="center"/>
    </xf>
    <xf numFmtId="3" fontId="0" fillId="25" borderId="49" xfId="16" applyNumberFormat="1" applyFont="1" applyFill="1" applyBorder="1" applyAlignment="1">
      <alignment horizontal="center"/>
    </xf>
    <xf numFmtId="0" fontId="38" fillId="17" borderId="48" xfId="0" applyFont="1" applyFill="1" applyBorder="1" applyAlignment="1">
      <alignment horizontal="left" indent="1"/>
    </xf>
    <xf numFmtId="0" fontId="39" fillId="0" borderId="48" xfId="0" applyFont="1" applyBorder="1" applyAlignment="1">
      <alignment horizontal="left"/>
    </xf>
    <xf numFmtId="3" fontId="12" fillId="27" borderId="1" xfId="16" applyNumberFormat="1" applyFont="1" applyFill="1" applyBorder="1" applyAlignment="1">
      <alignment horizontal="center"/>
    </xf>
    <xf numFmtId="3" fontId="12" fillId="27" borderId="49" xfId="16" applyNumberFormat="1" applyFont="1" applyFill="1" applyBorder="1" applyAlignment="1">
      <alignment horizontal="center"/>
    </xf>
    <xf numFmtId="0" fontId="39" fillId="17" borderId="48" xfId="0" applyFont="1" applyFill="1" applyBorder="1"/>
    <xf numFmtId="0" fontId="38" fillId="0" borderId="48" xfId="0" applyFont="1" applyBorder="1"/>
    <xf numFmtId="3" fontId="0" fillId="0" borderId="0" xfId="0" applyNumberFormat="1" applyAlignment="1">
      <alignment horizontal="center"/>
    </xf>
    <xf numFmtId="181" fontId="0" fillId="0" borderId="0" xfId="0" applyNumberFormat="1" applyAlignment="1">
      <alignment horizontal="center"/>
    </xf>
    <xf numFmtId="10" fontId="34" fillId="19" borderId="0" xfId="16" applyNumberFormat="1" applyFont="1" applyFill="1" applyAlignment="1">
      <alignment horizontal="center"/>
    </xf>
    <xf numFmtId="9" fontId="34" fillId="19" borderId="0" xfId="16" applyFont="1" applyFill="1" applyAlignment="1">
      <alignment horizontal="center"/>
    </xf>
    <xf numFmtId="180" fontId="34" fillId="19" borderId="0" xfId="16" applyNumberFormat="1" applyFont="1" applyFill="1" applyAlignment="1">
      <alignment horizontal="center"/>
    </xf>
    <xf numFmtId="10" fontId="34" fillId="19" borderId="0" xfId="0" applyNumberFormat="1" applyFont="1" applyFill="1" applyAlignment="1">
      <alignment horizontal="center"/>
    </xf>
    <xf numFmtId="4" fontId="34" fillId="19" borderId="0" xfId="0" applyNumberFormat="1" applyFont="1" applyFill="1" applyAlignment="1">
      <alignment horizontal="center"/>
    </xf>
    <xf numFmtId="0" fontId="34" fillId="19" borderId="0" xfId="0" applyFont="1" applyFill="1" applyAlignment="1">
      <alignment horizontal="center"/>
    </xf>
    <xf numFmtId="180" fontId="34" fillId="19" borderId="0" xfId="0" applyNumberFormat="1" applyFont="1" applyFill="1" applyAlignment="1">
      <alignment horizontal="center"/>
    </xf>
    <xf numFmtId="9" fontId="34" fillId="0" borderId="0" xfId="16" applyFont="1" applyFill="1" applyAlignment="1">
      <alignment horizontal="center"/>
    </xf>
    <xf numFmtId="180" fontId="34" fillId="0" borderId="0" xfId="16" applyNumberFormat="1" applyFont="1" applyFill="1" applyAlignment="1">
      <alignment horizontal="center"/>
    </xf>
    <xf numFmtId="9" fontId="34" fillId="0" borderId="0" xfId="22" applyFont="1" applyFill="1" applyAlignment="1">
      <alignment horizontal="center"/>
    </xf>
    <xf numFmtId="184" fontId="7" fillId="24" borderId="19" xfId="0" applyNumberFormat="1" applyFont="1" applyFill="1" applyBorder="1" applyAlignment="1">
      <alignment horizontal="center"/>
    </xf>
    <xf numFmtId="180" fontId="32" fillId="24" borderId="19" xfId="16" applyNumberFormat="1" applyFont="1" applyFill="1" applyBorder="1" applyAlignment="1">
      <alignment horizontal="center"/>
    </xf>
    <xf numFmtId="0" fontId="12" fillId="0" borderId="39" xfId="0" applyFont="1" applyBorder="1"/>
    <xf numFmtId="0" fontId="16" fillId="5" borderId="8" xfId="4" applyFill="1" applyBorder="1" applyAlignment="1"/>
    <xf numFmtId="0" fontId="7" fillId="0" borderId="0" xfId="26"/>
    <xf numFmtId="0" fontId="26" fillId="5" borderId="7" xfId="26" applyFont="1" applyFill="1" applyBorder="1" applyAlignment="1">
      <alignment horizontal="center"/>
    </xf>
    <xf numFmtId="0" fontId="26" fillId="5" borderId="11" xfId="26" applyFont="1" applyFill="1" applyBorder="1" applyAlignment="1">
      <alignment horizontal="center"/>
    </xf>
    <xf numFmtId="0" fontId="28" fillId="3" borderId="10" xfId="10" applyFont="1" applyBorder="1"/>
    <xf numFmtId="0" fontId="7" fillId="0" borderId="0" xfId="26" applyAlignment="1">
      <alignment vertical="center"/>
    </xf>
    <xf numFmtId="0" fontId="28" fillId="3" borderId="13" xfId="10" applyFont="1" applyBorder="1"/>
    <xf numFmtId="0" fontId="28" fillId="0" borderId="10" xfId="10" applyFont="1" applyFill="1" applyBorder="1"/>
    <xf numFmtId="0" fontId="19" fillId="0" borderId="0" xfId="8" applyFill="1" applyBorder="1"/>
    <xf numFmtId="9" fontId="7" fillId="0" borderId="0" xfId="28" applyFont="1"/>
    <xf numFmtId="0" fontId="29" fillId="0" borderId="0" xfId="11" applyFont="1" applyAlignment="1" applyProtection="1"/>
    <xf numFmtId="4" fontId="24" fillId="28" borderId="0" xfId="7" applyFont="1" applyFill="1" applyBorder="1">
      <alignment horizontal="right"/>
    </xf>
    <xf numFmtId="4" fontId="31" fillId="9" borderId="0" xfId="7" applyFont="1" applyFill="1" applyBorder="1">
      <alignment horizontal="right"/>
    </xf>
    <xf numFmtId="0" fontId="26" fillId="29" borderId="0" xfId="26" applyFont="1" applyFill="1" applyAlignment="1">
      <alignment horizontal="center" vertical="center"/>
    </xf>
    <xf numFmtId="0" fontId="27" fillId="0" borderId="9" xfId="9" applyFont="1" applyFill="1" applyBorder="1"/>
    <xf numFmtId="0" fontId="18" fillId="3" borderId="13" xfId="10" applyBorder="1"/>
    <xf numFmtId="0" fontId="18" fillId="3" borderId="10" xfId="10" applyBorder="1"/>
    <xf numFmtId="0" fontId="25" fillId="0" borderId="0" xfId="26" applyFont="1"/>
    <xf numFmtId="0" fontId="12" fillId="0" borderId="34" xfId="0" applyFont="1" applyBorder="1"/>
    <xf numFmtId="0" fontId="12" fillId="0" borderId="40" xfId="0" applyFont="1" applyBorder="1"/>
    <xf numFmtId="0" fontId="0" fillId="0" borderId="4" xfId="0" applyBorder="1"/>
    <xf numFmtId="0" fontId="0" fillId="0" borderId="6" xfId="0" applyBorder="1"/>
    <xf numFmtId="0" fontId="0" fillId="0" borderId="38" xfId="0" applyBorder="1"/>
    <xf numFmtId="0" fontId="0" fillId="0" borderId="2" xfId="0" applyBorder="1"/>
    <xf numFmtId="0" fontId="0" fillId="0" borderId="39" xfId="0" applyBorder="1"/>
    <xf numFmtId="0" fontId="0" fillId="0" borderId="34" xfId="0" applyBorder="1"/>
    <xf numFmtId="0" fontId="0" fillId="0" borderId="40" xfId="0" applyBorder="1"/>
    <xf numFmtId="0" fontId="12" fillId="0" borderId="48" xfId="0" applyFont="1" applyBorder="1"/>
    <xf numFmtId="0" fontId="12" fillId="0" borderId="1" xfId="0" applyFont="1" applyBorder="1"/>
    <xf numFmtId="0" fontId="12" fillId="0" borderId="49" xfId="0" applyFont="1" applyBorder="1"/>
    <xf numFmtId="0" fontId="0" fillId="8" borderId="0" xfId="0" applyFill="1"/>
    <xf numFmtId="4" fontId="7" fillId="12" borderId="0" xfId="7" applyFont="1" applyFill="1" applyBorder="1">
      <alignment horizontal="right"/>
    </xf>
    <xf numFmtId="0" fontId="34" fillId="19" borderId="0" xfId="0" applyFont="1" applyFill="1" applyAlignment="1">
      <alignment horizontal="left" indent="1"/>
    </xf>
    <xf numFmtId="182" fontId="34" fillId="19" borderId="0" xfId="0" applyNumberFormat="1" applyFont="1" applyFill="1" applyAlignment="1">
      <alignment horizontal="left" indent="1"/>
    </xf>
    <xf numFmtId="0" fontId="34" fillId="30" borderId="0" xfId="0" applyFont="1" applyFill="1" applyAlignment="1">
      <alignment horizontal="left" indent="1"/>
    </xf>
    <xf numFmtId="0" fontId="22" fillId="0" borderId="0" xfId="0" applyFont="1" applyAlignment="1">
      <alignment horizontal="left"/>
    </xf>
    <xf numFmtId="0" fontId="26" fillId="32" borderId="29" xfId="0" applyFont="1" applyFill="1" applyBorder="1" applyAlignment="1">
      <alignment horizontal="center"/>
    </xf>
    <xf numFmtId="0" fontId="26" fillId="32" borderId="25" xfId="0" applyFont="1" applyFill="1" applyBorder="1" applyAlignment="1">
      <alignment horizontal="center"/>
    </xf>
    <xf numFmtId="0" fontId="12" fillId="0" borderId="56" xfId="0" applyFont="1" applyBorder="1" applyAlignment="1">
      <alignment horizontal="center"/>
    </xf>
    <xf numFmtId="9" fontId="32" fillId="8" borderId="57" xfId="16" applyFont="1" applyFill="1" applyBorder="1" applyAlignment="1">
      <alignment horizontal="center"/>
    </xf>
    <xf numFmtId="9" fontId="7" fillId="8" borderId="57" xfId="16" applyFont="1" applyFill="1" applyBorder="1" applyAlignment="1">
      <alignment horizontal="center"/>
    </xf>
    <xf numFmtId="0" fontId="12" fillId="0" borderId="57" xfId="0" applyFont="1" applyBorder="1" applyAlignment="1">
      <alignment horizontal="center"/>
    </xf>
    <xf numFmtId="180" fontId="32" fillId="24" borderId="57" xfId="16" applyNumberFormat="1" applyFont="1" applyFill="1" applyBorder="1" applyAlignment="1">
      <alignment horizontal="center"/>
    </xf>
    <xf numFmtId="0" fontId="0" fillId="0" borderId="56" xfId="0" applyBorder="1" applyAlignment="1">
      <alignment horizontal="center"/>
    </xf>
    <xf numFmtId="0" fontId="26" fillId="32" borderId="19" xfId="0" applyFont="1" applyFill="1" applyBorder="1" applyAlignment="1">
      <alignment horizontal="center" vertical="center" wrapText="1"/>
    </xf>
    <xf numFmtId="0" fontId="26" fillId="32" borderId="19" xfId="0" applyFont="1" applyFill="1" applyBorder="1" applyAlignment="1">
      <alignment horizontal="center"/>
    </xf>
    <xf numFmtId="0" fontId="26" fillId="32" borderId="23" xfId="0" applyFont="1" applyFill="1" applyBorder="1" applyAlignment="1">
      <alignment horizontal="center" vertical="center" wrapText="1"/>
    </xf>
    <xf numFmtId="0" fontId="7" fillId="8" borderId="19" xfId="0" applyFont="1" applyFill="1" applyBorder="1" applyAlignment="1">
      <alignment vertical="center" wrapText="1"/>
    </xf>
    <xf numFmtId="0" fontId="26" fillId="32" borderId="56" xfId="0" applyFont="1" applyFill="1" applyBorder="1" applyAlignment="1">
      <alignment horizontal="center"/>
    </xf>
    <xf numFmtId="0" fontId="26" fillId="32" borderId="57" xfId="0" applyFont="1" applyFill="1" applyBorder="1" applyAlignment="1">
      <alignment horizontal="center"/>
    </xf>
    <xf numFmtId="3" fontId="7" fillId="0" borderId="0" xfId="0" applyNumberFormat="1" applyFont="1"/>
    <xf numFmtId="0" fontId="7" fillId="17" borderId="48" xfId="0" applyFont="1" applyFill="1" applyBorder="1"/>
    <xf numFmtId="0" fontId="7" fillId="0" borderId="48" xfId="0" applyFont="1" applyBorder="1" applyAlignment="1">
      <alignment horizontal="left" indent="1"/>
    </xf>
    <xf numFmtId="0" fontId="7" fillId="0" borderId="48" xfId="0" applyFont="1" applyBorder="1" applyAlignment="1">
      <alignment horizontal="left"/>
    </xf>
    <xf numFmtId="0" fontId="7" fillId="17" borderId="48" xfId="0" applyFont="1" applyFill="1" applyBorder="1" applyAlignment="1">
      <alignment horizontal="left" indent="1"/>
    </xf>
    <xf numFmtId="0" fontId="12" fillId="0" borderId="48" xfId="0" applyFont="1" applyBorder="1" applyAlignment="1">
      <alignment horizontal="left"/>
    </xf>
    <xf numFmtId="0" fontId="12" fillId="17" borderId="48" xfId="0" applyFont="1" applyFill="1" applyBorder="1"/>
    <xf numFmtId="0" fontId="7" fillId="0" borderId="48" xfId="0" applyFont="1" applyBorder="1"/>
    <xf numFmtId="185" fontId="7" fillId="24" borderId="19" xfId="0" applyNumberFormat="1" applyFont="1" applyFill="1" applyBorder="1" applyAlignment="1">
      <alignment horizontal="center"/>
    </xf>
    <xf numFmtId="9" fontId="7" fillId="24" borderId="19" xfId="16" applyFont="1" applyFill="1" applyBorder="1" applyAlignment="1">
      <alignment horizontal="center"/>
    </xf>
    <xf numFmtId="184" fontId="7" fillId="0" borderId="19" xfId="0" applyNumberFormat="1" applyFont="1" applyBorder="1" applyAlignment="1">
      <alignment horizontal="center"/>
    </xf>
    <xf numFmtId="179" fontId="7" fillId="7" borderId="19" xfId="0" applyNumberFormat="1" applyFont="1" applyFill="1" applyBorder="1" applyAlignment="1">
      <alignment horizontal="center"/>
    </xf>
    <xf numFmtId="4" fontId="7" fillId="7" borderId="19" xfId="0" applyNumberFormat="1" applyFont="1" applyFill="1" applyBorder="1" applyAlignment="1">
      <alignment horizontal="center"/>
    </xf>
    <xf numFmtId="9" fontId="32" fillId="7" borderId="57" xfId="16" applyFont="1" applyFill="1" applyBorder="1" applyAlignment="1">
      <alignment horizontal="center"/>
    </xf>
    <xf numFmtId="0" fontId="7" fillId="7" borderId="19" xfId="0" applyFont="1" applyFill="1" applyBorder="1"/>
    <xf numFmtId="9" fontId="7" fillId="7" borderId="19" xfId="16" applyFont="1" applyFill="1" applyBorder="1" applyAlignment="1">
      <alignment horizontal="center"/>
    </xf>
    <xf numFmtId="180" fontId="7" fillId="7" borderId="19" xfId="16" applyNumberFormat="1" applyFont="1" applyFill="1" applyBorder="1" applyAlignment="1">
      <alignment horizontal="center"/>
    </xf>
    <xf numFmtId="9" fontId="7" fillId="7" borderId="19" xfId="16" applyFont="1" applyFill="1" applyBorder="1"/>
    <xf numFmtId="185" fontId="32" fillId="8" borderId="57" xfId="16" applyNumberFormat="1" applyFont="1" applyFill="1" applyBorder="1" applyAlignment="1">
      <alignment horizontal="center"/>
    </xf>
    <xf numFmtId="185" fontId="7" fillId="8" borderId="57" xfId="0" applyNumberFormat="1" applyFont="1" applyFill="1" applyBorder="1" applyAlignment="1">
      <alignment horizontal="center"/>
    </xf>
    <xf numFmtId="0" fontId="47" fillId="32" borderId="57" xfId="0" applyFont="1" applyFill="1" applyBorder="1" applyAlignment="1">
      <alignment horizontal="center"/>
    </xf>
    <xf numFmtId="0" fontId="48" fillId="32" borderId="57" xfId="0" applyFont="1" applyFill="1" applyBorder="1" applyAlignment="1">
      <alignment horizontal="center"/>
    </xf>
    <xf numFmtId="179" fontId="12" fillId="24" borderId="19" xfId="0" applyNumberFormat="1" applyFont="1" applyFill="1" applyBorder="1" applyAlignment="1">
      <alignment horizontal="center"/>
    </xf>
    <xf numFmtId="0" fontId="12" fillId="14" borderId="12" xfId="0" applyFont="1" applyFill="1" applyBorder="1" applyAlignment="1">
      <alignment horizontal="center"/>
    </xf>
    <xf numFmtId="0" fontId="0" fillId="0" borderId="54" xfId="0" applyBorder="1"/>
    <xf numFmtId="0" fontId="0" fillId="0" borderId="80" xfId="0" applyBorder="1"/>
    <xf numFmtId="0" fontId="12" fillId="0" borderId="98" xfId="0" applyFont="1" applyBorder="1" applyAlignment="1">
      <alignment horizontal="left"/>
    </xf>
    <xf numFmtId="0" fontId="12" fillId="0" borderId="99" xfId="0" applyFont="1" applyBorder="1" applyAlignment="1">
      <alignment horizontal="left"/>
    </xf>
    <xf numFmtId="179" fontId="12" fillId="0" borderId="85" xfId="0" applyNumberFormat="1" applyFont="1" applyBorder="1" applyAlignment="1">
      <alignment horizontal="center"/>
    </xf>
    <xf numFmtId="9" fontId="0" fillId="0" borderId="99" xfId="16" applyFont="1" applyBorder="1"/>
    <xf numFmtId="9" fontId="0" fillId="0" borderId="100" xfId="16" applyFont="1" applyBorder="1"/>
    <xf numFmtId="0" fontId="12" fillId="0" borderId="98" xfId="0" applyFont="1" applyBorder="1" applyAlignment="1">
      <alignment horizontal="center"/>
    </xf>
    <xf numFmtId="9" fontId="0" fillId="0" borderId="76" xfId="0" applyNumberFormat="1" applyBorder="1"/>
    <xf numFmtId="179" fontId="0" fillId="0" borderId="93" xfId="0" applyNumberFormat="1" applyBorder="1" applyAlignment="1">
      <alignment horizontal="center"/>
    </xf>
    <xf numFmtId="179" fontId="0" fillId="0" borderId="96" xfId="0" applyNumberFormat="1" applyBorder="1" applyAlignment="1">
      <alignment horizontal="center"/>
    </xf>
    <xf numFmtId="0" fontId="0" fillId="33" borderId="101" xfId="0" applyFill="1" applyBorder="1"/>
    <xf numFmtId="0" fontId="0" fillId="33" borderId="102" xfId="0" applyFill="1" applyBorder="1"/>
    <xf numFmtId="10" fontId="0" fillId="33" borderId="102" xfId="0" applyNumberFormat="1" applyFill="1" applyBorder="1"/>
    <xf numFmtId="10" fontId="0" fillId="33" borderId="103" xfId="0" applyNumberFormat="1" applyFill="1" applyBorder="1"/>
    <xf numFmtId="0" fontId="12" fillId="8" borderId="41" xfId="0" applyFont="1" applyFill="1" applyBorder="1" applyAlignment="1">
      <alignment horizontal="center"/>
    </xf>
    <xf numFmtId="9" fontId="0" fillId="0" borderId="104" xfId="16" applyFont="1" applyBorder="1"/>
    <xf numFmtId="0" fontId="12" fillId="0" borderId="104" xfId="0" applyFont="1" applyBorder="1"/>
    <xf numFmtId="0" fontId="12" fillId="14" borderId="75" xfId="0" applyFont="1" applyFill="1" applyBorder="1" applyAlignment="1">
      <alignment horizontal="center"/>
    </xf>
    <xf numFmtId="9" fontId="12" fillId="14" borderId="75" xfId="16" applyFont="1" applyFill="1" applyBorder="1" applyAlignment="1">
      <alignment horizontal="center"/>
    </xf>
    <xf numFmtId="0" fontId="12" fillId="0" borderId="75" xfId="0" applyFont="1" applyBorder="1" applyAlignment="1">
      <alignment horizontal="center"/>
    </xf>
    <xf numFmtId="179" fontId="0" fillId="0" borderId="105" xfId="0" applyNumberFormat="1" applyBorder="1" applyAlignment="1">
      <alignment horizontal="center"/>
    </xf>
    <xf numFmtId="0" fontId="12" fillId="0" borderId="107" xfId="0" applyFont="1" applyBorder="1"/>
    <xf numFmtId="0" fontId="12" fillId="0" borderId="106" xfId="0" applyFont="1" applyBorder="1" applyAlignment="1">
      <alignment horizontal="center"/>
    </xf>
    <xf numFmtId="0" fontId="0" fillId="0" borderId="77" xfId="0" applyBorder="1"/>
    <xf numFmtId="0" fontId="9" fillId="0" borderId="78" xfId="11" applyBorder="1" applyAlignment="1" applyProtection="1">
      <alignment horizontal="center"/>
    </xf>
    <xf numFmtId="0" fontId="0" fillId="0" borderId="78" xfId="0" applyBorder="1" applyAlignment="1">
      <alignment horizontal="center"/>
    </xf>
    <xf numFmtId="0" fontId="0" fillId="0" borderId="78" xfId="0" applyBorder="1"/>
    <xf numFmtId="0" fontId="0" fillId="0" borderId="79" xfId="0" applyBorder="1"/>
    <xf numFmtId="0" fontId="0" fillId="0" borderId="55" xfId="0" applyBorder="1"/>
    <xf numFmtId="0" fontId="0" fillId="0" borderId="85" xfId="0" applyBorder="1"/>
    <xf numFmtId="0" fontId="0" fillId="0" borderId="85" xfId="0" applyBorder="1" applyAlignment="1">
      <alignment horizontal="center"/>
    </xf>
    <xf numFmtId="0" fontId="0" fillId="0" borderId="86" xfId="0" applyBorder="1"/>
    <xf numFmtId="9" fontId="0" fillId="0" borderId="0" xfId="0" applyNumberFormat="1"/>
    <xf numFmtId="0" fontId="12" fillId="14" borderId="103" xfId="0" applyFont="1" applyFill="1" applyBorder="1" applyAlignment="1">
      <alignment horizontal="center"/>
    </xf>
    <xf numFmtId="0" fontId="0" fillId="33" borderId="82" xfId="0" applyFill="1" applyBorder="1"/>
    <xf numFmtId="0" fontId="0" fillId="33" borderId="84" xfId="0" applyFill="1" applyBorder="1"/>
    <xf numFmtId="0" fontId="12" fillId="0" borderId="82" xfId="0" applyFont="1" applyBorder="1" applyAlignment="1">
      <alignment horizontal="center"/>
    </xf>
    <xf numFmtId="179" fontId="0" fillId="0" borderId="94" xfId="0" applyNumberFormat="1" applyBorder="1" applyAlignment="1">
      <alignment horizontal="center"/>
    </xf>
    <xf numFmtId="179" fontId="0" fillId="0" borderId="97" xfId="0" applyNumberFormat="1" applyBorder="1" applyAlignment="1">
      <alignment horizontal="center"/>
    </xf>
    <xf numFmtId="0" fontId="12" fillId="8" borderId="9" xfId="0" applyFont="1" applyFill="1" applyBorder="1" applyAlignment="1">
      <alignment horizontal="center"/>
    </xf>
    <xf numFmtId="185" fontId="0" fillId="0" borderId="110" xfId="0" applyNumberFormat="1" applyBorder="1" applyAlignment="1">
      <alignment horizontal="center"/>
    </xf>
    <xf numFmtId="185" fontId="0" fillId="0" borderId="112" xfId="0" applyNumberFormat="1" applyBorder="1" applyAlignment="1">
      <alignment horizontal="center"/>
    </xf>
    <xf numFmtId="0" fontId="0" fillId="31" borderId="83" xfId="0" applyFill="1" applyBorder="1"/>
    <xf numFmtId="0" fontId="26" fillId="31" borderId="83" xfId="0" applyFont="1" applyFill="1" applyBorder="1" applyAlignment="1">
      <alignment horizontal="left"/>
    </xf>
    <xf numFmtId="9" fontId="0" fillId="31" borderId="83" xfId="16" applyFont="1" applyFill="1" applyBorder="1" applyAlignment="1">
      <alignment horizontal="center" vertical="center"/>
    </xf>
    <xf numFmtId="183" fontId="26" fillId="31" borderId="84" xfId="0" applyNumberFormat="1" applyFont="1" applyFill="1" applyBorder="1" applyAlignment="1">
      <alignment horizontal="center" vertical="center"/>
    </xf>
    <xf numFmtId="0" fontId="12" fillId="17" borderId="116" xfId="0" applyFont="1" applyFill="1" applyBorder="1"/>
    <xf numFmtId="0" fontId="12" fillId="17" borderId="117" xfId="0" applyFont="1" applyFill="1" applyBorder="1"/>
    <xf numFmtId="0" fontId="26" fillId="32" borderId="119" xfId="0" applyFont="1" applyFill="1" applyBorder="1" applyAlignment="1">
      <alignment horizontal="center"/>
    </xf>
    <xf numFmtId="0" fontId="0" fillId="32" borderId="120" xfId="0" applyFill="1" applyBorder="1"/>
    <xf numFmtId="0" fontId="0" fillId="32" borderId="121" xfId="0" applyFill="1" applyBorder="1"/>
    <xf numFmtId="0" fontId="26" fillId="32" borderId="116" xfId="0" applyFont="1" applyFill="1" applyBorder="1" applyAlignment="1">
      <alignment horizontal="center"/>
    </xf>
    <xf numFmtId="0" fontId="0" fillId="32" borderId="112" xfId="0" applyFill="1" applyBorder="1"/>
    <xf numFmtId="185" fontId="0" fillId="24" borderId="111" xfId="0" applyNumberFormat="1" applyFill="1" applyBorder="1" applyAlignment="1">
      <alignment horizontal="center"/>
    </xf>
    <xf numFmtId="0" fontId="12" fillId="0" borderId="114" xfId="0" applyFont="1" applyBorder="1" applyAlignment="1">
      <alignment horizontal="left" vertical="center"/>
    </xf>
    <xf numFmtId="0" fontId="12" fillId="0" borderId="116" xfId="0" applyFont="1" applyBorder="1" applyAlignment="1">
      <alignment horizontal="left" vertical="center"/>
    </xf>
    <xf numFmtId="0" fontId="12" fillId="0" borderId="115" xfId="0" applyFont="1" applyBorder="1" applyAlignment="1">
      <alignment horizontal="left" vertical="center"/>
    </xf>
    <xf numFmtId="0" fontId="46" fillId="5" borderId="82" xfId="0" applyFont="1" applyFill="1" applyBorder="1" applyAlignment="1">
      <alignment horizontal="left" vertical="center"/>
    </xf>
    <xf numFmtId="0" fontId="46" fillId="31" borderId="82" xfId="0" applyFont="1" applyFill="1" applyBorder="1" applyAlignment="1">
      <alignment horizontal="left" vertical="center"/>
    </xf>
    <xf numFmtId="0" fontId="46" fillId="13" borderId="84" xfId="0" applyFont="1" applyFill="1" applyBorder="1" applyAlignment="1">
      <alignment horizontal="center"/>
    </xf>
    <xf numFmtId="0" fontId="13" fillId="8" borderId="116" xfId="0" applyFont="1" applyFill="1" applyBorder="1" applyAlignment="1">
      <alignment horizontal="left" vertical="center"/>
    </xf>
    <xf numFmtId="0" fontId="12" fillId="8" borderId="115" xfId="0" applyFont="1" applyFill="1" applyBorder="1" applyAlignment="1">
      <alignment horizontal="left" vertical="center"/>
    </xf>
    <xf numFmtId="0" fontId="12" fillId="8" borderId="114" xfId="0" applyFont="1" applyFill="1" applyBorder="1" applyAlignment="1">
      <alignment horizontal="left" vertical="center"/>
    </xf>
    <xf numFmtId="0" fontId="12" fillId="8" borderId="116" xfId="0" applyFont="1" applyFill="1" applyBorder="1" applyAlignment="1">
      <alignment horizontal="left" vertical="center"/>
    </xf>
    <xf numFmtId="0" fontId="12" fillId="8" borderId="117" xfId="0" applyFont="1" applyFill="1" applyBorder="1" applyAlignment="1">
      <alignment horizontal="left" vertical="center"/>
    </xf>
    <xf numFmtId="9" fontId="0" fillId="24" borderId="110" xfId="16" applyFont="1" applyFill="1" applyBorder="1" applyAlignment="1">
      <alignment horizontal="center"/>
    </xf>
    <xf numFmtId="9" fontId="0" fillId="24" borderId="112" xfId="16" applyFont="1" applyFill="1" applyBorder="1" applyAlignment="1">
      <alignment horizontal="center"/>
    </xf>
    <xf numFmtId="9" fontId="0" fillId="24" borderId="111" xfId="16" applyFont="1" applyFill="1" applyBorder="1" applyAlignment="1">
      <alignment horizontal="center"/>
    </xf>
    <xf numFmtId="2" fontId="0" fillId="24" borderId="112" xfId="16" applyNumberFormat="1" applyFont="1" applyFill="1" applyBorder="1" applyAlignment="1">
      <alignment horizontal="center"/>
    </xf>
    <xf numFmtId="0" fontId="0" fillId="31" borderId="83" xfId="0" applyFill="1" applyBorder="1" applyAlignment="1">
      <alignment horizontal="center"/>
    </xf>
    <xf numFmtId="185" fontId="25" fillId="18" borderId="110" xfId="0" applyNumberFormat="1" applyFont="1" applyFill="1" applyBorder="1" applyAlignment="1">
      <alignment horizontal="center"/>
    </xf>
    <xf numFmtId="185" fontId="25" fillId="18" borderId="111" xfId="0" applyNumberFormat="1" applyFont="1" applyFill="1" applyBorder="1" applyAlignment="1">
      <alignment horizontal="center"/>
    </xf>
    <xf numFmtId="9" fontId="25" fillId="31" borderId="83" xfId="16" applyFont="1" applyFill="1" applyBorder="1" applyAlignment="1">
      <alignment horizontal="center" vertical="center"/>
    </xf>
    <xf numFmtId="9" fontId="25" fillId="18" borderId="110" xfId="16" applyFont="1" applyFill="1" applyBorder="1" applyAlignment="1">
      <alignment horizontal="center"/>
    </xf>
    <xf numFmtId="9" fontId="25" fillId="18" borderId="112" xfId="16" applyFont="1" applyFill="1" applyBorder="1" applyAlignment="1">
      <alignment horizontal="center"/>
    </xf>
    <xf numFmtId="9" fontId="25" fillId="18" borderId="111" xfId="16" applyFont="1" applyFill="1" applyBorder="1" applyAlignment="1">
      <alignment horizontal="center"/>
    </xf>
    <xf numFmtId="0" fontId="25" fillId="31" borderId="83" xfId="0" applyFont="1" applyFill="1" applyBorder="1" applyAlignment="1">
      <alignment horizontal="center" vertical="center"/>
    </xf>
    <xf numFmtId="10" fontId="25" fillId="31" borderId="83" xfId="0" applyNumberFormat="1" applyFont="1" applyFill="1" applyBorder="1" applyAlignment="1">
      <alignment horizontal="center" vertical="center"/>
    </xf>
    <xf numFmtId="183" fontId="25" fillId="31" borderId="83" xfId="19" applyNumberFormat="1" applyFont="1" applyFill="1" applyBorder="1" applyAlignment="1">
      <alignment horizontal="center" vertical="center"/>
    </xf>
    <xf numFmtId="0" fontId="25" fillId="31" borderId="83" xfId="0" applyFont="1" applyFill="1" applyBorder="1" applyAlignment="1">
      <alignment horizontal="center"/>
    </xf>
    <xf numFmtId="0" fontId="7" fillId="0" borderId="77" xfId="0" applyFont="1" applyBorder="1"/>
    <xf numFmtId="0" fontId="49" fillId="5" borderId="74" xfId="0" applyFont="1" applyFill="1" applyBorder="1" applyAlignment="1">
      <alignment horizontal="center"/>
    </xf>
    <xf numFmtId="0" fontId="49" fillId="5" borderId="74" xfId="0" applyFont="1" applyFill="1" applyBorder="1"/>
    <xf numFmtId="0" fontId="0" fillId="0" borderId="74" xfId="0" applyBorder="1"/>
    <xf numFmtId="2" fontId="25" fillId="18" borderId="112" xfId="16" applyNumberFormat="1" applyFont="1" applyFill="1" applyBorder="1" applyAlignment="1">
      <alignment horizontal="center"/>
    </xf>
    <xf numFmtId="185" fontId="0" fillId="24" borderId="112" xfId="0" applyNumberFormat="1" applyFill="1" applyBorder="1" applyAlignment="1">
      <alignment horizontal="center"/>
    </xf>
    <xf numFmtId="185" fontId="0" fillId="24" borderId="118" xfId="0" applyNumberFormat="1" applyFill="1" applyBorder="1" applyAlignment="1">
      <alignment horizontal="center"/>
    </xf>
    <xf numFmtId="0" fontId="28" fillId="0" borderId="10" xfId="26" applyFont="1" applyBorder="1" applyAlignment="1">
      <alignment horizontal="center"/>
    </xf>
    <xf numFmtId="0" fontId="28" fillId="0" borderId="16" xfId="26" applyFont="1" applyBorder="1" applyAlignment="1">
      <alignment horizontal="center"/>
    </xf>
    <xf numFmtId="0" fontId="28" fillId="0" borderId="10" xfId="26" applyFont="1" applyBorder="1" applyAlignment="1">
      <alignment horizontal="center" vertical="center"/>
    </xf>
    <xf numFmtId="0" fontId="28" fillId="0" borderId="16" xfId="26" applyFont="1" applyBorder="1" applyAlignment="1">
      <alignment horizontal="center" vertical="center"/>
    </xf>
    <xf numFmtId="0" fontId="28" fillId="0" borderId="14" xfId="26" applyFont="1" applyBorder="1" applyAlignment="1">
      <alignment horizontal="center"/>
    </xf>
    <xf numFmtId="0" fontId="28" fillId="0" borderId="17" xfId="26" applyFont="1" applyBorder="1" applyAlignment="1">
      <alignment horizontal="center"/>
    </xf>
    <xf numFmtId="0" fontId="50" fillId="5" borderId="125" xfId="4" applyFont="1" applyFill="1" applyBorder="1" applyAlignment="1">
      <alignment horizontal="center" vertical="center"/>
    </xf>
    <xf numFmtId="0" fontId="50" fillId="5" borderId="125" xfId="3" applyFont="1" applyFill="1" applyBorder="1" applyAlignment="1">
      <alignment horizontal="center" vertical="center" wrapText="1"/>
    </xf>
    <xf numFmtId="0" fontId="50" fillId="5" borderId="125" xfId="3" applyFont="1" applyFill="1" applyBorder="1" applyAlignment="1">
      <alignment horizontal="center" vertical="center"/>
    </xf>
    <xf numFmtId="0" fontId="7" fillId="3" borderId="125" xfId="10" applyFont="1" applyBorder="1" applyAlignment="1">
      <alignment horizontal="center" vertical="center"/>
    </xf>
    <xf numFmtId="182" fontId="7" fillId="8" borderId="125" xfId="6" applyFont="1" applyFill="1" applyBorder="1" applyAlignment="1">
      <alignment horizontal="right" vertical="center" wrapText="1"/>
    </xf>
    <xf numFmtId="0" fontId="28" fillId="3" borderId="125" xfId="10" applyFont="1" applyBorder="1" applyAlignment="1">
      <alignment vertical="center"/>
    </xf>
    <xf numFmtId="182" fontId="7" fillId="3" borderId="125" xfId="6" applyFont="1" applyBorder="1" applyAlignment="1">
      <alignment horizontal="right" vertical="center" wrapText="1"/>
    </xf>
    <xf numFmtId="0" fontId="28" fillId="3" borderId="125" xfId="10" applyFont="1" applyBorder="1" applyAlignment="1">
      <alignment horizontal="center" vertical="center"/>
    </xf>
    <xf numFmtId="3" fontId="12" fillId="34" borderId="127" xfId="5" applyFont="1" applyFill="1" applyBorder="1" applyAlignment="1">
      <alignment horizontal="center" vertical="center"/>
    </xf>
    <xf numFmtId="0" fontId="12" fillId="0" borderId="0" xfId="26" applyFont="1" applyAlignment="1">
      <alignment vertical="center"/>
    </xf>
    <xf numFmtId="0" fontId="7" fillId="12" borderId="0" xfId="26" applyFill="1" applyAlignment="1">
      <alignment vertical="center"/>
    </xf>
    <xf numFmtId="0" fontId="27" fillId="0" borderId="125" xfId="9" applyFont="1" applyFill="1" applyBorder="1" applyAlignment="1">
      <alignment horizontal="center" vertical="center"/>
    </xf>
    <xf numFmtId="3" fontId="51" fillId="34" borderId="126" xfId="5" applyFont="1" applyFill="1" applyBorder="1" applyAlignment="1">
      <alignment horizontal="right" vertical="center"/>
    </xf>
    <xf numFmtId="3" fontId="51" fillId="34" borderId="127" xfId="5" applyFont="1" applyFill="1" applyBorder="1" applyAlignment="1">
      <alignment horizontal="right" vertical="center"/>
    </xf>
    <xf numFmtId="3" fontId="51" fillId="34" borderId="128" xfId="5" applyFont="1" applyFill="1" applyBorder="1" applyAlignment="1">
      <alignment horizontal="right" vertical="center"/>
    </xf>
    <xf numFmtId="182" fontId="7" fillId="3" borderId="125" xfId="6" applyFont="1" applyBorder="1" applyAlignment="1">
      <alignment horizontal="center" vertical="center"/>
    </xf>
    <xf numFmtId="4" fontId="31" fillId="0" borderId="125" xfId="7" applyFont="1" applyFill="1" applyBorder="1" applyAlignment="1">
      <alignment horizontal="right" vertical="center"/>
    </xf>
    <xf numFmtId="0" fontId="0" fillId="34" borderId="127" xfId="0" applyFill="1" applyBorder="1" applyAlignment="1">
      <alignment horizontal="center" vertical="center"/>
    </xf>
    <xf numFmtId="4" fontId="7" fillId="34" borderId="127" xfId="7" applyFont="1" applyFill="1" applyBorder="1" applyAlignment="1">
      <alignment horizontal="right" vertical="center"/>
    </xf>
    <xf numFmtId="3" fontId="12" fillId="34" borderId="128" xfId="5" applyFont="1" applyFill="1" applyBorder="1" applyAlignment="1">
      <alignment horizontal="right" vertical="center" wrapText="1"/>
    </xf>
    <xf numFmtId="4" fontId="7" fillId="8" borderId="125" xfId="7" applyFont="1" applyFill="1" applyBorder="1" applyAlignment="1">
      <alignment horizontal="right" vertical="center" wrapText="1"/>
    </xf>
    <xf numFmtId="4" fontId="7" fillId="3" borderId="125" xfId="7" applyFont="1" applyBorder="1" applyAlignment="1">
      <alignment horizontal="center" vertical="center"/>
    </xf>
    <xf numFmtId="4" fontId="7" fillId="3" borderId="125" xfId="7" applyFont="1" applyBorder="1" applyAlignment="1">
      <alignment horizontal="right" vertical="center" wrapText="1"/>
    </xf>
    <xf numFmtId="0" fontId="28" fillId="0" borderId="125" xfId="10" applyFont="1" applyFill="1" applyBorder="1" applyAlignment="1">
      <alignment vertical="center"/>
    </xf>
    <xf numFmtId="0" fontId="7" fillId="0" borderId="125" xfId="10" applyFont="1" applyFill="1" applyBorder="1" applyAlignment="1">
      <alignment horizontal="center" vertical="center"/>
    </xf>
    <xf numFmtId="0" fontId="7" fillId="0" borderId="125" xfId="27" applyFont="1" applyBorder="1" applyAlignment="1">
      <alignment horizontal="right" vertical="center" wrapText="1"/>
    </xf>
    <xf numFmtId="3" fontId="12" fillId="34" borderId="126" xfId="5" applyFont="1" applyFill="1" applyBorder="1" applyAlignment="1">
      <alignment horizontal="right" vertical="center"/>
    </xf>
    <xf numFmtId="4" fontId="7" fillId="6" borderId="125" xfId="7" applyFont="1" applyFill="1" applyBorder="1" applyAlignment="1">
      <alignment horizontal="right" vertical="center"/>
    </xf>
    <xf numFmtId="4" fontId="7" fillId="6" borderId="125" xfId="7" applyFont="1" applyFill="1" applyBorder="1" applyAlignment="1">
      <alignment horizontal="center" vertical="center"/>
    </xf>
    <xf numFmtId="4" fontId="7" fillId="0" borderId="125" xfId="7" applyFont="1" applyFill="1" applyBorder="1" applyAlignment="1">
      <alignment horizontal="right" vertical="center" wrapText="1"/>
    </xf>
    <xf numFmtId="0" fontId="28" fillId="3" borderId="125" xfId="10" applyFont="1" applyBorder="1" applyAlignment="1">
      <alignment vertical="center" wrapText="1"/>
    </xf>
    <xf numFmtId="4" fontId="7" fillId="0" borderId="125" xfId="7" applyFont="1" applyFill="1" applyBorder="1" applyAlignment="1">
      <alignment horizontal="center" vertical="center"/>
    </xf>
    <xf numFmtId="0" fontId="50" fillId="32" borderId="125" xfId="3" applyFont="1" applyFill="1" applyBorder="1" applyAlignment="1">
      <alignment horizontal="center" vertical="center" wrapText="1"/>
    </xf>
    <xf numFmtId="0" fontId="7" fillId="0" borderId="125" xfId="26" applyBorder="1"/>
    <xf numFmtId="0" fontId="7" fillId="0" borderId="125" xfId="26" applyBorder="1" applyAlignment="1">
      <alignment vertical="center"/>
    </xf>
    <xf numFmtId="0" fontId="34" fillId="12" borderId="125" xfId="26" applyFont="1" applyFill="1" applyBorder="1" applyAlignment="1">
      <alignment horizontal="center" vertical="center"/>
    </xf>
    <xf numFmtId="9" fontId="0" fillId="36" borderId="118" xfId="16" applyFont="1" applyFill="1" applyBorder="1" applyAlignment="1">
      <alignment horizontal="center"/>
    </xf>
    <xf numFmtId="2" fontId="0" fillId="8" borderId="112" xfId="16" applyNumberFormat="1" applyFont="1" applyFill="1" applyBorder="1" applyAlignment="1">
      <alignment horizontal="center"/>
    </xf>
    <xf numFmtId="0" fontId="26" fillId="5" borderId="31" xfId="26" applyFont="1" applyFill="1" applyBorder="1" applyAlignment="1">
      <alignment horizontal="center" vertical="center"/>
    </xf>
    <xf numFmtId="0" fontId="26" fillId="5" borderId="32" xfId="26" applyFont="1" applyFill="1" applyBorder="1" applyAlignment="1">
      <alignment horizontal="center" vertical="center"/>
    </xf>
    <xf numFmtId="0" fontId="53" fillId="0" borderId="0" xfId="0" applyFont="1"/>
    <xf numFmtId="0" fontId="55" fillId="0" borderId="40" xfId="0" applyFont="1" applyBorder="1"/>
    <xf numFmtId="0" fontId="55" fillId="0" borderId="0" xfId="0" applyFont="1"/>
    <xf numFmtId="0" fontId="12" fillId="0" borderId="40" xfId="0" applyFont="1" applyBorder="1" applyAlignment="1">
      <alignment horizontal="center"/>
    </xf>
    <xf numFmtId="0" fontId="12" fillId="0" borderId="38" xfId="0" applyFont="1" applyBorder="1" applyAlignment="1">
      <alignment horizontal="center"/>
    </xf>
    <xf numFmtId="0" fontId="55" fillId="0" borderId="40" xfId="0" applyFont="1" applyBorder="1" applyAlignment="1">
      <alignment horizontal="center"/>
    </xf>
    <xf numFmtId="0" fontId="55" fillId="0" borderId="38" xfId="0" applyFont="1" applyBorder="1" applyAlignment="1">
      <alignment horizontal="center"/>
    </xf>
    <xf numFmtId="0" fontId="55" fillId="0" borderId="34" xfId="0" applyFont="1" applyBorder="1"/>
    <xf numFmtId="0" fontId="55" fillId="0" borderId="130" xfId="0" applyFont="1" applyBorder="1" applyAlignment="1">
      <alignment horizontal="center" vertical="center"/>
    </xf>
    <xf numFmtId="0" fontId="55" fillId="0" borderId="134" xfId="0" applyFont="1" applyBorder="1" applyAlignment="1">
      <alignment horizontal="center" vertical="center"/>
    </xf>
    <xf numFmtId="0" fontId="7" fillId="0" borderId="34" xfId="0" applyFont="1" applyBorder="1"/>
    <xf numFmtId="0" fontId="12" fillId="12" borderId="137" xfId="0" applyFont="1" applyFill="1" applyBorder="1" applyAlignment="1">
      <alignment horizontal="center"/>
    </xf>
    <xf numFmtId="0" fontId="55" fillId="12" borderId="137" xfId="0" applyFont="1" applyFill="1" applyBorder="1"/>
    <xf numFmtId="0" fontId="55" fillId="12" borderId="144" xfId="0" applyFont="1" applyFill="1" applyBorder="1"/>
    <xf numFmtId="0" fontId="53" fillId="12" borderId="144" xfId="0" applyFont="1" applyFill="1" applyBorder="1"/>
    <xf numFmtId="10" fontId="0" fillId="0" borderId="141" xfId="0" applyNumberFormat="1" applyBorder="1" applyAlignment="1">
      <alignment horizontal="center" vertical="center"/>
    </xf>
    <xf numFmtId="10" fontId="0" fillId="0" borderId="146" xfId="0" applyNumberFormat="1" applyBorder="1" applyAlignment="1">
      <alignment horizontal="center" vertical="center"/>
    </xf>
    <xf numFmtId="10" fontId="0" fillId="0" borderId="147" xfId="0" applyNumberFormat="1" applyBorder="1" applyAlignment="1">
      <alignment horizontal="center" vertical="center"/>
    </xf>
    <xf numFmtId="0" fontId="55" fillId="0" borderId="148" xfId="0" applyFont="1" applyBorder="1" applyAlignment="1">
      <alignment horizontal="center" vertical="center"/>
    </xf>
    <xf numFmtId="0" fontId="55" fillId="0" borderId="149" xfId="0" applyFont="1" applyBorder="1" applyAlignment="1">
      <alignment horizontal="center" vertical="center"/>
    </xf>
    <xf numFmtId="0" fontId="26" fillId="5" borderId="150" xfId="26" applyFont="1" applyFill="1" applyBorder="1" applyAlignment="1">
      <alignment horizontal="center" vertical="center"/>
    </xf>
    <xf numFmtId="0" fontId="28" fillId="0" borderId="151" xfId="26" applyFont="1" applyBorder="1" applyAlignment="1">
      <alignment horizontal="center" vertical="center" wrapText="1"/>
    </xf>
    <xf numFmtId="0" fontId="28" fillId="0" borderId="152" xfId="26" applyFont="1" applyBorder="1" applyAlignment="1">
      <alignment horizontal="center" vertical="center" wrapText="1"/>
    </xf>
    <xf numFmtId="0" fontId="28" fillId="0" borderId="153" xfId="26" applyFont="1" applyBorder="1" applyAlignment="1">
      <alignment horizontal="center" vertical="center" wrapText="1"/>
    </xf>
    <xf numFmtId="0" fontId="26" fillId="5" borderId="8" xfId="26" applyFont="1" applyFill="1" applyBorder="1" applyAlignment="1">
      <alignment horizontal="center"/>
    </xf>
    <xf numFmtId="0" fontId="53" fillId="8" borderId="0" xfId="0" applyFont="1" applyFill="1"/>
    <xf numFmtId="0" fontId="57" fillId="43" borderId="0" xfId="0" applyFont="1" applyFill="1"/>
    <xf numFmtId="0" fontId="7" fillId="38" borderId="34" xfId="0" applyFont="1" applyFill="1" applyBorder="1"/>
    <xf numFmtId="0" fontId="55" fillId="0" borderId="154" xfId="0" applyFont="1" applyBorder="1" applyAlignment="1">
      <alignment horizontal="center"/>
    </xf>
    <xf numFmtId="0" fontId="53" fillId="12" borderId="155" xfId="0" applyFont="1" applyFill="1" applyBorder="1" applyAlignment="1">
      <alignment horizontal="center"/>
    </xf>
    <xf numFmtId="0" fontId="7" fillId="40" borderId="155" xfId="0" applyFont="1" applyFill="1" applyBorder="1"/>
    <xf numFmtId="0" fontId="55" fillId="0" borderId="156" xfId="0" applyFont="1" applyBorder="1" applyAlignment="1">
      <alignment horizontal="center"/>
    </xf>
    <xf numFmtId="0" fontId="56" fillId="0" borderId="157" xfId="0" applyFont="1" applyBorder="1" applyAlignment="1">
      <alignment horizontal="center"/>
    </xf>
    <xf numFmtId="0" fontId="12" fillId="0" borderId="158" xfId="0" applyFont="1" applyBorder="1" applyAlignment="1">
      <alignment horizontal="center"/>
    </xf>
    <xf numFmtId="0" fontId="12" fillId="0" borderId="161" xfId="0" applyFont="1" applyBorder="1" applyAlignment="1">
      <alignment horizontal="center"/>
    </xf>
    <xf numFmtId="0" fontId="7" fillId="40" borderId="0" xfId="0" applyFont="1" applyFill="1"/>
    <xf numFmtId="0" fontId="12" fillId="42" borderId="34" xfId="0" quotePrefix="1" applyFont="1" applyFill="1" applyBorder="1"/>
    <xf numFmtId="0" fontId="12" fillId="42" borderId="0" xfId="0" quotePrefix="1" applyFont="1" applyFill="1"/>
    <xf numFmtId="0" fontId="53" fillId="40" borderId="0" xfId="0" applyFont="1" applyFill="1"/>
    <xf numFmtId="0" fontId="12" fillId="38" borderId="34" xfId="0" applyFont="1" applyFill="1" applyBorder="1"/>
    <xf numFmtId="0" fontId="7" fillId="0" borderId="171" xfId="0" applyFont="1" applyBorder="1"/>
    <xf numFmtId="0" fontId="12" fillId="0" borderId="172" xfId="0" applyFont="1" applyBorder="1" applyAlignment="1">
      <alignment horizontal="center"/>
    </xf>
    <xf numFmtId="0" fontId="12" fillId="0" borderId="44" xfId="0" applyFont="1" applyBorder="1" applyAlignment="1">
      <alignment horizontal="center"/>
    </xf>
    <xf numFmtId="0" fontId="12" fillId="0" borderId="173" xfId="0" applyFont="1" applyBorder="1" applyAlignment="1">
      <alignment horizontal="center"/>
    </xf>
    <xf numFmtId="0" fontId="12" fillId="0" borderId="164" xfId="0" applyFont="1" applyBorder="1" applyAlignment="1">
      <alignment horizontal="center"/>
    </xf>
    <xf numFmtId="0" fontId="7" fillId="40" borderId="138" xfId="0" applyFont="1" applyFill="1" applyBorder="1"/>
    <xf numFmtId="14" fontId="12" fillId="0" borderId="21" xfId="0" applyNumberFormat="1" applyFont="1" applyBorder="1" applyAlignment="1">
      <alignment horizontal="center" vertical="center"/>
    </xf>
    <xf numFmtId="0" fontId="7" fillId="0" borderId="62" xfId="0" applyFont="1" applyBorder="1" applyAlignment="1">
      <alignment horizontal="center" vertical="center"/>
    </xf>
    <xf numFmtId="0" fontId="38" fillId="8" borderId="23" xfId="0" applyFont="1" applyFill="1" applyBorder="1" applyAlignment="1">
      <alignment horizontal="left" vertical="center" wrapText="1"/>
    </xf>
    <xf numFmtId="10" fontId="0" fillId="0" borderId="0" xfId="16" applyNumberFormat="1" applyFont="1"/>
    <xf numFmtId="9" fontId="32" fillId="39" borderId="166" xfId="16" applyFont="1" applyFill="1" applyBorder="1" applyAlignment="1">
      <alignment horizontal="center" vertical="center"/>
    </xf>
    <xf numFmtId="3" fontId="3" fillId="44" borderId="50" xfId="30" applyNumberFormat="1" applyFill="1" applyBorder="1" applyAlignment="1">
      <alignment horizontal="center" vertical="center"/>
    </xf>
    <xf numFmtId="3" fontId="22" fillId="0" borderId="0" xfId="0" applyNumberFormat="1" applyFont="1" applyAlignment="1">
      <alignment horizontal="center" vertical="center"/>
    </xf>
    <xf numFmtId="3" fontId="34" fillId="19" borderId="0" xfId="0" applyNumberFormat="1" applyFont="1" applyFill="1" applyAlignment="1">
      <alignment horizontal="center" vertical="center"/>
    </xf>
    <xf numFmtId="180" fontId="32" fillId="44" borderId="167" xfId="30" applyNumberFormat="1" applyFont="1" applyFill="1" applyBorder="1" applyAlignment="1">
      <alignment horizontal="center" vertical="center"/>
    </xf>
    <xf numFmtId="3" fontId="3" fillId="44" borderId="169" xfId="30" applyNumberFormat="1" applyFill="1" applyBorder="1" applyAlignment="1">
      <alignment horizontal="center" vertical="center"/>
    </xf>
    <xf numFmtId="0" fontId="58" fillId="0" borderId="169" xfId="0" applyFont="1" applyBorder="1" applyAlignment="1">
      <alignment horizontal="center" vertical="center"/>
    </xf>
    <xf numFmtId="0" fontId="58" fillId="0" borderId="50" xfId="0" applyFont="1" applyBorder="1" applyAlignment="1">
      <alignment horizontal="center" vertical="center"/>
    </xf>
    <xf numFmtId="0" fontId="58" fillId="42" borderId="169" xfId="0" applyFont="1" applyFill="1" applyBorder="1" applyAlignment="1">
      <alignment horizontal="center" vertical="center"/>
    </xf>
    <xf numFmtId="0" fontId="58" fillId="42" borderId="50" xfId="0" applyFont="1" applyFill="1" applyBorder="1" applyAlignment="1">
      <alignment horizontal="center" vertical="center"/>
    </xf>
    <xf numFmtId="3" fontId="58" fillId="41" borderId="50" xfId="0" applyNumberFormat="1" applyFont="1" applyFill="1" applyBorder="1" applyAlignment="1">
      <alignment horizontal="center" vertical="center"/>
    </xf>
    <xf numFmtId="3" fontId="58" fillId="41" borderId="169" xfId="0" applyNumberFormat="1" applyFont="1" applyFill="1" applyBorder="1" applyAlignment="1">
      <alignment horizontal="center" vertical="center"/>
    </xf>
    <xf numFmtId="0" fontId="61" fillId="0" borderId="169" xfId="0" applyFont="1" applyBorder="1" applyAlignment="1">
      <alignment horizontal="center" vertical="center"/>
    </xf>
    <xf numFmtId="0" fontId="61" fillId="0" borderId="50" xfId="0" applyFont="1" applyBorder="1" applyAlignment="1">
      <alignment horizontal="center" vertical="center"/>
    </xf>
    <xf numFmtId="0" fontId="7" fillId="0" borderId="50" xfId="0" quotePrefix="1" applyFont="1" applyBorder="1" applyAlignment="1">
      <alignment horizontal="center" vertical="center"/>
    </xf>
    <xf numFmtId="0" fontId="7" fillId="0" borderId="160" xfId="0" quotePrefix="1" applyFont="1" applyBorder="1" applyAlignment="1">
      <alignment horizontal="center" vertical="center"/>
    </xf>
    <xf numFmtId="9" fontId="37" fillId="0" borderId="0" xfId="16" applyFont="1"/>
    <xf numFmtId="182" fontId="10" fillId="3" borderId="6" xfId="32">
      <alignment horizontal="right"/>
    </xf>
    <xf numFmtId="9" fontId="0" fillId="0" borderId="105" xfId="0" applyNumberFormat="1" applyBorder="1" applyAlignment="1">
      <alignment horizontal="center"/>
    </xf>
    <xf numFmtId="9" fontId="12" fillId="0" borderId="82" xfId="0" applyNumberFormat="1" applyFont="1" applyBorder="1" applyAlignment="1">
      <alignment horizontal="center"/>
    </xf>
    <xf numFmtId="9" fontId="12" fillId="0" borderId="83" xfId="0" applyNumberFormat="1" applyFont="1" applyBorder="1" applyAlignment="1">
      <alignment horizontal="center"/>
    </xf>
    <xf numFmtId="9" fontId="7" fillId="0" borderId="87" xfId="0" applyNumberFormat="1" applyFont="1" applyBorder="1" applyAlignment="1">
      <alignment horizontal="center"/>
    </xf>
    <xf numFmtId="9" fontId="7" fillId="0" borderId="92" xfId="0" applyNumberFormat="1" applyFont="1" applyBorder="1" applyAlignment="1">
      <alignment horizontal="center"/>
    </xf>
    <xf numFmtId="9" fontId="7" fillId="0" borderId="95" xfId="0" applyNumberFormat="1" applyFont="1" applyBorder="1" applyAlignment="1">
      <alignment horizontal="center"/>
    </xf>
    <xf numFmtId="3" fontId="0" fillId="0" borderId="0" xfId="0" applyNumberFormat="1"/>
    <xf numFmtId="0" fontId="9" fillId="0" borderId="54" xfId="11" applyBorder="1" applyAlignment="1" applyProtection="1"/>
    <xf numFmtId="10" fontId="0" fillId="0" borderId="0" xfId="0" applyNumberFormat="1"/>
    <xf numFmtId="4" fontId="31" fillId="12" borderId="125" xfId="7" applyFont="1" applyFill="1" applyBorder="1" applyAlignment="1">
      <alignment horizontal="right" vertical="center"/>
    </xf>
    <xf numFmtId="4" fontId="7" fillId="0" borderId="0" xfId="7" applyFont="1" applyFill="1" applyBorder="1">
      <alignment horizontal="right"/>
    </xf>
    <xf numFmtId="4" fontId="31" fillId="0" borderId="0" xfId="7" applyFont="1" applyFill="1" applyBorder="1">
      <alignment horizontal="right"/>
    </xf>
    <xf numFmtId="4" fontId="31" fillId="9" borderId="125" xfId="7" applyFont="1" applyFill="1" applyBorder="1" applyAlignment="1">
      <alignment horizontal="right" vertical="center"/>
    </xf>
    <xf numFmtId="4" fontId="31" fillId="28" borderId="125" xfId="7" applyFont="1" applyFill="1" applyBorder="1" applyAlignment="1">
      <alignment horizontal="right" vertical="center"/>
    </xf>
    <xf numFmtId="4" fontId="24" fillId="12" borderId="125" xfId="7" applyFont="1" applyFill="1" applyBorder="1" applyAlignment="1">
      <alignment horizontal="right" vertical="center"/>
    </xf>
    <xf numFmtId="4" fontId="24" fillId="28" borderId="125" xfId="7" applyFont="1" applyFill="1" applyBorder="1" applyAlignment="1">
      <alignment horizontal="right" vertical="center"/>
    </xf>
    <xf numFmtId="1" fontId="58" fillId="42" borderId="160" xfId="0" applyNumberFormat="1" applyFont="1" applyFill="1" applyBorder="1" applyAlignment="1">
      <alignment horizontal="center" vertical="center"/>
    </xf>
    <xf numFmtId="3" fontId="58" fillId="41" borderId="50" xfId="0" quotePrefix="1" applyNumberFormat="1" applyFont="1" applyFill="1" applyBorder="1" applyAlignment="1">
      <alignment horizontal="center" vertical="center"/>
    </xf>
    <xf numFmtId="3" fontId="58" fillId="41" borderId="169" xfId="0" quotePrefix="1" applyNumberFormat="1" applyFont="1" applyFill="1" applyBorder="1" applyAlignment="1">
      <alignment horizontal="center" vertical="center"/>
    </xf>
    <xf numFmtId="1" fontId="53" fillId="41" borderId="40" xfId="0" applyNumberFormat="1" applyFont="1" applyFill="1" applyBorder="1" applyAlignment="1">
      <alignment horizontal="center" vertical="center"/>
    </xf>
    <xf numFmtId="4" fontId="4" fillId="0" borderId="50" xfId="29" applyNumberFormat="1" applyBorder="1" applyAlignment="1">
      <alignment horizontal="center"/>
    </xf>
    <xf numFmtId="0" fontId="25" fillId="0" borderId="0" xfId="0" applyFont="1" applyAlignment="1">
      <alignment horizontal="center"/>
    </xf>
    <xf numFmtId="0" fontId="65" fillId="0" borderId="0" xfId="0" applyFont="1"/>
    <xf numFmtId="0" fontId="0" fillId="0" borderId="50" xfId="0" applyBorder="1"/>
    <xf numFmtId="0" fontId="64" fillId="0" borderId="0" xfId="0" applyFont="1"/>
    <xf numFmtId="3" fontId="53" fillId="0" borderId="40" xfId="0" applyNumberFormat="1" applyFont="1" applyBorder="1" applyAlignment="1">
      <alignment horizontal="center" vertical="center"/>
    </xf>
    <xf numFmtId="0" fontId="53" fillId="0" borderId="40" xfId="0" applyFont="1" applyBorder="1" applyAlignment="1">
      <alignment horizontal="center" vertical="center"/>
    </xf>
    <xf numFmtId="3" fontId="53" fillId="8" borderId="34" xfId="0" applyNumberFormat="1" applyFont="1" applyFill="1" applyBorder="1" applyAlignment="1">
      <alignment horizontal="center" vertical="center"/>
    </xf>
    <xf numFmtId="3" fontId="7" fillId="8" borderId="15" xfId="0" applyNumberFormat="1" applyFont="1" applyFill="1" applyBorder="1" applyAlignment="1">
      <alignment horizontal="center"/>
    </xf>
    <xf numFmtId="180" fontId="32" fillId="39" borderId="50" xfId="16" applyNumberFormat="1" applyFont="1" applyFill="1" applyBorder="1" applyAlignment="1">
      <alignment horizontal="center" vertical="center"/>
    </xf>
    <xf numFmtId="3" fontId="61" fillId="0" borderId="50" xfId="0" applyNumberFormat="1" applyFont="1" applyBorder="1" applyAlignment="1">
      <alignment horizontal="center" vertical="center"/>
    </xf>
    <xf numFmtId="3" fontId="61" fillId="39" borderId="50" xfId="0" applyNumberFormat="1" applyFont="1" applyFill="1" applyBorder="1" applyAlignment="1">
      <alignment horizontal="center" vertical="center"/>
    </xf>
    <xf numFmtId="180" fontId="32" fillId="39" borderId="169" xfId="16" applyNumberFormat="1" applyFont="1" applyFill="1" applyBorder="1" applyAlignment="1">
      <alignment horizontal="center" vertical="center"/>
    </xf>
    <xf numFmtId="3" fontId="61" fillId="0" borderId="169" xfId="0" applyNumberFormat="1" applyFont="1" applyBorder="1" applyAlignment="1">
      <alignment horizontal="center" vertical="center"/>
    </xf>
    <xf numFmtId="3" fontId="61" fillId="39" borderId="169" xfId="0" applyNumberFormat="1" applyFont="1" applyFill="1" applyBorder="1" applyAlignment="1">
      <alignment horizontal="center" vertical="center"/>
    </xf>
    <xf numFmtId="0" fontId="61" fillId="39" borderId="170" xfId="0" applyFont="1" applyFill="1" applyBorder="1" applyAlignment="1">
      <alignment horizontal="center" vertical="center"/>
    </xf>
    <xf numFmtId="0" fontId="61" fillId="39" borderId="184" xfId="0" applyFont="1" applyFill="1" applyBorder="1" applyAlignment="1">
      <alignment horizontal="center" vertical="center"/>
    </xf>
    <xf numFmtId="180" fontId="32" fillId="44" borderId="186" xfId="30" applyNumberFormat="1" applyFont="1" applyFill="1" applyBorder="1" applyAlignment="1">
      <alignment horizontal="center" vertical="center"/>
    </xf>
    <xf numFmtId="3" fontId="3" fillId="44" borderId="48" xfId="30" applyNumberFormat="1" applyFill="1" applyBorder="1" applyAlignment="1">
      <alignment horizontal="center" vertical="center"/>
    </xf>
    <xf numFmtId="180" fontId="32" fillId="39" borderId="48" xfId="16" applyNumberFormat="1" applyFont="1" applyFill="1" applyBorder="1" applyAlignment="1">
      <alignment horizontal="center" vertical="center"/>
    </xf>
    <xf numFmtId="3" fontId="61" fillId="0" borderId="48" xfId="0" applyNumberFormat="1" applyFont="1" applyBorder="1" applyAlignment="1">
      <alignment horizontal="center" vertical="center"/>
    </xf>
    <xf numFmtId="0" fontId="61" fillId="0" borderId="48" xfId="0" applyFont="1" applyBorder="1" applyAlignment="1">
      <alignment horizontal="center" vertical="center"/>
    </xf>
    <xf numFmtId="3" fontId="61" fillId="39" borderId="48" xfId="0" applyNumberFormat="1" applyFont="1" applyFill="1" applyBorder="1" applyAlignment="1">
      <alignment horizontal="center" vertical="center"/>
    </xf>
    <xf numFmtId="0" fontId="61" fillId="39" borderId="187" xfId="0" applyFont="1" applyFill="1" applyBorder="1" applyAlignment="1">
      <alignment horizontal="center" vertical="center"/>
    </xf>
    <xf numFmtId="1" fontId="53" fillId="0" borderId="50" xfId="0" applyNumberFormat="1" applyFont="1" applyBorder="1" applyAlignment="1">
      <alignment horizontal="center" vertical="center"/>
    </xf>
    <xf numFmtId="1" fontId="58" fillId="0" borderId="50" xfId="0" applyNumberFormat="1" applyFont="1" applyBorder="1" applyAlignment="1">
      <alignment horizontal="center" vertical="center"/>
    </xf>
    <xf numFmtId="1" fontId="53" fillId="0" borderId="169" xfId="0" applyNumberFormat="1" applyFont="1" applyBorder="1" applyAlignment="1">
      <alignment horizontal="center" vertical="center"/>
    </xf>
    <xf numFmtId="1" fontId="53" fillId="0" borderId="160" xfId="0" applyNumberFormat="1" applyFont="1" applyBorder="1" applyAlignment="1">
      <alignment horizontal="center" vertical="center"/>
    </xf>
    <xf numFmtId="1" fontId="58" fillId="0" borderId="169" xfId="0" applyNumberFormat="1" applyFont="1" applyBorder="1" applyAlignment="1">
      <alignment horizontal="center" vertical="center"/>
    </xf>
    <xf numFmtId="1" fontId="58" fillId="0" borderId="160" xfId="0" applyNumberFormat="1" applyFont="1" applyBorder="1" applyAlignment="1">
      <alignment horizontal="center" vertical="center"/>
    </xf>
    <xf numFmtId="1" fontId="61" fillId="39" borderId="170" xfId="0" applyNumberFormat="1" applyFont="1" applyFill="1" applyBorder="1" applyAlignment="1">
      <alignment horizontal="center" vertical="center"/>
    </xf>
    <xf numFmtId="1" fontId="61" fillId="39" borderId="184" xfId="0" applyNumberFormat="1" applyFont="1" applyFill="1" applyBorder="1" applyAlignment="1">
      <alignment horizontal="center" vertical="center"/>
    </xf>
    <xf numFmtId="1" fontId="61" fillId="39" borderId="185" xfId="0" applyNumberFormat="1" applyFont="1" applyFill="1" applyBorder="1" applyAlignment="1">
      <alignment horizontal="center" vertical="center"/>
    </xf>
    <xf numFmtId="180" fontId="7" fillId="0" borderId="166" xfId="16" applyNumberFormat="1" applyFont="1" applyFill="1" applyBorder="1" applyAlignment="1">
      <alignment horizontal="center" vertical="center"/>
    </xf>
    <xf numFmtId="180" fontId="7" fillId="0" borderId="167" xfId="16" applyNumberFormat="1" applyFont="1" applyFill="1" applyBorder="1" applyAlignment="1">
      <alignment horizontal="center" vertical="center"/>
    </xf>
    <xf numFmtId="180" fontId="0" fillId="0" borderId="168" xfId="16" applyNumberFormat="1" applyFont="1" applyFill="1" applyBorder="1" applyAlignment="1">
      <alignment horizontal="center" vertical="center"/>
    </xf>
    <xf numFmtId="180" fontId="32" fillId="0" borderId="169" xfId="16" applyNumberFormat="1" applyFont="1" applyFill="1" applyBorder="1" applyAlignment="1">
      <alignment horizontal="center" vertical="center"/>
    </xf>
    <xf numFmtId="180" fontId="32" fillId="0" borderId="50" xfId="16" applyNumberFormat="1" applyFont="1" applyFill="1" applyBorder="1" applyAlignment="1">
      <alignment horizontal="center" vertical="center"/>
    </xf>
    <xf numFmtId="1" fontId="61" fillId="0" borderId="169" xfId="0" applyNumberFormat="1" applyFont="1" applyBorder="1" applyAlignment="1">
      <alignment horizontal="center" vertical="center"/>
    </xf>
    <xf numFmtId="1" fontId="61" fillId="0" borderId="50" xfId="0" applyNumberFormat="1" applyFont="1" applyBorder="1" applyAlignment="1">
      <alignment horizontal="center" vertical="center"/>
    </xf>
    <xf numFmtId="1" fontId="61" fillId="0" borderId="160" xfId="0" applyNumberFormat="1" applyFont="1" applyBorder="1" applyAlignment="1">
      <alignment horizontal="center" vertical="center"/>
    </xf>
    <xf numFmtId="0" fontId="58" fillId="0" borderId="186" xfId="0" applyFont="1" applyBorder="1" applyAlignment="1">
      <alignment horizontal="center" vertical="center"/>
    </xf>
    <xf numFmtId="0" fontId="58" fillId="0" borderId="48" xfId="0" applyFont="1" applyBorder="1" applyAlignment="1">
      <alignment horizontal="center" vertical="center"/>
    </xf>
    <xf numFmtId="0" fontId="58" fillId="42" borderId="48" xfId="0" applyFont="1" applyFill="1" applyBorder="1" applyAlignment="1">
      <alignment horizontal="center" vertical="center"/>
    </xf>
    <xf numFmtId="3" fontId="58" fillId="41" borderId="48" xfId="0" quotePrefix="1" applyNumberFormat="1" applyFont="1" applyFill="1" applyBorder="1" applyAlignment="1">
      <alignment horizontal="center" vertical="center"/>
    </xf>
    <xf numFmtId="3" fontId="58" fillId="41" borderId="48" xfId="0" applyNumberFormat="1" applyFont="1" applyFill="1" applyBorder="1" applyAlignment="1">
      <alignment horizontal="center" vertical="center"/>
    </xf>
    <xf numFmtId="1" fontId="58" fillId="42" borderId="50" xfId="0" applyNumberFormat="1" applyFont="1" applyFill="1" applyBorder="1" applyAlignment="1">
      <alignment horizontal="center" vertical="center"/>
    </xf>
    <xf numFmtId="1" fontId="58" fillId="42" borderId="169" xfId="0" applyNumberFormat="1" applyFont="1" applyFill="1" applyBorder="1" applyAlignment="1">
      <alignment horizontal="center" vertical="center"/>
    </xf>
    <xf numFmtId="0" fontId="7" fillId="0" borderId="169" xfId="0" quotePrefix="1" applyFont="1" applyBorder="1" applyAlignment="1">
      <alignment horizontal="center" vertical="center"/>
    </xf>
    <xf numFmtId="1" fontId="53" fillId="41" borderId="50" xfId="0" applyNumberFormat="1" applyFont="1" applyFill="1" applyBorder="1" applyAlignment="1">
      <alignment horizontal="center" vertical="center"/>
    </xf>
    <xf numFmtId="1" fontId="53" fillId="41" borderId="166" xfId="0" applyNumberFormat="1" applyFont="1" applyFill="1" applyBorder="1" applyAlignment="1">
      <alignment horizontal="center" vertical="center"/>
    </xf>
    <xf numFmtId="1" fontId="53" fillId="41" borderId="167" xfId="0" applyNumberFormat="1" applyFont="1" applyFill="1" applyBorder="1" applyAlignment="1">
      <alignment horizontal="center" vertical="center"/>
    </xf>
    <xf numFmtId="1" fontId="53" fillId="41" borderId="169" xfId="0" applyNumberFormat="1" applyFont="1" applyFill="1" applyBorder="1" applyAlignment="1">
      <alignment horizontal="center" vertical="center"/>
    </xf>
    <xf numFmtId="1" fontId="53" fillId="41" borderId="170" xfId="0" applyNumberFormat="1" applyFont="1" applyFill="1" applyBorder="1" applyAlignment="1">
      <alignment horizontal="center" vertical="center"/>
    </xf>
    <xf numFmtId="1" fontId="53" fillId="41" borderId="184" xfId="0" applyNumberFormat="1" applyFont="1" applyFill="1" applyBorder="1" applyAlignment="1">
      <alignment horizontal="center" vertical="center"/>
    </xf>
    <xf numFmtId="1" fontId="53" fillId="41" borderId="186" xfId="0" applyNumberFormat="1" applyFont="1" applyFill="1" applyBorder="1" applyAlignment="1">
      <alignment horizontal="center" vertical="center"/>
    </xf>
    <xf numFmtId="1" fontId="53" fillId="41" borderId="48" xfId="0" applyNumberFormat="1" applyFont="1" applyFill="1" applyBorder="1" applyAlignment="1">
      <alignment horizontal="center" vertical="center"/>
    </xf>
    <xf numFmtId="1" fontId="53" fillId="41" borderId="187" xfId="0" applyNumberFormat="1" applyFont="1" applyFill="1" applyBorder="1" applyAlignment="1">
      <alignment horizontal="center" vertical="center"/>
    </xf>
    <xf numFmtId="1" fontId="0" fillId="0" borderId="50" xfId="0" applyNumberFormat="1" applyBorder="1" applyAlignment="1">
      <alignment horizontal="center" vertical="center"/>
    </xf>
    <xf numFmtId="1" fontId="0" fillId="0" borderId="166" xfId="0" applyNumberFormat="1" applyBorder="1" applyAlignment="1">
      <alignment horizontal="center" vertical="center"/>
    </xf>
    <xf numFmtId="1" fontId="0" fillId="0" borderId="167" xfId="0" applyNumberFormat="1" applyBorder="1" applyAlignment="1">
      <alignment horizontal="center" vertical="center"/>
    </xf>
    <xf numFmtId="1" fontId="0" fillId="0" borderId="168" xfId="0" applyNumberFormat="1" applyBorder="1" applyAlignment="1">
      <alignment horizontal="center" vertical="center"/>
    </xf>
    <xf numFmtId="1" fontId="0" fillId="0" borderId="169" xfId="0" applyNumberFormat="1" applyBorder="1" applyAlignment="1">
      <alignment horizontal="center" vertical="center"/>
    </xf>
    <xf numFmtId="1" fontId="0" fillId="0" borderId="160" xfId="0" applyNumberFormat="1" applyBorder="1" applyAlignment="1">
      <alignment horizontal="center" vertical="center"/>
    </xf>
    <xf numFmtId="1" fontId="0" fillId="0" borderId="170" xfId="0" applyNumberFormat="1" applyBorder="1" applyAlignment="1">
      <alignment horizontal="center" vertical="center"/>
    </xf>
    <xf numFmtId="1" fontId="0" fillId="0" borderId="184" xfId="0" applyNumberFormat="1" applyBorder="1" applyAlignment="1">
      <alignment horizontal="center" vertical="center"/>
    </xf>
    <xf numFmtId="1" fontId="0" fillId="0" borderId="185" xfId="0" applyNumberFormat="1" applyBorder="1" applyAlignment="1">
      <alignment horizontal="center" vertical="center"/>
    </xf>
    <xf numFmtId="1" fontId="53" fillId="41" borderId="158" xfId="0" applyNumberFormat="1" applyFont="1" applyFill="1" applyBorder="1" applyAlignment="1">
      <alignment horizontal="center" vertical="center"/>
    </xf>
    <xf numFmtId="1" fontId="53" fillId="41" borderId="159" xfId="0" applyNumberFormat="1" applyFont="1" applyFill="1" applyBorder="1" applyAlignment="1">
      <alignment horizontal="center" vertical="center"/>
    </xf>
    <xf numFmtId="1" fontId="53" fillId="41" borderId="161" xfId="0" applyNumberFormat="1" applyFont="1" applyFill="1" applyBorder="1" applyAlignment="1">
      <alignment horizontal="center" vertical="center"/>
    </xf>
    <xf numFmtId="1" fontId="53" fillId="41" borderId="162" xfId="0" applyNumberFormat="1" applyFont="1" applyFill="1" applyBorder="1" applyAlignment="1">
      <alignment horizontal="center" vertical="center"/>
    </xf>
    <xf numFmtId="1" fontId="53" fillId="41" borderId="163" xfId="0" applyNumberFormat="1" applyFont="1" applyFill="1" applyBorder="1" applyAlignment="1">
      <alignment horizontal="center" vertical="center"/>
    </xf>
    <xf numFmtId="1" fontId="53" fillId="0" borderId="166" xfId="0" applyNumberFormat="1" applyFont="1" applyBorder="1" applyAlignment="1">
      <alignment horizontal="center" vertical="center"/>
    </xf>
    <xf numFmtId="1" fontId="53" fillId="0" borderId="167" xfId="0" applyNumberFormat="1" applyFont="1" applyBorder="1" applyAlignment="1">
      <alignment horizontal="center" vertical="center"/>
    </xf>
    <xf numFmtId="1" fontId="53" fillId="0" borderId="168" xfId="0" applyNumberFormat="1" applyFont="1" applyBorder="1" applyAlignment="1">
      <alignment horizontal="center" vertical="center"/>
    </xf>
    <xf numFmtId="4" fontId="4" fillId="0" borderId="169" xfId="29" applyNumberFormat="1" applyBorder="1" applyAlignment="1">
      <alignment horizontal="center"/>
    </xf>
    <xf numFmtId="4" fontId="4" fillId="0" borderId="160" xfId="29" applyNumberFormat="1" applyBorder="1" applyAlignment="1">
      <alignment horizontal="center"/>
    </xf>
    <xf numFmtId="4" fontId="4" fillId="0" borderId="170" xfId="29" applyNumberFormat="1" applyBorder="1" applyAlignment="1">
      <alignment horizontal="center"/>
    </xf>
    <xf numFmtId="4" fontId="4" fillId="0" borderId="184" xfId="29" applyNumberFormat="1" applyBorder="1" applyAlignment="1">
      <alignment horizontal="center"/>
    </xf>
    <xf numFmtId="4" fontId="4" fillId="0" borderId="185" xfId="29" applyNumberFormat="1" applyBorder="1" applyAlignment="1">
      <alignment horizontal="center"/>
    </xf>
    <xf numFmtId="9" fontId="0" fillId="0" borderId="0" xfId="16" applyFont="1" applyBorder="1" applyAlignment="1">
      <alignment horizontal="left"/>
    </xf>
    <xf numFmtId="3" fontId="7" fillId="0" borderId="169" xfId="0" applyNumberFormat="1" applyFont="1" applyBorder="1" applyAlignment="1">
      <alignment horizontal="center" vertical="center"/>
    </xf>
    <xf numFmtId="3" fontId="58" fillId="0" borderId="48" xfId="0" applyNumberFormat="1" applyFont="1" applyBorder="1" applyAlignment="1">
      <alignment horizontal="center" vertical="center"/>
    </xf>
    <xf numFmtId="3" fontId="58" fillId="0" borderId="50" xfId="0" applyNumberFormat="1" applyFont="1" applyBorder="1" applyAlignment="1">
      <alignment horizontal="center" vertical="center"/>
    </xf>
    <xf numFmtId="3" fontId="58" fillId="0" borderId="169" xfId="0" applyNumberFormat="1" applyFont="1" applyBorder="1" applyAlignment="1">
      <alignment horizontal="center" vertical="center"/>
    </xf>
    <xf numFmtId="2" fontId="7" fillId="24" borderId="19" xfId="0" applyNumberFormat="1" applyFont="1" applyFill="1" applyBorder="1" applyAlignment="1">
      <alignment horizontal="center"/>
    </xf>
    <xf numFmtId="0" fontId="22" fillId="0" borderId="0" xfId="0" applyFont="1" applyAlignment="1">
      <alignment horizontal="center" vertical="center"/>
    </xf>
    <xf numFmtId="3" fontId="34" fillId="19" borderId="0" xfId="21" applyNumberFormat="1" applyFont="1" applyFill="1" applyAlignment="1">
      <alignment horizontal="center" vertical="center"/>
    </xf>
    <xf numFmtId="3" fontId="35" fillId="19" borderId="0" xfId="21" applyNumberFormat="1" applyFont="1" applyFill="1" applyAlignment="1">
      <alignment horizontal="center" vertical="center"/>
    </xf>
    <xf numFmtId="3" fontId="35" fillId="19" borderId="0" xfId="0" applyNumberFormat="1" applyFont="1" applyFill="1" applyAlignment="1">
      <alignment horizontal="center" vertical="center"/>
    </xf>
    <xf numFmtId="3" fontId="34" fillId="0" borderId="0" xfId="0" applyNumberFormat="1" applyFont="1" applyAlignment="1">
      <alignment horizontal="center" vertical="center"/>
    </xf>
    <xf numFmtId="182" fontId="22" fillId="0" borderId="0" xfId="0" applyNumberFormat="1" applyFont="1" applyAlignment="1">
      <alignment horizontal="center" vertical="center"/>
    </xf>
    <xf numFmtId="3" fontId="22" fillId="19"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7" fillId="8" borderId="19" xfId="0" applyFont="1" applyFill="1" applyBorder="1" applyAlignment="1">
      <alignment horizontal="center" vertical="center" wrapText="1"/>
    </xf>
    <xf numFmtId="0" fontId="33" fillId="8" borderId="19" xfId="0" applyFont="1" applyFill="1" applyBorder="1" applyAlignment="1">
      <alignment horizontal="center" vertical="center" wrapText="1"/>
    </xf>
    <xf numFmtId="2" fontId="0" fillId="24" borderId="110" xfId="0" applyNumberFormat="1" applyFill="1" applyBorder="1" applyAlignment="1">
      <alignment horizontal="center"/>
    </xf>
    <xf numFmtId="2" fontId="0" fillId="24" borderId="112" xfId="0" applyNumberFormat="1" applyFill="1" applyBorder="1" applyAlignment="1">
      <alignment horizontal="center"/>
    </xf>
    <xf numFmtId="2" fontId="0" fillId="24" borderId="111" xfId="0" applyNumberFormat="1" applyFill="1" applyBorder="1" applyAlignment="1">
      <alignment horizontal="center"/>
    </xf>
    <xf numFmtId="181" fontId="0" fillId="24" borderId="112" xfId="0" applyNumberFormat="1" applyFill="1" applyBorder="1" applyAlignment="1">
      <alignment horizontal="center"/>
    </xf>
    <xf numFmtId="181" fontId="0" fillId="24" borderId="111" xfId="0" applyNumberFormat="1" applyFill="1" applyBorder="1" applyAlignment="1">
      <alignment horizontal="center"/>
    </xf>
    <xf numFmtId="0" fontId="46" fillId="9" borderId="82" xfId="0" applyFont="1" applyFill="1" applyBorder="1" applyAlignment="1">
      <alignment horizontal="center" vertical="center" wrapText="1"/>
    </xf>
    <xf numFmtId="0" fontId="46" fillId="10" borderId="83" xfId="0" applyFont="1" applyFill="1" applyBorder="1" applyAlignment="1">
      <alignment horizontal="center" vertical="center" wrapText="1"/>
    </xf>
    <xf numFmtId="0" fontId="46" fillId="11" borderId="83" xfId="0" applyFont="1" applyFill="1" applyBorder="1" applyAlignment="1">
      <alignment horizontal="center" vertical="center" wrapText="1"/>
    </xf>
    <xf numFmtId="0" fontId="46" fillId="15" borderId="83" xfId="0" applyFont="1" applyFill="1" applyBorder="1" applyAlignment="1">
      <alignment horizontal="center" vertical="center" wrapText="1"/>
    </xf>
    <xf numFmtId="0" fontId="46" fillId="23" borderId="113" xfId="0" applyFont="1" applyFill="1" applyBorder="1" applyAlignment="1">
      <alignment horizontal="center" vertical="center" wrapText="1"/>
    </xf>
    <xf numFmtId="0" fontId="46" fillId="16" borderId="83" xfId="0" applyFont="1" applyFill="1" applyBorder="1" applyAlignment="1">
      <alignment horizontal="center" vertical="center" wrapText="1"/>
    </xf>
    <xf numFmtId="0" fontId="46" fillId="10" borderId="74" xfId="0" applyFont="1" applyFill="1" applyBorder="1" applyAlignment="1">
      <alignment horizontal="center" vertical="center" wrapText="1"/>
    </xf>
    <xf numFmtId="0" fontId="46" fillId="11" borderId="74" xfId="0" applyFont="1" applyFill="1" applyBorder="1" applyAlignment="1">
      <alignment horizontal="center" vertical="center" wrapText="1"/>
    </xf>
    <xf numFmtId="0" fontId="46" fillId="15" borderId="74" xfId="0" applyFont="1" applyFill="1" applyBorder="1" applyAlignment="1">
      <alignment horizontal="center" vertical="center" wrapText="1"/>
    </xf>
    <xf numFmtId="0" fontId="46" fillId="23" borderId="74" xfId="0" applyFont="1" applyFill="1" applyBorder="1" applyAlignment="1">
      <alignment horizontal="center" vertical="center" wrapText="1"/>
    </xf>
    <xf numFmtId="0" fontId="46" fillId="16" borderId="74" xfId="0" applyFont="1" applyFill="1" applyBorder="1" applyAlignment="1">
      <alignment horizontal="center" vertical="center" wrapText="1"/>
    </xf>
    <xf numFmtId="0" fontId="55" fillId="0" borderId="0" xfId="0" applyFont="1" applyAlignment="1">
      <alignment horizontal="center" vertical="center"/>
    </xf>
    <xf numFmtId="14" fontId="12" fillId="0" borderId="20" xfId="0" applyNumberFormat="1" applyFont="1" applyBorder="1" applyAlignment="1">
      <alignment horizontal="center" vertical="center"/>
    </xf>
    <xf numFmtId="14" fontId="12" fillId="0" borderId="59" xfId="0" applyNumberFormat="1" applyFont="1" applyBorder="1" applyAlignment="1">
      <alignment horizontal="center" vertical="center"/>
    </xf>
    <xf numFmtId="0" fontId="0" fillId="0" borderId="0" xfId="0" applyAlignment="1">
      <alignment horizontal="left"/>
    </xf>
    <xf numFmtId="2" fontId="7" fillId="24" borderId="57" xfId="0" applyNumberFormat="1" applyFont="1" applyFill="1" applyBorder="1" applyAlignment="1">
      <alignment horizontal="center"/>
    </xf>
    <xf numFmtId="2" fontId="32" fillId="24" borderId="57" xfId="16" applyNumberFormat="1" applyFont="1" applyFill="1" applyBorder="1" applyAlignment="1">
      <alignment horizontal="center"/>
    </xf>
    <xf numFmtId="0" fontId="7" fillId="7" borderId="188" xfId="0" applyFont="1" applyFill="1" applyBorder="1"/>
    <xf numFmtId="0" fontId="0" fillId="7" borderId="0" xfId="0" applyFill="1"/>
    <xf numFmtId="0" fontId="26" fillId="32" borderId="71" xfId="0" applyFont="1" applyFill="1" applyBorder="1" applyAlignment="1">
      <alignment horizontal="center"/>
    </xf>
    <xf numFmtId="0" fontId="12" fillId="0" borderId="71" xfId="0" applyFont="1" applyBorder="1" applyAlignment="1">
      <alignment horizontal="center"/>
    </xf>
    <xf numFmtId="179" fontId="12" fillId="24" borderId="23" xfId="0" applyNumberFormat="1" applyFont="1" applyFill="1" applyBorder="1" applyAlignment="1">
      <alignment horizontal="center"/>
    </xf>
    <xf numFmtId="2" fontId="32" fillId="24" borderId="71" xfId="16" applyNumberFormat="1" applyFont="1" applyFill="1" applyBorder="1" applyAlignment="1">
      <alignment horizontal="center"/>
    </xf>
    <xf numFmtId="10" fontId="63" fillId="8" borderId="71" xfId="0" applyNumberFormat="1" applyFont="1" applyFill="1" applyBorder="1" applyAlignment="1">
      <alignment horizontal="center"/>
    </xf>
    <xf numFmtId="0" fontId="7" fillId="0" borderId="0" xfId="0" applyFont="1" applyAlignment="1">
      <alignment horizontal="center"/>
    </xf>
    <xf numFmtId="10" fontId="7" fillId="0" borderId="136" xfId="0" applyNumberFormat="1" applyFont="1" applyBorder="1" applyAlignment="1">
      <alignment horizontal="center" vertical="center"/>
    </xf>
    <xf numFmtId="10" fontId="7" fillId="0" borderId="5" xfId="0" applyNumberFormat="1" applyFont="1" applyBorder="1" applyAlignment="1">
      <alignment horizontal="center" vertical="center"/>
    </xf>
    <xf numFmtId="10" fontId="0" fillId="0" borderId="131" xfId="0" applyNumberFormat="1" applyBorder="1" applyAlignment="1">
      <alignment horizontal="center" vertical="center"/>
    </xf>
    <xf numFmtId="10" fontId="0" fillId="0" borderId="129" xfId="0" applyNumberFormat="1" applyBorder="1" applyAlignment="1">
      <alignment horizontal="center" vertical="center"/>
    </xf>
    <xf numFmtId="10" fontId="0" fillId="0" borderId="135" xfId="0" applyNumberFormat="1" applyBorder="1" applyAlignment="1">
      <alignment horizontal="center" vertical="center"/>
    </xf>
    <xf numFmtId="10" fontId="7" fillId="0" borderId="129" xfId="0" applyNumberFormat="1" applyFont="1" applyBorder="1" applyAlignment="1">
      <alignment horizontal="center" vertical="center"/>
    </xf>
    <xf numFmtId="1" fontId="58" fillId="41" borderId="170" xfId="0" applyNumberFormat="1" applyFont="1" applyFill="1" applyBorder="1" applyAlignment="1">
      <alignment horizontal="center" vertical="center"/>
    </xf>
    <xf numFmtId="1" fontId="58" fillId="41" borderId="184" xfId="0" applyNumberFormat="1" applyFont="1" applyFill="1" applyBorder="1" applyAlignment="1">
      <alignment horizontal="center" vertical="center"/>
    </xf>
    <xf numFmtId="10" fontId="7" fillId="0" borderId="135" xfId="0" applyNumberFormat="1" applyFont="1" applyBorder="1" applyAlignment="1">
      <alignment horizontal="center" vertical="center"/>
    </xf>
    <xf numFmtId="10" fontId="7" fillId="0" borderId="131" xfId="0" applyNumberFormat="1" applyFont="1" applyBorder="1" applyAlignment="1">
      <alignment horizontal="center" vertical="center"/>
    </xf>
    <xf numFmtId="0" fontId="53" fillId="0" borderId="145" xfId="0" applyFont="1" applyBorder="1"/>
    <xf numFmtId="10" fontId="4" fillId="0" borderId="0" xfId="29" quotePrefix="1" applyNumberFormat="1" applyAlignment="1">
      <alignment horizontal="right"/>
    </xf>
    <xf numFmtId="177" fontId="1" fillId="0" borderId="0" xfId="0" applyNumberFormat="1" applyFont="1" applyAlignment="1">
      <alignment horizontal="center"/>
    </xf>
    <xf numFmtId="177" fontId="1" fillId="0" borderId="50" xfId="0" applyNumberFormat="1" applyFont="1" applyBorder="1" applyAlignment="1">
      <alignment horizontal="center"/>
    </xf>
    <xf numFmtId="0" fontId="0" fillId="0" borderId="50" xfId="0" applyBorder="1" applyAlignment="1">
      <alignment horizontal="center"/>
    </xf>
    <xf numFmtId="179" fontId="0" fillId="0" borderId="50" xfId="0" applyNumberFormat="1" applyBorder="1" applyAlignment="1">
      <alignment horizontal="center"/>
    </xf>
    <xf numFmtId="0" fontId="1" fillId="0" borderId="50" xfId="0" applyFont="1" applyBorder="1"/>
    <xf numFmtId="180" fontId="64" fillId="0" borderId="50" xfId="16" applyNumberFormat="1" applyFont="1" applyBorder="1" applyAlignment="1">
      <alignment horizontal="center"/>
    </xf>
    <xf numFmtId="0" fontId="64" fillId="0" borderId="50" xfId="0" applyFont="1" applyBorder="1"/>
    <xf numFmtId="177" fontId="64" fillId="0" borderId="50" xfId="0" applyNumberFormat="1" applyFont="1" applyBorder="1" applyAlignment="1">
      <alignment horizontal="center"/>
    </xf>
    <xf numFmtId="9" fontId="0" fillId="0" borderId="0" xfId="16" applyFont="1" applyAlignment="1">
      <alignment horizontal="left"/>
    </xf>
    <xf numFmtId="0" fontId="53" fillId="0" borderId="36" xfId="0" applyFont="1" applyBorder="1"/>
    <xf numFmtId="4" fontId="4" fillId="0" borderId="49" xfId="29" applyNumberFormat="1" applyBorder="1" applyAlignment="1">
      <alignment horizontal="center"/>
    </xf>
    <xf numFmtId="0" fontId="53" fillId="0" borderId="189" xfId="0" applyFont="1" applyBorder="1"/>
    <xf numFmtId="0" fontId="53" fillId="0" borderId="37" xfId="0" applyFont="1" applyBorder="1"/>
    <xf numFmtId="2" fontId="25" fillId="18" borderId="112" xfId="0" applyNumberFormat="1" applyFont="1" applyFill="1" applyBorder="1" applyAlignment="1">
      <alignment horizontal="center"/>
    </xf>
    <xf numFmtId="2" fontId="25" fillId="18" borderId="111" xfId="0" applyNumberFormat="1" applyFont="1" applyFill="1" applyBorder="1" applyAlignment="1">
      <alignment horizontal="center"/>
    </xf>
    <xf numFmtId="2" fontId="25" fillId="31" borderId="83" xfId="16" applyNumberFormat="1" applyFont="1" applyFill="1" applyBorder="1" applyAlignment="1">
      <alignment horizontal="center" vertical="center"/>
    </xf>
    <xf numFmtId="2" fontId="25" fillId="18" borderId="110" xfId="0" applyNumberFormat="1" applyFont="1" applyFill="1" applyBorder="1" applyAlignment="1">
      <alignment horizontal="center"/>
    </xf>
    <xf numFmtId="3" fontId="68" fillId="0" borderId="169" xfId="0" quotePrefix="1" applyNumberFormat="1" applyFont="1" applyBorder="1" applyAlignment="1">
      <alignment horizontal="center" vertical="center"/>
    </xf>
    <xf numFmtId="3" fontId="68" fillId="0" borderId="50" xfId="0" quotePrefix="1" applyNumberFormat="1" applyFont="1" applyBorder="1" applyAlignment="1">
      <alignment horizontal="center" vertical="center"/>
    </xf>
    <xf numFmtId="3" fontId="68" fillId="0" borderId="160" xfId="0" quotePrefix="1" applyNumberFormat="1" applyFont="1" applyBorder="1" applyAlignment="1">
      <alignment horizontal="center" vertical="center"/>
    </xf>
    <xf numFmtId="0" fontId="53" fillId="41" borderId="158" xfId="0" applyFont="1" applyFill="1" applyBorder="1" applyAlignment="1">
      <alignment horizontal="center" vertical="center"/>
    </xf>
    <xf numFmtId="0" fontId="53" fillId="41" borderId="2" xfId="0" applyFont="1" applyFill="1" applyBorder="1" applyAlignment="1">
      <alignment horizontal="center" vertical="center"/>
    </xf>
    <xf numFmtId="1" fontId="53" fillId="41" borderId="134" xfId="0" applyNumberFormat="1" applyFont="1" applyFill="1" applyBorder="1" applyAlignment="1">
      <alignment horizontal="center" vertical="center"/>
    </xf>
    <xf numFmtId="1" fontId="53" fillId="41" borderId="191" xfId="0" applyNumberFormat="1" applyFont="1" applyFill="1" applyBorder="1" applyAlignment="1">
      <alignment horizontal="center" vertical="center"/>
    </xf>
    <xf numFmtId="3" fontId="58" fillId="42" borderId="192" xfId="0" applyNumberFormat="1" applyFont="1" applyFill="1" applyBorder="1" applyAlignment="1">
      <alignment horizontal="center" vertical="center"/>
    </xf>
    <xf numFmtId="3" fontId="58" fillId="42" borderId="3" xfId="0" applyNumberFormat="1" applyFont="1" applyFill="1" applyBorder="1" applyAlignment="1">
      <alignment horizontal="center" vertical="center"/>
    </xf>
    <xf numFmtId="3" fontId="58" fillId="42" borderId="36" xfId="0" applyNumberFormat="1" applyFont="1" applyFill="1" applyBorder="1" applyAlignment="1">
      <alignment horizontal="center" vertical="center"/>
    </xf>
    <xf numFmtId="3" fontId="59" fillId="12" borderId="0" xfId="0" applyNumberFormat="1" applyFont="1" applyFill="1" applyAlignment="1">
      <alignment horizontal="center" vertical="center"/>
    </xf>
    <xf numFmtId="3" fontId="59" fillId="12" borderId="193" xfId="0" applyNumberFormat="1" applyFont="1" applyFill="1" applyBorder="1" applyAlignment="1">
      <alignment horizontal="center" vertical="center"/>
    </xf>
    <xf numFmtId="3" fontId="58" fillId="42" borderId="170" xfId="0" applyNumberFormat="1" applyFont="1" applyFill="1" applyBorder="1" applyAlignment="1">
      <alignment horizontal="center" vertical="center"/>
    </xf>
    <xf numFmtId="3" fontId="58" fillId="42" borderId="184" xfId="0" applyNumberFormat="1" applyFont="1" applyFill="1" applyBorder="1" applyAlignment="1">
      <alignment horizontal="center" vertical="center"/>
    </xf>
    <xf numFmtId="3" fontId="58" fillId="42" borderId="185" xfId="0" applyNumberFormat="1" applyFont="1" applyFill="1" applyBorder="1" applyAlignment="1">
      <alignment horizontal="center" vertical="center"/>
    </xf>
    <xf numFmtId="1" fontId="58" fillId="42" borderId="48" xfId="0" applyNumberFormat="1" applyFont="1" applyFill="1" applyBorder="1" applyAlignment="1">
      <alignment horizontal="center" vertical="center"/>
    </xf>
    <xf numFmtId="1" fontId="58" fillId="0" borderId="48" xfId="0" applyNumberFormat="1" applyFont="1" applyBorder="1" applyAlignment="1">
      <alignment horizontal="center" vertical="center"/>
    </xf>
    <xf numFmtId="0" fontId="7" fillId="0" borderId="48" xfId="0" quotePrefix="1" applyFont="1" applyBorder="1" applyAlignment="1">
      <alignment horizontal="center" vertical="center"/>
    </xf>
    <xf numFmtId="3" fontId="58" fillId="42" borderId="187" xfId="0" applyNumberFormat="1" applyFont="1" applyFill="1" applyBorder="1" applyAlignment="1">
      <alignment horizontal="center" vertical="center"/>
    </xf>
    <xf numFmtId="0" fontId="0" fillId="38" borderId="34" xfId="0" applyFill="1" applyBorder="1"/>
    <xf numFmtId="0" fontId="64" fillId="0" borderId="0" xfId="29" applyFont="1" applyAlignment="1">
      <alignment horizontal="center" vertical="center"/>
    </xf>
    <xf numFmtId="0" fontId="4" fillId="0" borderId="0" xfId="29"/>
    <xf numFmtId="0" fontId="4" fillId="0" borderId="38" xfId="29" applyBorder="1"/>
    <xf numFmtId="0" fontId="53" fillId="0" borderId="195" xfId="0" applyFont="1" applyBorder="1"/>
    <xf numFmtId="0" fontId="55" fillId="0" borderId="132" xfId="0" applyFont="1" applyBorder="1" applyAlignment="1">
      <alignment horizontal="center" vertical="center"/>
    </xf>
    <xf numFmtId="0" fontId="55" fillId="0" borderId="133" xfId="0" applyFont="1" applyBorder="1" applyAlignment="1">
      <alignment horizontal="center" vertical="center"/>
    </xf>
    <xf numFmtId="0" fontId="53" fillId="0" borderId="196" xfId="0" applyFont="1" applyBorder="1"/>
    <xf numFmtId="0" fontId="53" fillId="0" borderId="131" xfId="0" applyFont="1" applyBorder="1" applyAlignment="1">
      <alignment horizontal="center" vertical="center"/>
    </xf>
    <xf numFmtId="0" fontId="53" fillId="0" borderId="197" xfId="0" applyFont="1" applyBorder="1"/>
    <xf numFmtId="0" fontId="53" fillId="0" borderId="135" xfId="0" applyFont="1" applyBorder="1" applyAlignment="1">
      <alignment horizontal="center" vertical="center"/>
    </xf>
    <xf numFmtId="10" fontId="0" fillId="0" borderId="0" xfId="0" applyNumberFormat="1" applyAlignment="1">
      <alignment horizontal="center" vertical="center"/>
    </xf>
    <xf numFmtId="0" fontId="53" fillId="0" borderId="132" xfId="0" applyFont="1" applyBorder="1" applyAlignment="1">
      <alignment horizontal="center" vertical="center"/>
    </xf>
    <xf numFmtId="0" fontId="53" fillId="0" borderId="131" xfId="0" applyFont="1" applyBorder="1"/>
    <xf numFmtId="0" fontId="55" fillId="0" borderId="50" xfId="0" applyFont="1" applyBorder="1"/>
    <xf numFmtId="0" fontId="26" fillId="10" borderId="83" xfId="0" applyFont="1" applyFill="1" applyBorder="1" applyAlignment="1">
      <alignment horizontal="center" vertical="center" wrapText="1"/>
    </xf>
    <xf numFmtId="0" fontId="26" fillId="11" borderId="83" xfId="0" applyFont="1" applyFill="1" applyBorder="1" applyAlignment="1">
      <alignment horizontal="center" vertical="center" wrapText="1"/>
    </xf>
    <xf numFmtId="0" fontId="47" fillId="15" borderId="83" xfId="0" applyFont="1" applyFill="1" applyBorder="1" applyAlignment="1">
      <alignment horizontal="center" vertical="center" wrapText="1"/>
    </xf>
    <xf numFmtId="0" fontId="26" fillId="23" borderId="113" xfId="0" applyFont="1" applyFill="1" applyBorder="1" applyAlignment="1">
      <alignment horizontal="center" vertical="center" wrapText="1"/>
    </xf>
    <xf numFmtId="0" fontId="26" fillId="16" borderId="83" xfId="0" applyFont="1" applyFill="1" applyBorder="1" applyAlignment="1">
      <alignment horizontal="center" vertical="center" wrapText="1"/>
    </xf>
    <xf numFmtId="9" fontId="22" fillId="0" borderId="0" xfId="16" applyFont="1" applyAlignment="1">
      <alignment horizontal="center" vertical="center"/>
    </xf>
    <xf numFmtId="9" fontId="34" fillId="0" borderId="0" xfId="16" applyFont="1" applyAlignment="1">
      <alignment horizontal="center" vertical="center"/>
    </xf>
    <xf numFmtId="1" fontId="58" fillId="42" borderId="158" xfId="0" applyNumberFormat="1" applyFont="1" applyFill="1" applyBorder="1" applyAlignment="1">
      <alignment horizontal="center" vertical="center"/>
    </xf>
    <xf numFmtId="1" fontId="58" fillId="42" borderId="2" xfId="0" applyNumberFormat="1" applyFont="1" applyFill="1" applyBorder="1" applyAlignment="1">
      <alignment horizontal="center" vertical="center"/>
    </xf>
    <xf numFmtId="1" fontId="58" fillId="42" borderId="39" xfId="0" applyNumberFormat="1" applyFont="1" applyFill="1" applyBorder="1" applyAlignment="1">
      <alignment horizontal="center" vertical="center"/>
    </xf>
    <xf numFmtId="1" fontId="58" fillId="42" borderId="190" xfId="0" applyNumberFormat="1" applyFont="1" applyFill="1" applyBorder="1" applyAlignment="1">
      <alignment horizontal="center" vertical="center"/>
    </xf>
    <xf numFmtId="3" fontId="0" fillId="0" borderId="50" xfId="0" applyNumberFormat="1" applyBorder="1" applyAlignment="1">
      <alignment horizontal="center" vertical="center"/>
    </xf>
    <xf numFmtId="3" fontId="0" fillId="0" borderId="160" xfId="0" applyNumberFormat="1" applyBorder="1" applyAlignment="1">
      <alignment horizontal="center" vertical="center"/>
    </xf>
    <xf numFmtId="180" fontId="37" fillId="0" borderId="0" xfId="0" applyNumberFormat="1" applyFont="1"/>
    <xf numFmtId="10" fontId="7" fillId="0" borderId="132" xfId="0" applyNumberFormat="1" applyFont="1" applyBorder="1" applyAlignment="1">
      <alignment horizontal="center" vertical="center"/>
    </xf>
    <xf numFmtId="10" fontId="7" fillId="0" borderId="133" xfId="0" applyNumberFormat="1" applyFont="1" applyBorder="1" applyAlignment="1">
      <alignment horizontal="center" vertical="center"/>
    </xf>
    <xf numFmtId="10" fontId="53" fillId="0" borderId="131" xfId="0" applyNumberFormat="1" applyFont="1" applyBorder="1" applyAlignment="1">
      <alignment horizontal="center" vertical="center"/>
    </xf>
    <xf numFmtId="10" fontId="0" fillId="0" borderId="131" xfId="16" applyNumberFormat="1" applyFont="1" applyFill="1" applyBorder="1" applyAlignment="1">
      <alignment horizontal="center" vertical="center"/>
    </xf>
    <xf numFmtId="10" fontId="7" fillId="0" borderId="131" xfId="16" applyNumberFormat="1" applyFont="1" applyFill="1" applyBorder="1" applyAlignment="1">
      <alignment horizontal="center" vertical="center"/>
    </xf>
    <xf numFmtId="1" fontId="53" fillId="41" borderId="200" xfId="0" applyNumberFormat="1" applyFont="1" applyFill="1" applyBorder="1" applyAlignment="1">
      <alignment horizontal="center" vertical="center"/>
    </xf>
    <xf numFmtId="0" fontId="53" fillId="41" borderId="39" xfId="0" applyFont="1" applyFill="1" applyBorder="1" applyAlignment="1">
      <alignment horizontal="center" vertical="center"/>
    </xf>
    <xf numFmtId="1" fontId="53" fillId="41" borderId="201" xfId="0" applyNumberFormat="1" applyFont="1" applyFill="1" applyBorder="1" applyAlignment="1">
      <alignment horizontal="center" vertical="center"/>
    </xf>
    <xf numFmtId="1" fontId="53" fillId="41" borderId="202" xfId="0" applyNumberFormat="1" applyFont="1" applyFill="1" applyBorder="1" applyAlignment="1">
      <alignment horizontal="center" vertical="center"/>
    </xf>
    <xf numFmtId="1" fontId="53" fillId="41" borderId="203" xfId="0" applyNumberFormat="1" applyFont="1" applyFill="1" applyBorder="1" applyAlignment="1">
      <alignment horizontal="center" vertical="center"/>
    </xf>
    <xf numFmtId="1" fontId="0" fillId="0" borderId="204" xfId="0" applyNumberFormat="1" applyBorder="1" applyAlignment="1">
      <alignment horizontal="center" vertical="center"/>
    </xf>
    <xf numFmtId="1" fontId="0" fillId="0" borderId="49" xfId="0" applyNumberFormat="1" applyBorder="1" applyAlignment="1">
      <alignment horizontal="center" vertical="center"/>
    </xf>
    <xf numFmtId="1" fontId="0" fillId="0" borderId="205" xfId="0" applyNumberFormat="1" applyBorder="1" applyAlignment="1">
      <alignment horizontal="center" vertical="center"/>
    </xf>
    <xf numFmtId="1" fontId="53" fillId="0" borderId="204" xfId="0" applyNumberFormat="1" applyFont="1" applyBorder="1" applyAlignment="1">
      <alignment horizontal="center" vertical="center"/>
    </xf>
    <xf numFmtId="4" fontId="4" fillId="0" borderId="205" xfId="29" applyNumberFormat="1" applyBorder="1" applyAlignment="1">
      <alignment horizontal="center"/>
    </xf>
    <xf numFmtId="4" fontId="4" fillId="0" borderId="1" xfId="29" applyNumberFormat="1" applyBorder="1" applyAlignment="1">
      <alignment horizontal="center"/>
    </xf>
    <xf numFmtId="4" fontId="4" fillId="0" borderId="48" xfId="29" applyNumberFormat="1" applyBorder="1" applyAlignment="1">
      <alignment horizontal="center"/>
    </xf>
    <xf numFmtId="4" fontId="4" fillId="0" borderId="206" xfId="29" applyNumberFormat="1" applyBorder="1" applyAlignment="1">
      <alignment horizontal="center"/>
    </xf>
    <xf numFmtId="3" fontId="68" fillId="0" borderId="169" xfId="0" applyNumberFormat="1" applyFont="1" applyBorder="1" applyAlignment="1">
      <alignment horizontal="center" vertical="center"/>
    </xf>
    <xf numFmtId="2" fontId="0" fillId="24" borderId="71" xfId="0" applyNumberFormat="1" applyFill="1" applyBorder="1" applyAlignment="1">
      <alignment horizontal="center"/>
    </xf>
    <xf numFmtId="179" fontId="0" fillId="24" borderId="23" xfId="0" applyNumberFormat="1" applyFill="1" applyBorder="1" applyAlignment="1">
      <alignment horizontal="center"/>
    </xf>
    <xf numFmtId="10" fontId="0" fillId="8" borderId="23" xfId="25" applyNumberFormat="1" applyFont="1" applyFill="1" applyBorder="1" applyAlignment="1">
      <alignment horizontal="center"/>
    </xf>
    <xf numFmtId="180" fontId="0" fillId="8" borderId="23" xfId="25" applyNumberFormat="1" applyFont="1" applyFill="1" applyBorder="1" applyAlignment="1">
      <alignment horizontal="center"/>
    </xf>
    <xf numFmtId="180" fontId="0" fillId="8" borderId="23" xfId="16" quotePrefix="1" applyNumberFormat="1" applyFont="1" applyFill="1" applyBorder="1" applyAlignment="1">
      <alignment horizontal="center"/>
    </xf>
    <xf numFmtId="181" fontId="0" fillId="24" borderId="23" xfId="0" applyNumberFormat="1" applyFill="1" applyBorder="1" applyAlignment="1">
      <alignment horizontal="center"/>
    </xf>
    <xf numFmtId="181" fontId="0" fillId="24" borderId="23" xfId="16" applyNumberFormat="1" applyFont="1" applyFill="1" applyBorder="1" applyAlignment="1">
      <alignment horizontal="center"/>
    </xf>
    <xf numFmtId="180"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180" fontId="0" fillId="8" borderId="23" xfId="16" applyNumberFormat="1" applyFont="1" applyFill="1" applyBorder="1" applyAlignment="1">
      <alignment horizontal="center"/>
    </xf>
    <xf numFmtId="0" fontId="0" fillId="0" borderId="22" xfId="0" quotePrefix="1" applyBorder="1"/>
    <xf numFmtId="10" fontId="0" fillId="8" borderId="23" xfId="16" applyNumberFormat="1" applyFont="1" applyFill="1" applyBorder="1" applyAlignment="1">
      <alignment horizontal="center"/>
    </xf>
    <xf numFmtId="4" fontId="0" fillId="8" borderId="23" xfId="0" applyNumberFormat="1" applyFill="1" applyBorder="1" applyAlignment="1">
      <alignment horizontal="center"/>
    </xf>
    <xf numFmtId="0" fontId="0" fillId="0" borderId="22" xfId="0" applyBorder="1"/>
    <xf numFmtId="0" fontId="0" fillId="8" borderId="23" xfId="0" applyFill="1" applyBorder="1" applyAlignment="1">
      <alignment horizontal="left" vertical="center" wrapText="1"/>
    </xf>
    <xf numFmtId="0" fontId="0" fillId="0" borderId="63" xfId="0" applyBorder="1" applyAlignment="1">
      <alignment horizontal="center" vertical="center"/>
    </xf>
    <xf numFmtId="187" fontId="0" fillId="0" borderId="0" xfId="0" applyNumberFormat="1" applyAlignment="1">
      <alignment horizontal="center"/>
    </xf>
    <xf numFmtId="1" fontId="58" fillId="0" borderId="158" xfId="0" applyNumberFormat="1" applyFont="1" applyBorder="1" applyAlignment="1">
      <alignment horizontal="center" vertical="center"/>
    </xf>
    <xf numFmtId="1" fontId="58" fillId="0" borderId="2" xfId="0" applyNumberFormat="1" applyFont="1" applyBorder="1" applyAlignment="1">
      <alignment horizontal="center" vertical="center"/>
    </xf>
    <xf numFmtId="1" fontId="58" fillId="0" borderId="190" xfId="0" applyNumberFormat="1" applyFont="1" applyBorder="1" applyAlignment="1">
      <alignment horizontal="center" vertical="center"/>
    </xf>
    <xf numFmtId="1" fontId="7" fillId="0" borderId="192" xfId="0" applyNumberFormat="1" applyFont="1" applyBorder="1" applyAlignment="1">
      <alignment horizontal="center" vertical="center"/>
    </xf>
    <xf numFmtId="10" fontId="70" fillId="35" borderId="125" xfId="26" applyNumberFormat="1" applyFont="1" applyFill="1" applyBorder="1"/>
    <xf numFmtId="186" fontId="7" fillId="0" borderId="125" xfId="26" applyNumberFormat="1" applyBorder="1"/>
    <xf numFmtId="180" fontId="53" fillId="0" borderId="0" xfId="16" applyNumberFormat="1" applyFont="1"/>
    <xf numFmtId="3" fontId="68" fillId="39" borderId="169" xfId="0" quotePrefix="1" applyNumberFormat="1" applyFont="1" applyFill="1" applyBorder="1" applyAlignment="1">
      <alignment horizontal="center" vertical="center"/>
    </xf>
    <xf numFmtId="3" fontId="68" fillId="39" borderId="50" xfId="0" quotePrefix="1" applyNumberFormat="1" applyFont="1" applyFill="1" applyBorder="1" applyAlignment="1">
      <alignment horizontal="center" vertical="center"/>
    </xf>
    <xf numFmtId="3" fontId="68" fillId="39" borderId="48" xfId="0" quotePrefix="1" applyNumberFormat="1" applyFont="1" applyFill="1" applyBorder="1" applyAlignment="1">
      <alignment horizontal="center" vertical="center"/>
    </xf>
    <xf numFmtId="3" fontId="24" fillId="39" borderId="169" xfId="0" applyNumberFormat="1" applyFont="1" applyFill="1" applyBorder="1" applyAlignment="1">
      <alignment horizontal="center" vertical="center"/>
    </xf>
    <xf numFmtId="3" fontId="24" fillId="39" borderId="50" xfId="0" applyNumberFormat="1" applyFont="1" applyFill="1" applyBorder="1" applyAlignment="1">
      <alignment horizontal="center" vertical="center"/>
    </xf>
    <xf numFmtId="3" fontId="24" fillId="39" borderId="48" xfId="0" applyNumberFormat="1" applyFont="1" applyFill="1" applyBorder="1" applyAlignment="1">
      <alignment horizontal="center" vertical="center"/>
    </xf>
    <xf numFmtId="0" fontId="68" fillId="39" borderId="169" xfId="0" applyFont="1" applyFill="1" applyBorder="1" applyAlignment="1">
      <alignment horizontal="center" vertical="center"/>
    </xf>
    <xf numFmtId="0" fontId="68" fillId="39" borderId="50" xfId="0" applyFont="1" applyFill="1" applyBorder="1" applyAlignment="1">
      <alignment horizontal="center" vertical="center"/>
    </xf>
    <xf numFmtId="0" fontId="68" fillId="39" borderId="48" xfId="0" applyFont="1" applyFill="1" applyBorder="1" applyAlignment="1">
      <alignment horizontal="center" vertical="center"/>
    </xf>
    <xf numFmtId="1" fontId="68" fillId="0" borderId="169" xfId="0" applyNumberFormat="1" applyFont="1" applyBorder="1" applyAlignment="1">
      <alignment horizontal="center" vertical="center"/>
    </xf>
    <xf numFmtId="1" fontId="68" fillId="0" borderId="50" xfId="0" quotePrefix="1" applyNumberFormat="1" applyFont="1" applyBorder="1" applyAlignment="1">
      <alignment horizontal="center" vertical="center"/>
    </xf>
    <xf numFmtId="1" fontId="68" fillId="0" borderId="160" xfId="0" quotePrefix="1" applyNumberFormat="1" applyFont="1" applyBorder="1" applyAlignment="1">
      <alignment horizontal="center" vertical="center"/>
    </xf>
    <xf numFmtId="1" fontId="24" fillId="0" borderId="169" xfId="0" applyNumberFormat="1" applyFont="1" applyBorder="1" applyAlignment="1">
      <alignment horizontal="center" vertical="center"/>
    </xf>
    <xf numFmtId="1" fontId="24" fillId="0" borderId="50" xfId="0" applyNumberFormat="1" applyFont="1" applyBorder="1" applyAlignment="1">
      <alignment horizontal="center" vertical="center"/>
    </xf>
    <xf numFmtId="1" fontId="24" fillId="0" borderId="160" xfId="0" applyNumberFormat="1" applyFont="1" applyBorder="1" applyAlignment="1">
      <alignment horizontal="center" vertical="center"/>
    </xf>
    <xf numFmtId="1" fontId="68" fillId="0" borderId="50" xfId="0" applyNumberFormat="1" applyFont="1" applyBorder="1" applyAlignment="1">
      <alignment horizontal="center" vertical="center"/>
    </xf>
    <xf numFmtId="1" fontId="68" fillId="0" borderId="160" xfId="0" applyNumberFormat="1" applyFont="1" applyBorder="1" applyAlignment="1">
      <alignment horizontal="center" vertical="center"/>
    </xf>
    <xf numFmtId="1" fontId="7" fillId="0" borderId="3" xfId="0" applyNumberFormat="1" applyFont="1" applyBorder="1" applyAlignment="1">
      <alignment horizontal="center" vertical="center"/>
    </xf>
    <xf numFmtId="1" fontId="7" fillId="0" borderId="36" xfId="0" applyNumberFormat="1" applyFont="1" applyBorder="1" applyAlignment="1">
      <alignment horizontal="center" vertical="center"/>
    </xf>
    <xf numFmtId="1" fontId="7" fillId="0" borderId="199" xfId="0" applyNumberFormat="1" applyFont="1" applyBorder="1" applyAlignment="1">
      <alignment horizontal="center" vertical="center"/>
    </xf>
    <xf numFmtId="0" fontId="65" fillId="0" borderId="0" xfId="0" applyFont="1" applyAlignment="1">
      <alignment horizontal="center"/>
    </xf>
    <xf numFmtId="1" fontId="65" fillId="0" borderId="0" xfId="0" applyNumberFormat="1" applyFont="1" applyAlignment="1">
      <alignment horizontal="center"/>
    </xf>
    <xf numFmtId="1" fontId="71" fillId="0" borderId="0" xfId="0" applyNumberFormat="1" applyFont="1" applyAlignment="1">
      <alignment horizontal="left"/>
    </xf>
    <xf numFmtId="0" fontId="7" fillId="0" borderId="0" xfId="26" applyAlignment="1">
      <alignment vertical="center" wrapText="1"/>
    </xf>
    <xf numFmtId="3" fontId="51" fillId="34" borderId="127" xfId="5" applyFont="1" applyFill="1" applyBorder="1" applyAlignment="1">
      <alignment horizontal="right" vertical="center" wrapText="1"/>
    </xf>
    <xf numFmtId="4" fontId="7" fillId="34" borderId="127" xfId="7" applyFont="1" applyFill="1" applyBorder="1" applyAlignment="1">
      <alignment horizontal="right" vertical="center" wrapText="1"/>
    </xf>
    <xf numFmtId="4" fontId="31" fillId="0" borderId="125" xfId="7" applyFont="1" applyFill="1" applyBorder="1" applyAlignment="1">
      <alignment horizontal="right" vertical="center" wrapText="1"/>
    </xf>
    <xf numFmtId="0" fontId="7" fillId="0" borderId="125" xfId="10" applyFont="1" applyFill="1" applyBorder="1" applyAlignment="1">
      <alignment horizontal="right" vertical="center" wrapText="1"/>
    </xf>
    <xf numFmtId="0" fontId="19" fillId="0" borderId="0" xfId="8" applyFill="1" applyBorder="1" applyAlignment="1">
      <alignment wrapText="1"/>
    </xf>
    <xf numFmtId="0" fontId="7" fillId="0" borderId="0" xfId="26" applyAlignment="1">
      <alignment wrapText="1"/>
    </xf>
    <xf numFmtId="0" fontId="0" fillId="0" borderId="0" xfId="0" applyAlignment="1">
      <alignment wrapText="1"/>
    </xf>
    <xf numFmtId="0" fontId="0" fillId="0" borderId="0" xfId="26" applyFont="1"/>
    <xf numFmtId="2" fontId="7" fillId="0" borderId="0" xfId="26" applyNumberFormat="1"/>
    <xf numFmtId="2" fontId="0" fillId="0" borderId="0" xfId="26" applyNumberFormat="1" applyFont="1"/>
    <xf numFmtId="10" fontId="0" fillId="8" borderId="111" xfId="16" applyNumberFormat="1" applyFont="1" applyFill="1" applyBorder="1" applyAlignment="1">
      <alignment horizontal="center"/>
    </xf>
    <xf numFmtId="189" fontId="7" fillId="24" borderId="19" xfId="0" applyNumberFormat="1" applyFont="1" applyFill="1" applyBorder="1" applyAlignment="1">
      <alignment horizontal="center"/>
    </xf>
    <xf numFmtId="188" fontId="0" fillId="8" borderId="112" xfId="0" applyNumberFormat="1" applyFill="1" applyBorder="1" applyAlignment="1">
      <alignment horizontal="right" vertical="center"/>
    </xf>
    <xf numFmtId="0" fontId="0" fillId="0" borderId="0" xfId="0" applyAlignment="1">
      <alignment vertical="center" wrapText="1"/>
    </xf>
    <xf numFmtId="10" fontId="0" fillId="8" borderId="112" xfId="16" applyNumberFormat="1" applyFont="1" applyFill="1" applyBorder="1" applyAlignment="1">
      <alignment horizontal="center" vertical="center"/>
    </xf>
    <xf numFmtId="0" fontId="58" fillId="0" borderId="0" xfId="0" applyFont="1"/>
    <xf numFmtId="0" fontId="58" fillId="0" borderId="0" xfId="0" applyFont="1" applyAlignment="1">
      <alignment horizontal="center"/>
    </xf>
    <xf numFmtId="179" fontId="7" fillId="0" borderId="0" xfId="0" applyNumberFormat="1" applyFont="1"/>
    <xf numFmtId="177" fontId="7" fillId="0" borderId="0" xfId="0" applyNumberFormat="1" applyFont="1"/>
    <xf numFmtId="179" fontId="25" fillId="0" borderId="0" xfId="0" applyNumberFormat="1" applyFont="1"/>
    <xf numFmtId="180" fontId="7" fillId="24" borderId="19" xfId="16" applyNumberFormat="1" applyFont="1" applyFill="1" applyBorder="1" applyAlignment="1">
      <alignment horizontal="center"/>
    </xf>
    <xf numFmtId="188" fontId="0" fillId="8" borderId="112" xfId="0" applyNumberFormat="1" applyFill="1" applyBorder="1" applyAlignment="1">
      <alignment horizontal="center"/>
    </xf>
    <xf numFmtId="185" fontId="33" fillId="24" borderId="112" xfId="0" applyNumberFormat="1" applyFont="1" applyFill="1" applyBorder="1" applyAlignment="1">
      <alignment horizontal="center"/>
    </xf>
    <xf numFmtId="180" fontId="0" fillId="24" borderId="110" xfId="16" applyNumberFormat="1" applyFont="1" applyFill="1" applyBorder="1" applyAlignment="1">
      <alignment horizontal="center"/>
    </xf>
    <xf numFmtId="180" fontId="0" fillId="8" borderId="110" xfId="16" applyNumberFormat="1" applyFont="1" applyFill="1" applyBorder="1" applyAlignment="1">
      <alignment horizontal="center"/>
    </xf>
    <xf numFmtId="0" fontId="46" fillId="9" borderId="82" xfId="0" applyFont="1" applyFill="1" applyBorder="1" applyAlignment="1">
      <alignment horizontal="center" vertical="center"/>
    </xf>
    <xf numFmtId="0" fontId="46" fillId="31" borderId="82" xfId="0" applyFont="1" applyFill="1" applyBorder="1" applyAlignment="1">
      <alignment horizontal="center" vertical="center"/>
    </xf>
    <xf numFmtId="4" fontId="24" fillId="9" borderId="125" xfId="7" applyFont="1" applyFill="1" applyBorder="1" applyAlignment="1">
      <alignment horizontal="right" vertical="center"/>
    </xf>
    <xf numFmtId="0" fontId="7" fillId="12" borderId="125" xfId="10" applyFont="1" applyFill="1" applyBorder="1" applyAlignment="1">
      <alignment horizontal="right" vertical="center"/>
    </xf>
    <xf numFmtId="0" fontId="7" fillId="8" borderId="23" xfId="0" applyFont="1" applyFill="1" applyBorder="1" applyAlignment="1">
      <alignment horizontal="left" vertical="center" wrapText="1"/>
    </xf>
    <xf numFmtId="179" fontId="7" fillId="0" borderId="105" xfId="0" applyNumberFormat="1" applyFont="1" applyBorder="1" applyAlignment="1">
      <alignment horizontal="center"/>
    </xf>
    <xf numFmtId="0" fontId="0" fillId="0" borderId="207" xfId="0" applyBorder="1"/>
    <xf numFmtId="180" fontId="12" fillId="45" borderId="50" xfId="16" applyNumberFormat="1" applyFont="1" applyFill="1" applyBorder="1"/>
    <xf numFmtId="3" fontId="0" fillId="0" borderId="50" xfId="0" applyNumberFormat="1" applyBorder="1"/>
    <xf numFmtId="10" fontId="0" fillId="0" borderId="50" xfId="16" applyNumberFormat="1" applyFont="1" applyBorder="1"/>
    <xf numFmtId="0" fontId="12" fillId="0" borderId="50" xfId="0" applyFont="1" applyBorder="1"/>
    <xf numFmtId="10" fontId="0" fillId="0" borderId="50" xfId="0" applyNumberFormat="1" applyBorder="1"/>
    <xf numFmtId="180" fontId="0" fillId="0" borderId="50" xfId="16" applyNumberFormat="1" applyFont="1" applyBorder="1"/>
    <xf numFmtId="180" fontId="32" fillId="0" borderId="50" xfId="16" applyNumberFormat="1" applyFont="1" applyBorder="1" applyAlignment="1">
      <alignment horizontal="center" vertical="center"/>
    </xf>
    <xf numFmtId="10" fontId="0" fillId="0" borderId="0" xfId="16" applyNumberFormat="1" applyFont="1" applyBorder="1"/>
    <xf numFmtId="0" fontId="0" fillId="0" borderId="5" xfId="0" applyBorder="1"/>
    <xf numFmtId="0" fontId="0" fillId="17" borderId="50" xfId="0" applyFill="1" applyBorder="1"/>
    <xf numFmtId="0" fontId="12" fillId="17" borderId="50" xfId="0" applyFont="1" applyFill="1" applyBorder="1"/>
    <xf numFmtId="10" fontId="12" fillId="17" borderId="50" xfId="0" applyNumberFormat="1" applyFont="1" applyFill="1" applyBorder="1"/>
    <xf numFmtId="0" fontId="12" fillId="0" borderId="207" xfId="0" applyFont="1" applyBorder="1"/>
    <xf numFmtId="2" fontId="0" fillId="0" borderId="50" xfId="0" applyNumberFormat="1" applyBorder="1"/>
    <xf numFmtId="9" fontId="12" fillId="17" borderId="50" xfId="16" applyFont="1" applyFill="1" applyBorder="1"/>
    <xf numFmtId="180" fontId="12" fillId="17" borderId="50" xfId="16" applyNumberFormat="1" applyFont="1" applyFill="1" applyBorder="1"/>
    <xf numFmtId="10" fontId="12" fillId="17" borderId="50" xfId="16" applyNumberFormat="1" applyFont="1" applyFill="1" applyBorder="1"/>
    <xf numFmtId="3" fontId="68" fillId="0" borderId="50" xfId="0" applyNumberFormat="1" applyFont="1" applyBorder="1" applyAlignment="1">
      <alignment horizontal="center" vertical="center"/>
    </xf>
    <xf numFmtId="0" fontId="0" fillId="17" borderId="48" xfId="0" applyFill="1" applyBorder="1"/>
    <xf numFmtId="2" fontId="12" fillId="17" borderId="50" xfId="16" applyNumberFormat="1" applyFont="1" applyFill="1" applyBorder="1"/>
    <xf numFmtId="0" fontId="0" fillId="0" borderId="1" xfId="0" applyBorder="1"/>
    <xf numFmtId="10" fontId="0" fillId="0" borderId="3" xfId="0" applyNumberFormat="1" applyBorder="1"/>
    <xf numFmtId="0" fontId="0" fillId="31" borderId="78" xfId="0" applyFill="1" applyBorder="1" applyAlignment="1">
      <alignment horizontal="center"/>
    </xf>
    <xf numFmtId="0" fontId="7" fillId="17" borderId="50" xfId="0" applyFont="1" applyFill="1" applyBorder="1"/>
    <xf numFmtId="3" fontId="0" fillId="17" borderId="50" xfId="0" applyNumberFormat="1" applyFill="1" applyBorder="1"/>
    <xf numFmtId="0" fontId="7" fillId="0" borderId="50" xfId="0" applyFont="1" applyBorder="1"/>
    <xf numFmtId="9" fontId="0" fillId="46" borderId="50" xfId="0" applyNumberFormat="1" applyFill="1" applyBorder="1"/>
    <xf numFmtId="180" fontId="0" fillId="0" borderId="50" xfId="0" applyNumberFormat="1" applyBorder="1"/>
    <xf numFmtId="9" fontId="0" fillId="0" borderId="50" xfId="0" applyNumberFormat="1" applyBorder="1"/>
    <xf numFmtId="0" fontId="12" fillId="17" borderId="1" xfId="0" applyFont="1" applyFill="1" applyBorder="1"/>
    <xf numFmtId="0" fontId="9" fillId="0" borderId="0" xfId="11" applyAlignment="1" applyProtection="1"/>
    <xf numFmtId="0" fontId="0" fillId="17" borderId="50" xfId="0" applyFill="1" applyBorder="1" applyAlignment="1">
      <alignment horizontal="center" vertical="center"/>
    </xf>
    <xf numFmtId="0" fontId="0" fillId="17" borderId="0" xfId="0" applyFill="1"/>
    <xf numFmtId="9" fontId="12" fillId="0" borderId="50" xfId="0" applyNumberFormat="1" applyFont="1" applyBorder="1"/>
    <xf numFmtId="0" fontId="0" fillId="0" borderId="54" xfId="0" applyBorder="1" applyAlignment="1">
      <alignment horizontal="right"/>
    </xf>
    <xf numFmtId="0" fontId="0" fillId="0" borderId="0" xfId="0" applyAlignment="1">
      <alignment horizontal="right" vertical="center"/>
    </xf>
    <xf numFmtId="190" fontId="0" fillId="32" borderId="112" xfId="0" applyNumberFormat="1" applyFill="1" applyBorder="1" applyAlignment="1">
      <alignment horizontal="center"/>
    </xf>
    <xf numFmtId="0" fontId="0" fillId="32" borderId="111" xfId="0" applyFill="1" applyBorder="1" applyAlignment="1">
      <alignment horizontal="center"/>
    </xf>
    <xf numFmtId="0" fontId="0" fillId="32" borderId="78" xfId="0" applyFill="1" applyBorder="1"/>
    <xf numFmtId="10" fontId="0" fillId="0" borderId="208" xfId="16" applyNumberFormat="1" applyFont="1" applyBorder="1"/>
    <xf numFmtId="1" fontId="53" fillId="0" borderId="34" xfId="0" applyNumberFormat="1" applyFont="1" applyBorder="1" applyAlignment="1">
      <alignment horizontal="center" vertical="center"/>
    </xf>
    <xf numFmtId="2" fontId="12" fillId="17" borderId="50" xfId="0" applyNumberFormat="1" applyFont="1" applyFill="1" applyBorder="1"/>
    <xf numFmtId="0" fontId="12" fillId="0" borderId="50" xfId="0" applyFont="1" applyBorder="1" applyAlignment="1">
      <alignment horizontal="center" vertical="center"/>
    </xf>
    <xf numFmtId="0" fontId="7" fillId="12" borderId="19" xfId="0" applyFont="1" applyFill="1" applyBorder="1" applyAlignment="1">
      <alignment horizontal="center"/>
    </xf>
    <xf numFmtId="0" fontId="7" fillId="28" borderId="19" xfId="0" applyFont="1" applyFill="1" applyBorder="1" applyAlignment="1">
      <alignment horizontal="center"/>
    </xf>
    <xf numFmtId="10" fontId="34" fillId="0" borderId="0" xfId="0" applyNumberFormat="1" applyFont="1"/>
    <xf numFmtId="185" fontId="0" fillId="0" borderId="111" xfId="0" applyNumberFormat="1" applyBorder="1" applyAlignment="1">
      <alignment horizontal="center"/>
    </xf>
    <xf numFmtId="0" fontId="0" fillId="32" borderId="110" xfId="0" applyFill="1" applyBorder="1" applyAlignment="1">
      <alignment horizontal="center"/>
    </xf>
    <xf numFmtId="185" fontId="0" fillId="0" borderId="210" xfId="0" applyNumberFormat="1" applyBorder="1" applyAlignment="1">
      <alignment horizontal="center"/>
    </xf>
    <xf numFmtId="185" fontId="0" fillId="0" borderId="211" xfId="0" applyNumberFormat="1" applyBorder="1" applyAlignment="1">
      <alignment horizontal="center"/>
    </xf>
    <xf numFmtId="185" fontId="0" fillId="0" borderId="209" xfId="0" applyNumberFormat="1" applyBorder="1" applyAlignment="1">
      <alignment horizontal="center"/>
    </xf>
    <xf numFmtId="188" fontId="0" fillId="8" borderId="112" xfId="0" applyNumberFormat="1" applyFill="1" applyBorder="1"/>
    <xf numFmtId="188" fontId="0" fillId="8" borderId="0" xfId="0" applyNumberFormat="1" applyFill="1"/>
    <xf numFmtId="188" fontId="0" fillId="8" borderId="111" xfId="0" applyNumberFormat="1" applyFill="1" applyBorder="1" applyAlignment="1">
      <alignment horizontal="right" vertical="center"/>
    </xf>
    <xf numFmtId="10" fontId="0" fillId="8" borderId="0" xfId="16" applyNumberFormat="1" applyFont="1" applyFill="1" applyBorder="1" applyAlignment="1">
      <alignment horizontal="center" vertical="center"/>
    </xf>
    <xf numFmtId="0" fontId="0" fillId="0" borderId="110" xfId="0" applyBorder="1"/>
    <xf numFmtId="10" fontId="0" fillId="0" borderId="212" xfId="0" applyNumberFormat="1" applyBorder="1" applyAlignment="1">
      <alignment horizontal="center"/>
    </xf>
    <xf numFmtId="0" fontId="0" fillId="0" borderId="210" xfId="0" applyBorder="1"/>
    <xf numFmtId="0" fontId="0" fillId="0" borderId="213" xfId="0" applyBorder="1"/>
    <xf numFmtId="10" fontId="0" fillId="0" borderId="214" xfId="0" applyNumberFormat="1" applyBorder="1" applyAlignment="1">
      <alignment horizontal="center" vertical="center"/>
    </xf>
    <xf numFmtId="191" fontId="0" fillId="0" borderId="0" xfId="0" applyNumberFormat="1"/>
    <xf numFmtId="180" fontId="70" fillId="35" borderId="125" xfId="16" applyNumberFormat="1" applyFont="1" applyFill="1" applyBorder="1"/>
    <xf numFmtId="0" fontId="46" fillId="5" borderId="217" xfId="0" applyFont="1" applyFill="1" applyBorder="1" applyAlignment="1">
      <alignment horizontal="center"/>
    </xf>
    <xf numFmtId="0" fontId="26" fillId="32" borderId="218" xfId="0" applyFont="1" applyFill="1" applyBorder="1" applyAlignment="1">
      <alignment horizontal="center"/>
    </xf>
    <xf numFmtId="0" fontId="0" fillId="8" borderId="218" xfId="0" applyFill="1" applyBorder="1" applyAlignment="1">
      <alignment vertical="center" wrapText="1"/>
    </xf>
    <xf numFmtId="0" fontId="46" fillId="5" borderId="218" xfId="0" applyFont="1" applyFill="1" applyBorder="1" applyAlignment="1">
      <alignment horizontal="center"/>
    </xf>
    <xf numFmtId="0" fontId="0" fillId="8" borderId="218" xfId="0" applyFill="1" applyBorder="1" applyAlignment="1">
      <alignment horizontal="left" wrapText="1"/>
    </xf>
    <xf numFmtId="9" fontId="7" fillId="47" borderId="111" xfId="16" applyFont="1" applyFill="1" applyBorder="1" applyAlignment="1">
      <alignment horizontal="center"/>
    </xf>
    <xf numFmtId="2" fontId="7" fillId="47" borderId="112" xfId="0" applyNumberFormat="1" applyFont="1" applyFill="1" applyBorder="1" applyAlignment="1">
      <alignment horizontal="center" vertical="center"/>
    </xf>
    <xf numFmtId="2" fontId="7" fillId="47" borderId="110" xfId="0" applyNumberFormat="1" applyFont="1" applyFill="1" applyBorder="1" applyAlignment="1">
      <alignment horizontal="center"/>
    </xf>
    <xf numFmtId="2" fontId="7" fillId="47" borderId="112" xfId="0" applyNumberFormat="1" applyFont="1" applyFill="1" applyBorder="1" applyAlignment="1">
      <alignment horizontal="center"/>
    </xf>
    <xf numFmtId="10" fontId="7" fillId="47" borderId="111" xfId="16" applyNumberFormat="1" applyFont="1" applyFill="1" applyBorder="1" applyAlignment="1">
      <alignment horizontal="center"/>
    </xf>
    <xf numFmtId="181" fontId="7" fillId="47" borderId="110" xfId="0" applyNumberFormat="1" applyFont="1" applyFill="1" applyBorder="1" applyAlignment="1">
      <alignment horizontal="center"/>
    </xf>
    <xf numFmtId="0" fontId="0" fillId="0" borderId="219" xfId="0" applyBorder="1"/>
    <xf numFmtId="185" fontId="0" fillId="0" borderId="0" xfId="0" applyNumberFormat="1"/>
    <xf numFmtId="0" fontId="46" fillId="16" borderId="84" xfId="0" applyFont="1" applyFill="1" applyBorder="1" applyAlignment="1">
      <alignment horizontal="center" vertical="center" wrapText="1"/>
    </xf>
    <xf numFmtId="185" fontId="0" fillId="0" borderId="220" xfId="0" applyNumberFormat="1" applyBorder="1" applyAlignment="1">
      <alignment horizontal="center"/>
    </xf>
    <xf numFmtId="191" fontId="62" fillId="8" borderId="55" xfId="0" applyNumberFormat="1" applyFont="1" applyFill="1" applyBorder="1" applyAlignment="1">
      <alignment horizontal="center"/>
    </xf>
    <xf numFmtId="191" fontId="62" fillId="8" borderId="221" xfId="0" applyNumberFormat="1" applyFont="1" applyFill="1" applyBorder="1" applyAlignment="1">
      <alignment horizontal="center"/>
    </xf>
    <xf numFmtId="191" fontId="7" fillId="0" borderId="222" xfId="0" applyNumberFormat="1" applyFont="1" applyBorder="1" applyAlignment="1">
      <alignment horizontal="center"/>
    </xf>
    <xf numFmtId="191" fontId="62" fillId="0" borderId="221" xfId="0" applyNumberFormat="1" applyFont="1" applyBorder="1" applyAlignment="1">
      <alignment horizontal="center"/>
    </xf>
    <xf numFmtId="191" fontId="7" fillId="32" borderId="221" xfId="0" applyNumberFormat="1" applyFont="1" applyFill="1" applyBorder="1" applyAlignment="1">
      <alignment horizontal="center"/>
    </xf>
    <xf numFmtId="191" fontId="62" fillId="0" borderId="55" xfId="0" applyNumberFormat="1" applyFont="1" applyBorder="1" applyAlignment="1">
      <alignment horizontal="center"/>
    </xf>
    <xf numFmtId="192" fontId="62" fillId="0" borderId="55" xfId="0" applyNumberFormat="1" applyFont="1" applyBorder="1" applyAlignment="1">
      <alignment horizontal="center"/>
    </xf>
    <xf numFmtId="185" fontId="0" fillId="0" borderId="223" xfId="0" applyNumberFormat="1" applyBorder="1" applyAlignment="1">
      <alignment horizontal="center"/>
    </xf>
    <xf numFmtId="185" fontId="0" fillId="0" borderId="118" xfId="0" applyNumberFormat="1" applyBorder="1" applyAlignment="1">
      <alignment horizontal="center"/>
    </xf>
    <xf numFmtId="185" fontId="0" fillId="0" borderId="85" xfId="0" applyNumberFormat="1" applyBorder="1" applyAlignment="1">
      <alignment horizontal="center"/>
    </xf>
    <xf numFmtId="191" fontId="62" fillId="8" borderId="86" xfId="0" applyNumberFormat="1" applyFont="1" applyFill="1" applyBorder="1" applyAlignment="1">
      <alignment horizontal="center"/>
    </xf>
    <xf numFmtId="0" fontId="0" fillId="0" borderId="125" xfId="26" applyFont="1" applyBorder="1" applyAlignment="1">
      <alignment vertical="center"/>
    </xf>
    <xf numFmtId="4" fontId="0" fillId="0" borderId="0" xfId="7" applyFont="1" applyFill="1" applyBorder="1">
      <alignment horizontal="right"/>
    </xf>
    <xf numFmtId="0" fontId="7" fillId="0" borderId="0" xfId="0" applyFont="1" applyAlignment="1">
      <alignment wrapText="1"/>
    </xf>
    <xf numFmtId="0" fontId="0" fillId="12" borderId="19" xfId="0" applyFill="1" applyBorder="1" applyAlignment="1">
      <alignment horizontal="center"/>
    </xf>
    <xf numFmtId="0" fontId="19" fillId="0" borderId="0" xfId="8" applyFill="1" applyBorder="1" applyAlignment="1">
      <alignment horizontal="right"/>
    </xf>
    <xf numFmtId="0" fontId="7" fillId="0" borderId="0" xfId="26" applyAlignment="1">
      <alignment horizontal="right"/>
    </xf>
    <xf numFmtId="0" fontId="7" fillId="0" borderId="0" xfId="0" applyFont="1" applyAlignment="1">
      <alignment horizontal="right" vertical="center" wrapText="1"/>
    </xf>
    <xf numFmtId="182" fontId="7" fillId="8" borderId="125" xfId="6" applyFont="1" applyFill="1" applyBorder="1" applyAlignment="1">
      <alignment horizontal="right" wrapText="1"/>
    </xf>
    <xf numFmtId="0" fontId="7" fillId="0" borderId="0" xfId="0" applyFont="1" applyAlignment="1">
      <alignment horizontal="right"/>
    </xf>
    <xf numFmtId="9" fontId="7" fillId="8" borderId="26" xfId="0" applyNumberFormat="1" applyFont="1" applyFill="1" applyBorder="1" applyAlignment="1">
      <alignment horizontal="center" vertical="center"/>
    </xf>
    <xf numFmtId="9" fontId="0" fillId="0" borderId="96" xfId="16" applyFont="1" applyBorder="1" applyAlignment="1">
      <alignment horizontal="center"/>
    </xf>
    <xf numFmtId="9" fontId="53" fillId="0" borderId="0" xfId="16" applyFont="1"/>
    <xf numFmtId="193" fontId="25" fillId="18" borderId="110" xfId="16" applyNumberFormat="1" applyFont="1" applyFill="1" applyBorder="1" applyAlignment="1">
      <alignment horizontal="center"/>
    </xf>
    <xf numFmtId="2" fontId="0" fillId="0" borderId="0" xfId="0" applyNumberFormat="1"/>
    <xf numFmtId="9" fontId="0" fillId="0" borderId="50" xfId="16" applyFont="1" applyBorder="1"/>
    <xf numFmtId="3" fontId="34" fillId="12" borderId="0" xfId="0" applyNumberFormat="1" applyFont="1" applyFill="1" applyAlignment="1">
      <alignment horizontal="center" vertical="center"/>
    </xf>
    <xf numFmtId="180" fontId="12" fillId="12" borderId="1" xfId="16" applyNumberFormat="1" applyFont="1" applyFill="1" applyBorder="1" applyAlignment="1">
      <alignment horizontal="center"/>
    </xf>
    <xf numFmtId="0" fontId="26" fillId="9" borderId="198" xfId="0" applyFont="1" applyFill="1" applyBorder="1" applyAlignment="1">
      <alignment horizontal="center" vertical="center"/>
    </xf>
    <xf numFmtId="0" fontId="26" fillId="9" borderId="43" xfId="0" applyFont="1" applyFill="1" applyBorder="1" applyAlignment="1">
      <alignment horizontal="center" vertical="center"/>
    </xf>
    <xf numFmtId="0" fontId="46" fillId="5" borderId="57" xfId="0" applyFont="1" applyFill="1" applyBorder="1" applyAlignment="1">
      <alignment horizontal="center"/>
    </xf>
    <xf numFmtId="0" fontId="46" fillId="5" borderId="71" xfId="0" applyFont="1" applyFill="1" applyBorder="1" applyAlignment="1">
      <alignment horizontal="center"/>
    </xf>
    <xf numFmtId="0" fontId="7" fillId="0" borderId="179" xfId="0" applyFont="1" applyBorder="1" applyAlignment="1">
      <alignment horizontal="left" vertical="center" wrapText="1"/>
    </xf>
    <xf numFmtId="0" fontId="69" fillId="0" borderId="174" xfId="0" applyFont="1" applyBorder="1" applyAlignment="1">
      <alignment horizontal="left" vertical="center"/>
    </xf>
    <xf numFmtId="0" fontId="69" fillId="0" borderId="175" xfId="0" applyFont="1" applyBorder="1" applyAlignment="1">
      <alignment horizontal="left" vertical="center"/>
    </xf>
    <xf numFmtId="0" fontId="69" fillId="0" borderId="180" xfId="0" applyFont="1" applyBorder="1" applyAlignment="1">
      <alignment horizontal="left" vertical="center"/>
    </xf>
    <xf numFmtId="0" fontId="69" fillId="0" borderId="0" xfId="0" applyFont="1" applyAlignment="1">
      <alignment horizontal="left" vertical="center"/>
    </xf>
    <xf numFmtId="0" fontId="69" fillId="0" borderId="176" xfId="0" applyFont="1" applyBorder="1" applyAlignment="1">
      <alignment horizontal="left" vertical="center"/>
    </xf>
    <xf numFmtId="0" fontId="69" fillId="0" borderId="181" xfId="0" applyFont="1" applyBorder="1" applyAlignment="1">
      <alignment horizontal="left" vertical="center"/>
    </xf>
    <xf numFmtId="0" fontId="69" fillId="0" borderId="177" xfId="0" applyFont="1" applyBorder="1" applyAlignment="1">
      <alignment horizontal="left" vertical="center"/>
    </xf>
    <xf numFmtId="0" fontId="69" fillId="0" borderId="178" xfId="0" applyFont="1" applyBorder="1" applyAlignment="1">
      <alignment horizontal="left" vertical="center"/>
    </xf>
    <xf numFmtId="0" fontId="7" fillId="0" borderId="174" xfId="0" applyFont="1" applyBorder="1" applyAlignment="1">
      <alignment horizontal="left" vertical="center"/>
    </xf>
    <xf numFmtId="0" fontId="7" fillId="0" borderId="175" xfId="0" applyFont="1" applyBorder="1" applyAlignment="1">
      <alignment horizontal="left" vertical="center"/>
    </xf>
    <xf numFmtId="0" fontId="7" fillId="0" borderId="180" xfId="0" applyFont="1" applyBorder="1" applyAlignment="1">
      <alignment horizontal="left" vertical="center"/>
    </xf>
    <xf numFmtId="0" fontId="0" fillId="0" borderId="0" xfId="0" applyAlignment="1">
      <alignment horizontal="left" vertical="center"/>
    </xf>
    <xf numFmtId="0" fontId="7" fillId="0" borderId="176" xfId="0" applyFont="1" applyBorder="1" applyAlignment="1">
      <alignment horizontal="left" vertical="center"/>
    </xf>
    <xf numFmtId="0" fontId="7" fillId="0" borderId="181" xfId="0" applyFont="1" applyBorder="1" applyAlignment="1">
      <alignment horizontal="left" vertical="center"/>
    </xf>
    <xf numFmtId="0" fontId="7" fillId="0" borderId="177" xfId="0" applyFont="1" applyBorder="1" applyAlignment="1">
      <alignment horizontal="left" vertical="center"/>
    </xf>
    <xf numFmtId="0" fontId="7" fillId="0" borderId="178" xfId="0" applyFont="1" applyBorder="1" applyAlignment="1">
      <alignment horizontal="left" vertical="center"/>
    </xf>
    <xf numFmtId="0" fontId="26" fillId="32" borderId="57" xfId="0" applyFont="1" applyFill="1" applyBorder="1" applyAlignment="1">
      <alignment horizontal="center"/>
    </xf>
    <xf numFmtId="0" fontId="0" fillId="0" borderId="174" xfId="0" applyBorder="1" applyAlignment="1">
      <alignment horizontal="left" vertical="center" wrapText="1"/>
    </xf>
    <xf numFmtId="0" fontId="62" fillId="8" borderId="57" xfId="0" applyFont="1" applyFill="1" applyBorder="1" applyAlignment="1">
      <alignment horizontal="center"/>
    </xf>
    <xf numFmtId="0" fontId="26" fillId="8" borderId="57" xfId="0" applyFont="1" applyFill="1" applyBorder="1" applyAlignment="1">
      <alignment horizontal="center"/>
    </xf>
    <xf numFmtId="0" fontId="62" fillId="8" borderId="69" xfId="0" applyFont="1" applyFill="1" applyBorder="1" applyAlignment="1">
      <alignment horizontal="center"/>
    </xf>
    <xf numFmtId="0" fontId="26" fillId="8" borderId="69" xfId="0" applyFont="1" applyFill="1" applyBorder="1" applyAlignment="1">
      <alignment horizontal="center"/>
    </xf>
    <xf numFmtId="0" fontId="7" fillId="0" borderId="2" xfId="0" applyFont="1" applyBorder="1" applyAlignment="1">
      <alignment horizontal="left" vertical="top" wrapText="1"/>
    </xf>
    <xf numFmtId="0" fontId="7" fillId="0" borderId="70" xfId="0" applyFont="1" applyBorder="1" applyAlignment="1">
      <alignment horizontal="left" vertical="top" wrapText="1"/>
    </xf>
    <xf numFmtId="0" fontId="0" fillId="0" borderId="64" xfId="0" applyBorder="1" applyAlignment="1">
      <alignment horizontal="left" vertical="top" wrapText="1"/>
    </xf>
    <xf numFmtId="0" fontId="7" fillId="0" borderId="50" xfId="0" applyFont="1" applyBorder="1" applyAlignment="1">
      <alignment horizontal="left" vertical="top" wrapText="1"/>
    </xf>
    <xf numFmtId="0" fontId="7" fillId="0" borderId="65" xfId="0" applyFont="1" applyBorder="1" applyAlignment="1">
      <alignment horizontal="left" vertical="top" wrapText="1"/>
    </xf>
    <xf numFmtId="0" fontId="0" fillId="0" borderId="66" xfId="0"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46" fillId="5" borderId="56" xfId="0" applyFont="1" applyFill="1" applyBorder="1" applyAlignment="1">
      <alignment horizontal="center"/>
    </xf>
    <xf numFmtId="0" fontId="46" fillId="5" borderId="215" xfId="0" applyFont="1" applyFill="1" applyBorder="1" applyAlignment="1">
      <alignment horizontal="center"/>
    </xf>
    <xf numFmtId="0" fontId="46" fillId="5" borderId="27" xfId="0" applyFont="1" applyFill="1" applyBorder="1" applyAlignment="1">
      <alignment horizontal="center"/>
    </xf>
    <xf numFmtId="0" fontId="46" fillId="5" borderId="216" xfId="0" applyFont="1" applyFill="1" applyBorder="1" applyAlignment="1">
      <alignment horizontal="center"/>
    </xf>
    <xf numFmtId="0" fontId="46" fillId="5" borderId="35" xfId="0" applyFont="1" applyFill="1" applyBorder="1" applyAlignment="1">
      <alignment horizontal="center"/>
    </xf>
    <xf numFmtId="0" fontId="46" fillId="5" borderId="28" xfId="0" applyFont="1" applyFill="1" applyBorder="1" applyAlignment="1">
      <alignment horizontal="center"/>
    </xf>
    <xf numFmtId="0" fontId="46" fillId="5" borderId="29" xfId="0" applyFont="1" applyFill="1" applyBorder="1" applyAlignment="1">
      <alignment horizontal="center"/>
    </xf>
    <xf numFmtId="0" fontId="7" fillId="8" borderId="218" xfId="0" applyFont="1" applyFill="1" applyBorder="1" applyAlignment="1">
      <alignment horizontal="center" wrapText="1"/>
    </xf>
    <xf numFmtId="0" fontId="7" fillId="0" borderId="19" xfId="0" applyFont="1" applyBorder="1" applyAlignment="1">
      <alignment horizontal="left"/>
    </xf>
    <xf numFmtId="0" fontId="46" fillId="5" borderId="33" xfId="0" applyFont="1" applyFill="1" applyBorder="1" applyAlignment="1">
      <alignment horizontal="center"/>
    </xf>
    <xf numFmtId="0" fontId="46" fillId="5" borderId="45" xfId="0" applyFont="1" applyFill="1" applyBorder="1" applyAlignment="1">
      <alignment horizontal="center"/>
    </xf>
    <xf numFmtId="0" fontId="46" fillId="5" borderId="218" xfId="0" applyFont="1" applyFill="1" applyBorder="1" applyAlignment="1">
      <alignment horizontal="center"/>
    </xf>
    <xf numFmtId="0" fontId="26" fillId="32" borderId="218" xfId="0" applyFont="1" applyFill="1" applyBorder="1" applyAlignment="1">
      <alignment horizontal="center"/>
    </xf>
    <xf numFmtId="0" fontId="45" fillId="18" borderId="54" xfId="0" applyFont="1" applyFill="1" applyBorder="1" applyAlignment="1">
      <alignment horizontal="center"/>
    </xf>
    <xf numFmtId="0" fontId="45" fillId="18" borderId="0" xfId="0" applyFont="1" applyFill="1" applyAlignment="1">
      <alignment horizontal="center"/>
    </xf>
    <xf numFmtId="0" fontId="45" fillId="18" borderId="12" xfId="0" applyFont="1" applyFill="1" applyBorder="1" applyAlignment="1">
      <alignment horizontal="center"/>
    </xf>
    <xf numFmtId="0" fontId="33" fillId="8" borderId="218" xfId="0" applyFont="1" applyFill="1" applyBorder="1" applyAlignment="1">
      <alignment horizontal="center" vertical="center" wrapText="1"/>
    </xf>
    <xf numFmtId="0" fontId="7" fillId="8" borderId="218" xfId="0" applyFont="1" applyFill="1" applyBorder="1" applyAlignment="1">
      <alignment horizontal="center" vertical="center" wrapText="1"/>
    </xf>
    <xf numFmtId="0" fontId="26" fillId="32" borderId="71" xfId="0" applyFont="1" applyFill="1" applyBorder="1" applyAlignment="1">
      <alignment horizontal="center"/>
    </xf>
    <xf numFmtId="0" fontId="45" fillId="18" borderId="10" xfId="0" applyFont="1" applyFill="1" applyBorder="1" applyAlignment="1">
      <alignment horizontal="center"/>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6" fillId="5" borderId="46" xfId="0" applyFont="1" applyFill="1" applyBorder="1" applyAlignment="1">
      <alignment horizontal="center"/>
    </xf>
    <xf numFmtId="0" fontId="46" fillId="5" borderId="22" xfId="0" applyFont="1" applyFill="1" applyBorder="1" applyAlignment="1">
      <alignment horizontal="center"/>
    </xf>
    <xf numFmtId="0" fontId="46" fillId="5" borderId="19" xfId="0" applyFont="1" applyFill="1" applyBorder="1" applyAlignment="1">
      <alignment horizontal="center"/>
    </xf>
    <xf numFmtId="178" fontId="8" fillId="12" borderId="218" xfId="0" applyNumberFormat="1" applyFont="1" applyFill="1" applyBorder="1" applyAlignment="1">
      <alignment horizontal="center" vertical="center"/>
    </xf>
    <xf numFmtId="0" fontId="44" fillId="8" borderId="218" xfId="0" applyFont="1" applyFill="1" applyBorder="1" applyAlignment="1">
      <alignment horizontal="center" vertical="center" wrapText="1"/>
    </xf>
    <xf numFmtId="180" fontId="44" fillId="12" borderId="218" xfId="16" applyNumberFormat="1" applyFont="1" applyFill="1" applyBorder="1" applyAlignment="1">
      <alignment horizontal="center" vertical="center"/>
    </xf>
    <xf numFmtId="180" fontId="44" fillId="0" borderId="218" xfId="16" applyNumberFormat="1" applyFont="1" applyFill="1" applyBorder="1" applyAlignment="1">
      <alignment horizontal="center" vertical="center"/>
    </xf>
    <xf numFmtId="9" fontId="44" fillId="12" borderId="218" xfId="16" applyFont="1" applyFill="1" applyBorder="1" applyAlignment="1">
      <alignment horizontal="center" vertical="center"/>
    </xf>
    <xf numFmtId="0" fontId="12" fillId="0" borderId="24" xfId="0" applyFont="1" applyBorder="1" applyAlignment="1">
      <alignment horizontal="center"/>
    </xf>
    <xf numFmtId="0" fontId="12" fillId="0" borderId="25" xfId="0" applyFont="1" applyBorder="1" applyAlignment="1">
      <alignment horizontal="center"/>
    </xf>
    <xf numFmtId="0" fontId="7" fillId="8" borderId="26" xfId="0" applyFont="1" applyFill="1" applyBorder="1" applyAlignment="1">
      <alignment horizontal="left" vertical="center"/>
    </xf>
    <xf numFmtId="0" fontId="7" fillId="8" borderId="25" xfId="0" applyFont="1" applyFill="1" applyBorder="1" applyAlignment="1">
      <alignment horizontal="left" vertical="center"/>
    </xf>
    <xf numFmtId="9" fontId="12" fillId="8" borderId="26" xfId="16" applyFont="1" applyFill="1" applyBorder="1" applyAlignment="1">
      <alignment horizontal="left"/>
    </xf>
    <xf numFmtId="9" fontId="12" fillId="8" borderId="25" xfId="16" applyFont="1" applyFill="1" applyBorder="1" applyAlignment="1">
      <alignment horizontal="left"/>
    </xf>
    <xf numFmtId="0" fontId="8" fillId="23" borderId="218" xfId="0" applyFont="1" applyFill="1" applyBorder="1" applyAlignment="1">
      <alignment horizontal="center" vertical="center" wrapText="1"/>
    </xf>
    <xf numFmtId="0" fontId="0" fillId="8" borderId="218" xfId="0" applyFill="1" applyBorder="1" applyAlignment="1">
      <alignment horizontal="center" vertical="center" wrapText="1"/>
    </xf>
    <xf numFmtId="0" fontId="8" fillId="0" borderId="60" xfId="0" applyFont="1" applyBorder="1" applyAlignment="1">
      <alignment horizontal="center" vertical="center"/>
    </xf>
    <xf numFmtId="0" fontId="8" fillId="0" borderId="18" xfId="0" applyFont="1" applyBorder="1" applyAlignment="1">
      <alignment horizontal="center" vertical="center"/>
    </xf>
    <xf numFmtId="0" fontId="8" fillId="0" borderId="61" xfId="0" applyFont="1" applyBorder="1" applyAlignment="1">
      <alignment horizontal="center" vertical="center"/>
    </xf>
    <xf numFmtId="0" fontId="26" fillId="32" borderId="35" xfId="0" applyFont="1" applyFill="1" applyBorder="1" applyAlignment="1">
      <alignment horizontal="center"/>
    </xf>
    <xf numFmtId="0" fontId="26" fillId="32" borderId="28" xfId="0" applyFont="1" applyFill="1" applyBorder="1" applyAlignment="1">
      <alignment horizontal="center"/>
    </xf>
    <xf numFmtId="0" fontId="26" fillId="32" borderId="26" xfId="0" applyFont="1" applyFill="1" applyBorder="1" applyAlignment="1">
      <alignment horizontal="center"/>
    </xf>
    <xf numFmtId="0" fontId="26" fillId="32" borderId="24" xfId="0" applyFont="1" applyFill="1" applyBorder="1" applyAlignment="1">
      <alignment horizontal="center"/>
    </xf>
    <xf numFmtId="14" fontId="12" fillId="0" borderId="26" xfId="0" applyNumberFormat="1" applyFont="1" applyBorder="1" applyAlignment="1">
      <alignment horizontal="center"/>
    </xf>
    <xf numFmtId="14" fontId="12" fillId="0" borderId="25" xfId="0" applyNumberFormat="1" applyFont="1" applyBorder="1" applyAlignment="1">
      <alignment horizontal="center"/>
    </xf>
    <xf numFmtId="0" fontId="7" fillId="0" borderId="19" xfId="0" quotePrefix="1" applyFont="1" applyBorder="1" applyAlignment="1">
      <alignment horizontal="left"/>
    </xf>
    <xf numFmtId="0" fontId="66" fillId="8" borderId="19" xfId="0" applyFont="1" applyFill="1" applyBorder="1" applyAlignment="1">
      <alignment horizontal="center" vertical="center" wrapText="1"/>
    </xf>
    <xf numFmtId="0" fontId="46" fillId="31" borderId="30" xfId="0" applyFont="1" applyFill="1" applyBorder="1" applyAlignment="1">
      <alignment horizontal="center" vertical="center" wrapText="1"/>
    </xf>
    <xf numFmtId="0" fontId="46" fillId="31" borderId="58" xfId="0" applyFont="1" applyFill="1" applyBorder="1" applyAlignment="1">
      <alignment horizontal="center" vertical="center" wrapText="1"/>
    </xf>
    <xf numFmtId="0" fontId="46" fillId="5" borderId="51" xfId="0" applyFont="1" applyFill="1" applyBorder="1" applyAlignment="1">
      <alignment horizontal="center"/>
    </xf>
    <xf numFmtId="0" fontId="46" fillId="5" borderId="52" xfId="0" applyFont="1" applyFill="1" applyBorder="1" applyAlignment="1">
      <alignment horizontal="center"/>
    </xf>
    <xf numFmtId="0" fontId="46" fillId="5" borderId="53" xfId="0" applyFont="1" applyFill="1" applyBorder="1" applyAlignment="1">
      <alignment horizontal="center"/>
    </xf>
    <xf numFmtId="0" fontId="7" fillId="0" borderId="26" xfId="0" applyFont="1" applyBorder="1" applyAlignment="1">
      <alignment horizontal="left" vertical="center"/>
    </xf>
    <xf numFmtId="0" fontId="7" fillId="0" borderId="25" xfId="0" applyFont="1" applyBorder="1" applyAlignment="1">
      <alignment horizontal="left" vertical="center"/>
    </xf>
    <xf numFmtId="0" fontId="46" fillId="31" borderId="56" xfId="0" applyFont="1" applyFill="1" applyBorder="1" applyAlignment="1">
      <alignment horizontal="center"/>
    </xf>
    <xf numFmtId="0" fontId="46" fillId="31" borderId="57" xfId="0" applyFont="1" applyFill="1" applyBorder="1" applyAlignment="1">
      <alignment horizontal="center"/>
    </xf>
    <xf numFmtId="0" fontId="12" fillId="0" borderId="218" xfId="0" applyFont="1" applyBorder="1" applyAlignment="1">
      <alignment horizontal="center" vertical="center" wrapText="1"/>
    </xf>
    <xf numFmtId="0" fontId="7" fillId="0" borderId="72" xfId="0" applyFont="1" applyBorder="1" applyAlignment="1">
      <alignment horizontal="left"/>
    </xf>
    <xf numFmtId="0" fontId="7" fillId="0" borderId="73" xfId="0" applyFont="1" applyBorder="1" applyAlignment="1">
      <alignment horizontal="left"/>
    </xf>
    <xf numFmtId="0" fontId="7" fillId="0" borderId="72" xfId="0" applyFont="1" applyBorder="1" applyAlignment="1">
      <alignment horizontal="left" indent="1"/>
    </xf>
    <xf numFmtId="0" fontId="7" fillId="0" borderId="73" xfId="0" applyFont="1" applyBorder="1" applyAlignment="1">
      <alignment horizontal="left" indent="1"/>
    </xf>
    <xf numFmtId="0" fontId="12" fillId="0" borderId="72" xfId="0" applyFont="1" applyBorder="1" applyAlignment="1">
      <alignment horizontal="left"/>
    </xf>
    <xf numFmtId="0" fontId="12" fillId="0" borderId="73" xfId="0" applyFont="1" applyBorder="1" applyAlignment="1">
      <alignment horizontal="left"/>
    </xf>
    <xf numFmtId="0" fontId="0" fillId="0" borderId="72" xfId="0" applyBorder="1" applyAlignment="1">
      <alignment horizontal="left"/>
    </xf>
    <xf numFmtId="0" fontId="0" fillId="0" borderId="73" xfId="0" applyBorder="1" applyAlignment="1">
      <alignment horizontal="left"/>
    </xf>
    <xf numFmtId="0" fontId="7" fillId="16" borderId="72" xfId="0" applyFont="1" applyFill="1" applyBorder="1" applyAlignment="1">
      <alignment horizontal="left"/>
    </xf>
    <xf numFmtId="0" fontId="7" fillId="16" borderId="73" xfId="0" applyFont="1" applyFill="1" applyBorder="1" applyAlignment="1">
      <alignment horizontal="left"/>
    </xf>
    <xf numFmtId="0" fontId="26" fillId="32" borderId="56" xfId="0" applyFont="1" applyFill="1" applyBorder="1" applyAlignment="1">
      <alignment horizontal="center"/>
    </xf>
    <xf numFmtId="0" fontId="0" fillId="0" borderId="177" xfId="0" applyBorder="1" applyAlignment="1">
      <alignment horizontal="left" vertical="center"/>
    </xf>
    <xf numFmtId="0" fontId="12" fillId="0" borderId="54" xfId="0" applyFont="1" applyBorder="1" applyAlignment="1">
      <alignment horizontal="center" vertical="center" wrapText="1"/>
    </xf>
    <xf numFmtId="0" fontId="0" fillId="0" borderId="0" xfId="0" applyAlignment="1">
      <alignment horizontal="center" vertical="center" wrapText="1"/>
    </xf>
    <xf numFmtId="0" fontId="0" fillId="0" borderId="55" xfId="0" applyBorder="1" applyAlignment="1">
      <alignment horizontal="center" vertical="center" wrapText="1"/>
    </xf>
    <xf numFmtId="0" fontId="0" fillId="0" borderId="54" xfId="0" applyBorder="1" applyAlignment="1">
      <alignment horizontal="center" vertical="center" wrapText="1"/>
    </xf>
    <xf numFmtId="0" fontId="12" fillId="0" borderId="95" xfId="0" applyFont="1" applyBorder="1" applyAlignment="1">
      <alignment horizontal="center"/>
    </xf>
    <xf numFmtId="0" fontId="12" fillId="0" borderId="97" xfId="0" applyFont="1" applyBorder="1" applyAlignment="1">
      <alignment horizontal="center"/>
    </xf>
    <xf numFmtId="0" fontId="12" fillId="0" borderId="96" xfId="0" applyFont="1" applyBorder="1" applyAlignment="1">
      <alignment horizontal="center"/>
    </xf>
    <xf numFmtId="0" fontId="30" fillId="5" borderId="82" xfId="0" applyFont="1" applyFill="1" applyBorder="1" applyAlignment="1">
      <alignment horizontal="center" vertical="center"/>
    </xf>
    <xf numFmtId="0" fontId="30" fillId="5" borderId="83" xfId="0" applyFont="1" applyFill="1" applyBorder="1" applyAlignment="1">
      <alignment horizontal="center" vertical="center"/>
    </xf>
    <xf numFmtId="0" fontId="30" fillId="5" borderId="86" xfId="0" applyFont="1" applyFill="1" applyBorder="1" applyAlignment="1">
      <alignment horizontal="center" vertical="center"/>
    </xf>
    <xf numFmtId="0" fontId="12" fillId="0" borderId="92" xfId="0" applyFont="1" applyBorder="1" applyAlignment="1">
      <alignment horizontal="center"/>
    </xf>
    <xf numFmtId="0" fontId="12" fillId="0" borderId="94" xfId="0" applyFont="1" applyBorder="1" applyAlignment="1">
      <alignment horizontal="center"/>
    </xf>
    <xf numFmtId="0" fontId="12" fillId="0" borderId="93" xfId="0" applyFont="1" applyBorder="1" applyAlignment="1">
      <alignment horizontal="center"/>
    </xf>
    <xf numFmtId="10" fontId="12" fillId="0" borderId="92" xfId="16" applyNumberFormat="1" applyFont="1" applyBorder="1" applyAlignment="1">
      <alignment horizontal="center"/>
    </xf>
    <xf numFmtId="10" fontId="12" fillId="0" borderId="94" xfId="16" applyNumberFormat="1" applyFont="1" applyBorder="1" applyAlignment="1">
      <alignment horizontal="center"/>
    </xf>
    <xf numFmtId="10" fontId="12" fillId="0" borderId="93" xfId="16" applyNumberFormat="1" applyFont="1" applyBorder="1" applyAlignment="1">
      <alignment horizontal="center"/>
    </xf>
    <xf numFmtId="0" fontId="12" fillId="14" borderId="82" xfId="0" applyFont="1" applyFill="1" applyBorder="1" applyAlignment="1">
      <alignment horizontal="center"/>
    </xf>
    <xf numFmtId="0" fontId="12" fillId="14" borderId="83" xfId="0" applyFont="1" applyFill="1" applyBorder="1" applyAlignment="1">
      <alignment horizontal="center"/>
    </xf>
    <xf numFmtId="0" fontId="12" fillId="14" borderId="84" xfId="0" applyFont="1" applyFill="1" applyBorder="1" applyAlignment="1">
      <alignment horizontal="center"/>
    </xf>
    <xf numFmtId="0" fontId="12" fillId="24" borderId="87" xfId="0" applyFont="1" applyFill="1" applyBorder="1" applyAlignment="1">
      <alignment horizontal="center"/>
    </xf>
    <xf numFmtId="0" fontId="12" fillId="24" borderId="88" xfId="0" applyFont="1" applyFill="1" applyBorder="1" applyAlignment="1">
      <alignment horizontal="center"/>
    </xf>
    <xf numFmtId="0" fontId="9" fillId="0" borderId="92" xfId="11" applyBorder="1" applyAlignment="1" applyProtection="1">
      <alignment horizontal="center"/>
    </xf>
    <xf numFmtId="0" fontId="9" fillId="0" borderId="93" xfId="11" applyBorder="1" applyAlignment="1" applyProtection="1">
      <alignment horizontal="center"/>
    </xf>
    <xf numFmtId="0" fontId="30" fillId="5" borderId="82" xfId="0" applyFont="1" applyFill="1" applyBorder="1" applyAlignment="1">
      <alignment horizontal="center"/>
    </xf>
    <xf numFmtId="0" fontId="30" fillId="5" borderId="83" xfId="0" applyFont="1" applyFill="1" applyBorder="1" applyAlignment="1">
      <alignment horizontal="center"/>
    </xf>
    <xf numFmtId="0" fontId="30" fillId="5" borderId="84" xfId="0" applyFont="1" applyFill="1" applyBorder="1" applyAlignment="1">
      <alignment horizontal="center"/>
    </xf>
    <xf numFmtId="0" fontId="0" fillId="0" borderId="92" xfId="0" applyBorder="1" applyAlignment="1">
      <alignment horizontal="center" vertical="center"/>
    </xf>
    <xf numFmtId="0" fontId="0" fillId="0" borderId="93" xfId="0" applyBorder="1" applyAlignment="1">
      <alignment horizontal="center" vertical="center"/>
    </xf>
    <xf numFmtId="10" fontId="12" fillId="0" borderId="95" xfId="16" applyNumberFormat="1" applyFont="1" applyBorder="1" applyAlignment="1">
      <alignment horizontal="center"/>
    </xf>
    <xf numFmtId="10" fontId="12" fillId="0" borderId="97" xfId="16" applyNumberFormat="1" applyFont="1" applyBorder="1" applyAlignment="1">
      <alignment horizontal="center"/>
    </xf>
    <xf numFmtId="10" fontId="12" fillId="0" borderId="96" xfId="16" applyNumberFormat="1" applyFont="1" applyBorder="1" applyAlignment="1">
      <alignment horizontal="center"/>
    </xf>
    <xf numFmtId="0" fontId="8" fillId="0" borderId="82" xfId="0" applyFont="1" applyBorder="1" applyAlignment="1">
      <alignment horizontal="center" vertical="center"/>
    </xf>
    <xf numFmtId="0" fontId="8" fillId="0" borderId="84" xfId="0" applyFont="1" applyBorder="1" applyAlignment="1">
      <alignment horizontal="center" vertical="center"/>
    </xf>
    <xf numFmtId="0" fontId="0" fillId="0" borderId="95" xfId="0" applyBorder="1" applyAlignment="1">
      <alignment horizontal="center" vertical="center"/>
    </xf>
    <xf numFmtId="0" fontId="0" fillId="0" borderId="96" xfId="0" applyBorder="1" applyAlignment="1">
      <alignment horizontal="center" vertical="center"/>
    </xf>
    <xf numFmtId="0" fontId="7" fillId="0" borderId="92"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93" xfId="0" applyFont="1" applyBorder="1" applyAlignment="1">
      <alignment horizontal="center" vertical="center" wrapText="1"/>
    </xf>
    <xf numFmtId="0" fontId="33" fillId="0" borderId="108" xfId="0" applyFont="1" applyBorder="1" applyAlignment="1">
      <alignment horizontal="center" vertical="center" wrapText="1"/>
    </xf>
    <xf numFmtId="0" fontId="0" fillId="0" borderId="42" xfId="0" applyBorder="1" applyAlignment="1">
      <alignment horizontal="center" vertical="center" wrapText="1"/>
    </xf>
    <xf numFmtId="0" fontId="0" fillId="0" borderId="109" xfId="0" applyBorder="1" applyAlignment="1">
      <alignment horizontal="center" vertical="center" wrapText="1"/>
    </xf>
    <xf numFmtId="0" fontId="0" fillId="0" borderId="81" xfId="0" applyBorder="1" applyAlignment="1">
      <alignment horizontal="center" vertical="center" wrapText="1"/>
    </xf>
    <xf numFmtId="0" fontId="12" fillId="24" borderId="89" xfId="0" applyFont="1" applyFill="1" applyBorder="1" applyAlignment="1">
      <alignment horizontal="center"/>
    </xf>
    <xf numFmtId="0" fontId="12" fillId="24" borderId="90" xfId="0" applyFont="1" applyFill="1" applyBorder="1" applyAlignment="1">
      <alignment horizontal="center"/>
    </xf>
    <xf numFmtId="0" fontId="12" fillId="24" borderId="91" xfId="0" applyFont="1" applyFill="1" applyBorder="1" applyAlignment="1">
      <alignment horizontal="center"/>
    </xf>
    <xf numFmtId="0" fontId="30" fillId="5" borderId="54" xfId="0" applyFont="1" applyFill="1" applyBorder="1" applyAlignment="1">
      <alignment horizontal="center"/>
    </xf>
    <xf numFmtId="0" fontId="30" fillId="5" borderId="0" xfId="0" applyFont="1" applyFill="1" applyAlignment="1">
      <alignment horizontal="center"/>
    </xf>
    <xf numFmtId="0" fontId="30" fillId="5" borderId="55" xfId="0" applyFont="1" applyFill="1" applyBorder="1" applyAlignment="1">
      <alignment horizontal="center"/>
    </xf>
    <xf numFmtId="0" fontId="45" fillId="5" borderId="0" xfId="0" applyFont="1" applyFill="1" applyAlignment="1">
      <alignment horizontal="center"/>
    </xf>
    <xf numFmtId="0" fontId="30" fillId="18" borderId="54" xfId="0" applyFont="1" applyFill="1" applyBorder="1" applyAlignment="1">
      <alignment horizontal="center"/>
    </xf>
    <xf numFmtId="0" fontId="30" fillId="18" borderId="0" xfId="0" applyFont="1" applyFill="1" applyAlignment="1">
      <alignment horizontal="center"/>
    </xf>
    <xf numFmtId="0" fontId="45" fillId="5" borderId="77" xfId="0" applyFont="1" applyFill="1" applyBorder="1" applyAlignment="1">
      <alignment horizontal="center"/>
    </xf>
    <xf numFmtId="0" fontId="45" fillId="5" borderId="78" xfId="0" applyFont="1" applyFill="1" applyBorder="1" applyAlignment="1">
      <alignment horizontal="center"/>
    </xf>
    <xf numFmtId="0" fontId="7" fillId="0" borderId="108" xfId="0" applyFont="1" applyBorder="1" applyAlignment="1">
      <alignment horizontal="center" vertical="center" wrapText="1"/>
    </xf>
    <xf numFmtId="0" fontId="30" fillId="5" borderId="77" xfId="0" applyFont="1" applyFill="1" applyBorder="1" applyAlignment="1">
      <alignment horizontal="center"/>
    </xf>
    <xf numFmtId="0" fontId="30" fillId="5" borderId="78" xfId="0" applyFont="1" applyFill="1" applyBorder="1" applyAlignment="1">
      <alignment horizontal="center"/>
    </xf>
    <xf numFmtId="0" fontId="45" fillId="5" borderId="83" xfId="0" applyFont="1" applyFill="1" applyBorder="1" applyAlignment="1">
      <alignment horizontal="center"/>
    </xf>
    <xf numFmtId="0" fontId="45" fillId="5" borderId="84" xfId="0" applyFont="1" applyFill="1" applyBorder="1" applyAlignment="1">
      <alignment horizontal="center"/>
    </xf>
    <xf numFmtId="0" fontId="33"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67" fillId="0" borderId="122" xfId="0" applyFont="1" applyBorder="1" applyAlignment="1">
      <alignment horizontal="center" vertical="center" wrapText="1"/>
    </xf>
    <xf numFmtId="0" fontId="22" fillId="0" borderId="123" xfId="0" applyFont="1" applyBorder="1" applyAlignment="1">
      <alignment horizontal="center" vertical="center" wrapText="1"/>
    </xf>
    <xf numFmtId="0" fontId="22" fillId="0" borderId="124" xfId="0" applyFont="1" applyBorder="1" applyAlignment="1">
      <alignment horizontal="center" vertical="center" wrapText="1"/>
    </xf>
    <xf numFmtId="0" fontId="49" fillId="5" borderId="74" xfId="0" applyFont="1" applyFill="1" applyBorder="1" applyAlignment="1">
      <alignment horizontal="center"/>
    </xf>
    <xf numFmtId="2" fontId="0" fillId="0" borderId="0" xfId="26" applyNumberFormat="1" applyFont="1" applyAlignment="1">
      <alignment horizontal="center"/>
    </xf>
    <xf numFmtId="0" fontId="15" fillId="18" borderId="125" xfId="1" applyFill="1" applyBorder="1" applyAlignment="1">
      <alignment horizontal="center" vertical="center" readingOrder="1"/>
    </xf>
    <xf numFmtId="0" fontId="52" fillId="18" borderId="125" xfId="26" applyFont="1" applyFill="1" applyBorder="1" applyAlignment="1">
      <alignment horizontal="center"/>
    </xf>
    <xf numFmtId="0" fontId="0" fillId="0" borderId="0" xfId="26" applyFont="1" applyAlignment="1">
      <alignment horizontal="center"/>
    </xf>
    <xf numFmtId="0" fontId="7" fillId="40" borderId="154" xfId="0" applyFont="1" applyFill="1" applyBorder="1" applyAlignment="1">
      <alignment horizontal="center"/>
    </xf>
    <xf numFmtId="0" fontId="7" fillId="40" borderId="137" xfId="0" applyFont="1" applyFill="1" applyBorder="1" applyAlignment="1">
      <alignment horizontal="center"/>
    </xf>
    <xf numFmtId="0" fontId="7" fillId="40" borderId="0" xfId="0" applyFont="1" applyFill="1" applyAlignment="1">
      <alignment horizontal="center"/>
    </xf>
    <xf numFmtId="0" fontId="7" fillId="40" borderId="155" xfId="0" applyFont="1" applyFill="1" applyBorder="1" applyAlignment="1">
      <alignment horizontal="center"/>
    </xf>
    <xf numFmtId="0" fontId="7" fillId="40" borderId="194" xfId="0" applyFont="1" applyFill="1" applyBorder="1" applyAlignment="1">
      <alignment horizontal="center"/>
    </xf>
    <xf numFmtId="0" fontId="64" fillId="0" borderId="3" xfId="29" applyFont="1" applyBorder="1" applyAlignment="1">
      <alignment horizontal="center" vertical="center"/>
    </xf>
    <xf numFmtId="0" fontId="64" fillId="0" borderId="2" xfId="29" applyFont="1" applyBorder="1" applyAlignment="1">
      <alignment horizontal="center" vertical="center"/>
    </xf>
    <xf numFmtId="0" fontId="54" fillId="37" borderId="0" xfId="0" applyFont="1" applyFill="1" applyAlignment="1">
      <alignment horizontal="left" vertical="center"/>
    </xf>
    <xf numFmtId="0" fontId="54" fillId="37" borderId="155" xfId="0" applyFont="1" applyFill="1" applyBorder="1" applyAlignment="1">
      <alignment horizontal="left" vertical="center"/>
    </xf>
    <xf numFmtId="0" fontId="55" fillId="0" borderId="3" xfId="0" applyFont="1" applyBorder="1" applyAlignment="1">
      <alignment horizontal="center" vertical="center"/>
    </xf>
    <xf numFmtId="0" fontId="55" fillId="0" borderId="4" xfId="0" applyFont="1" applyBorder="1" applyAlignment="1">
      <alignment horizontal="center" vertical="center"/>
    </xf>
    <xf numFmtId="0" fontId="55" fillId="0" borderId="2" xfId="0" applyFont="1" applyBorder="1" applyAlignment="1">
      <alignment horizontal="center" vertical="center"/>
    </xf>
    <xf numFmtId="0" fontId="12" fillId="0" borderId="142" xfId="0" applyFont="1" applyBorder="1" applyAlignment="1">
      <alignment horizontal="center" vertical="center" wrapText="1"/>
    </xf>
    <xf numFmtId="0" fontId="55" fillId="0" borderId="143" xfId="0" applyFont="1" applyBorder="1" applyAlignment="1">
      <alignment horizontal="center" vertical="center" wrapText="1"/>
    </xf>
    <xf numFmtId="0" fontId="55" fillId="0" borderId="139" xfId="0" applyFont="1" applyBorder="1" applyAlignment="1">
      <alignment horizontal="center" vertical="center" wrapText="1"/>
    </xf>
    <xf numFmtId="0" fontId="55" fillId="0" borderId="140" xfId="0" applyFont="1" applyBorder="1" applyAlignment="1">
      <alignment horizontal="center" vertical="center" wrapText="1"/>
    </xf>
    <xf numFmtId="0" fontId="60" fillId="28" borderId="142" xfId="0" applyFont="1" applyFill="1" applyBorder="1" applyAlignment="1">
      <alignment horizontal="center"/>
    </xf>
    <xf numFmtId="0" fontId="60" fillId="28" borderId="0" xfId="0" applyFont="1" applyFill="1" applyAlignment="1">
      <alignment horizontal="center"/>
    </xf>
    <xf numFmtId="0" fontId="60" fillId="28" borderId="138" xfId="0" applyFont="1" applyFill="1" applyBorder="1" applyAlignment="1">
      <alignment horizontal="center"/>
    </xf>
    <xf numFmtId="0" fontId="53" fillId="12" borderId="142" xfId="0" applyFont="1" applyFill="1" applyBorder="1" applyAlignment="1">
      <alignment horizontal="center"/>
    </xf>
    <xf numFmtId="0" fontId="53" fillId="12" borderId="137" xfId="0" applyFont="1" applyFill="1" applyBorder="1" applyAlignment="1">
      <alignment horizontal="center"/>
    </xf>
    <xf numFmtId="0" fontId="53" fillId="12" borderId="155" xfId="0" applyFont="1" applyFill="1" applyBorder="1" applyAlignment="1">
      <alignment horizontal="center"/>
    </xf>
    <xf numFmtId="0" fontId="53" fillId="12" borderId="0" xfId="0" applyFont="1" applyFill="1" applyAlignment="1">
      <alignment horizontal="center"/>
    </xf>
    <xf numFmtId="0" fontId="53" fillId="12" borderId="138" xfId="0" applyFont="1" applyFill="1" applyBorder="1" applyAlignment="1">
      <alignment horizontal="center"/>
    </xf>
    <xf numFmtId="0" fontId="53" fillId="40" borderId="142" xfId="0" applyFont="1" applyFill="1" applyBorder="1" applyAlignment="1">
      <alignment horizontal="center"/>
    </xf>
    <xf numFmtId="0" fontId="53" fillId="40" borderId="137" xfId="0" applyFont="1" applyFill="1" applyBorder="1" applyAlignment="1">
      <alignment horizontal="center"/>
    </xf>
    <xf numFmtId="0" fontId="53" fillId="40" borderId="155" xfId="0" applyFont="1" applyFill="1" applyBorder="1" applyAlignment="1">
      <alignment horizontal="center"/>
    </xf>
    <xf numFmtId="0" fontId="53" fillId="40" borderId="165" xfId="0" applyFont="1" applyFill="1" applyBorder="1" applyAlignment="1">
      <alignment horizontal="center"/>
    </xf>
    <xf numFmtId="0" fontId="55" fillId="0" borderId="139" xfId="0" applyFont="1" applyBorder="1" applyAlignment="1">
      <alignment horizontal="center" vertical="center"/>
    </xf>
    <xf numFmtId="0" fontId="55" fillId="0" borderId="143" xfId="0" applyFont="1" applyBorder="1" applyAlignment="1">
      <alignment horizontal="center" vertical="center"/>
    </xf>
    <xf numFmtId="0" fontId="55" fillId="0" borderId="140" xfId="0" applyFont="1" applyBorder="1" applyAlignment="1">
      <alignment horizontal="center" vertical="center"/>
    </xf>
    <xf numFmtId="0" fontId="55" fillId="0" borderId="182" xfId="0" applyFont="1" applyBorder="1" applyAlignment="1">
      <alignment horizontal="center" vertical="center"/>
    </xf>
    <xf numFmtId="0" fontId="55" fillId="0" borderId="183" xfId="0" applyFont="1" applyBorder="1" applyAlignment="1">
      <alignment horizontal="center" vertical="center"/>
    </xf>
    <xf numFmtId="0" fontId="43" fillId="0" borderId="0" xfId="0" applyFont="1" applyAlignment="1">
      <alignment horizontal="center"/>
    </xf>
    <xf numFmtId="0" fontId="8" fillId="0" borderId="0" xfId="0" applyFont="1" applyAlignment="1">
      <alignment horizontal="center"/>
    </xf>
    <xf numFmtId="0" fontId="38" fillId="0" borderId="0" xfId="0" applyFont="1" applyAlignment="1">
      <alignment horizontal="center"/>
    </xf>
    <xf numFmtId="0" fontId="0" fillId="17" borderId="50" xfId="0" applyFill="1" applyBorder="1" applyAlignment="1">
      <alignment horizontal="center"/>
    </xf>
    <xf numFmtId="0" fontId="0" fillId="0" borderId="50" xfId="0" applyBorder="1" applyAlignment="1">
      <alignment horizontal="center"/>
    </xf>
    <xf numFmtId="0" fontId="0" fillId="17" borderId="50" xfId="0" applyFill="1" applyBorder="1" applyAlignment="1">
      <alignment horizontal="center" vertical="center" wrapText="1"/>
    </xf>
    <xf numFmtId="0" fontId="0" fillId="17" borderId="48" xfId="0" applyFill="1" applyBorder="1" applyAlignment="1">
      <alignment horizontal="center" vertical="center" wrapText="1"/>
    </xf>
    <xf numFmtId="0" fontId="12" fillId="17" borderId="50" xfId="0" applyFont="1" applyFill="1" applyBorder="1" applyAlignment="1">
      <alignment horizontal="center"/>
    </xf>
    <xf numFmtId="0" fontId="0" fillId="0" borderId="48" xfId="0" applyBorder="1" applyAlignment="1">
      <alignment horizontal="left"/>
    </xf>
    <xf numFmtId="0" fontId="0" fillId="0" borderId="1" xfId="0" applyBorder="1" applyAlignment="1">
      <alignment horizontal="left"/>
    </xf>
    <xf numFmtId="0" fontId="0" fillId="0" borderId="36" xfId="0" applyBorder="1" applyAlignment="1">
      <alignment horizontal="left"/>
    </xf>
    <xf numFmtId="0" fontId="0" fillId="0" borderId="5" xfId="0" applyBorder="1" applyAlignment="1">
      <alignment horizontal="left"/>
    </xf>
    <xf numFmtId="0" fontId="12" fillId="0" borderId="0" xfId="0" applyFont="1" applyAlignment="1">
      <alignment horizontal="center"/>
    </xf>
    <xf numFmtId="0" fontId="0" fillId="17" borderId="48" xfId="0" applyFill="1" applyBorder="1" applyAlignment="1">
      <alignment horizontal="center"/>
    </xf>
    <xf numFmtId="0" fontId="0" fillId="0" borderId="48" xfId="0" applyBorder="1" applyAlignment="1">
      <alignment horizontal="center"/>
    </xf>
    <xf numFmtId="0" fontId="12" fillId="17" borderId="48" xfId="0" applyFont="1" applyFill="1" applyBorder="1" applyAlignment="1">
      <alignment horizontal="left"/>
    </xf>
    <xf numFmtId="0" fontId="12" fillId="17" borderId="1" xfId="0" applyFont="1" applyFill="1" applyBorder="1" applyAlignment="1">
      <alignment horizontal="left"/>
    </xf>
    <xf numFmtId="9" fontId="0" fillId="0" borderId="50" xfId="0" applyNumberFormat="1" applyBorder="1" applyAlignment="1">
      <alignment horizontal="center"/>
    </xf>
    <xf numFmtId="10" fontId="0" fillId="0" borderId="50" xfId="0" applyNumberFormat="1" applyBorder="1" applyAlignment="1">
      <alignment horizontal="center"/>
    </xf>
    <xf numFmtId="10" fontId="12" fillId="0" borderId="50" xfId="0" applyNumberFormat="1" applyFont="1" applyBorder="1" applyAlignment="1">
      <alignment horizontal="center"/>
    </xf>
    <xf numFmtId="0" fontId="12" fillId="0" borderId="50" xfId="0" applyFont="1" applyBorder="1" applyAlignment="1">
      <alignment horizontal="center"/>
    </xf>
    <xf numFmtId="180" fontId="7" fillId="0" borderId="48" xfId="16" applyNumberFormat="1" applyFont="1" applyBorder="1" applyAlignment="1">
      <alignment horizontal="center"/>
    </xf>
    <xf numFmtId="180" fontId="0" fillId="0" borderId="49" xfId="16" applyNumberFormat="1" applyFont="1" applyBorder="1" applyAlignment="1">
      <alignment horizontal="center"/>
    </xf>
    <xf numFmtId="180" fontId="0" fillId="0" borderId="48" xfId="16" applyNumberFormat="1" applyFont="1" applyBorder="1" applyAlignment="1">
      <alignment horizontal="center"/>
    </xf>
    <xf numFmtId="0" fontId="34" fillId="19" borderId="0" xfId="0" applyFont="1" applyFill="1" applyAlignment="1">
      <alignment horizontal="center"/>
    </xf>
    <xf numFmtId="4" fontId="34" fillId="19" borderId="0" xfId="0" applyNumberFormat="1" applyFont="1" applyFill="1" applyAlignment="1">
      <alignment horizontal="center"/>
    </xf>
    <xf numFmtId="0" fontId="34" fillId="0" borderId="0" xfId="0" applyFont="1" applyAlignment="1">
      <alignment horizontal="center"/>
    </xf>
    <xf numFmtId="0" fontId="22" fillId="0" borderId="0" xfId="0" applyFont="1" applyAlignment="1">
      <alignment horizontal="center"/>
    </xf>
    <xf numFmtId="0" fontId="12" fillId="0" borderId="3" xfId="0" applyFont="1" applyBorder="1" applyAlignment="1">
      <alignment horizontal="center"/>
    </xf>
    <xf numFmtId="0" fontId="12" fillId="0" borderId="2" xfId="0" applyFont="1" applyBorder="1" applyAlignment="1">
      <alignment horizontal="center"/>
    </xf>
    <xf numFmtId="0" fontId="12" fillId="0" borderId="36" xfId="0" applyFont="1" applyBorder="1" applyAlignment="1">
      <alignment horizontal="center"/>
    </xf>
    <xf numFmtId="0" fontId="12" fillId="0" borderId="5" xfId="0" applyFont="1" applyBorder="1" applyAlignment="1">
      <alignment horizontal="center"/>
    </xf>
    <xf numFmtId="0" fontId="12" fillId="0" borderId="37" xfId="0" applyFont="1" applyBorder="1" applyAlignment="1">
      <alignment horizontal="center"/>
    </xf>
    <xf numFmtId="0" fontId="0" fillId="0" borderId="0" xfId="0" applyAlignment="1"/>
  </cellXfs>
  <cellStyles count="34">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1_grouped_single_border" xfId="32" xr:uid="{E0A15DCB-2477-4761-A866-36240CE8CEE6}"/>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2" xr:uid="{00000000-0005-0000-0000-00000B000000}"/>
    <cellStyle name="Moneda 2 2" xfId="13" xr:uid="{00000000-0005-0000-0000-00000C00000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5" xfId="30" xr:uid="{E3BE1569-E214-4855-8BF5-B868B88B5743}"/>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3" xr:uid="{C6A0E8B8-33DC-4334-89A4-99FF669E5EA8}"/>
    <cellStyle name="Porcentaje 5" xfId="31" xr:uid="{F07CEC0B-CE59-4BBC-A0C7-9B77A84167BF}"/>
    <cellStyle name="百分比" xfId="16" builtinId="5"/>
    <cellStyle name="常规" xfId="0" builtinId="0"/>
    <cellStyle name="超链接" xfId="11" builtinId="8"/>
  </cellStyles>
  <dxfs count="31">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5FCB00E5-44FC-4EFE-A469-90FD8735588D}"/>
  </tableStyles>
  <colors>
    <mruColors>
      <color rgb="FF1F497D"/>
      <color rgb="FFC5D9F1"/>
      <color rgb="FF1B7087"/>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Segments!$C$14:$C$18</c:f>
              <c:strCache>
                <c:ptCount val="5"/>
                <c:pt idx="0">
                  <c:v>Cable Communications</c:v>
                </c:pt>
                <c:pt idx="1">
                  <c:v>Media</c:v>
                </c:pt>
                <c:pt idx="2">
                  <c:v>Studios</c:v>
                </c:pt>
                <c:pt idx="3">
                  <c:v>Theme Parks</c:v>
                </c:pt>
                <c:pt idx="4">
                  <c:v>Sky</c:v>
                </c:pt>
              </c:strCache>
            </c:strRef>
          </c:cat>
          <c:val>
            <c:numRef>
              <c:f>Segments!$D$14:$D$18</c:f>
              <c:numCache>
                <c:formatCode>#,##0.0</c:formatCode>
                <c:ptCount val="5"/>
                <c:pt idx="0">
                  <c:v>66318</c:v>
                </c:pt>
                <c:pt idx="1">
                  <c:v>23406</c:v>
                </c:pt>
                <c:pt idx="2">
                  <c:v>11622</c:v>
                </c:pt>
                <c:pt idx="3">
                  <c:v>7541</c:v>
                </c:pt>
                <c:pt idx="4">
                  <c:v>17946</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84-4F1E-A66A-9E799C8FED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Segments!$C$5:$C$8</c:f>
              <c:strCache>
                <c:ptCount val="3"/>
                <c:pt idx="0">
                  <c:v>United Kingdom</c:v>
                </c:pt>
                <c:pt idx="1">
                  <c:v>United States</c:v>
                </c:pt>
                <c:pt idx="2">
                  <c:v>Other</c:v>
                </c:pt>
              </c:strCache>
            </c:strRef>
          </c:cat>
          <c:val>
            <c:numRef>
              <c:f>Segments!$D$5:$D$8</c:f>
              <c:numCache>
                <c:formatCode>"$"#,##0</c:formatCode>
                <c:ptCount val="3"/>
                <c:pt idx="0">
                  <c:v>13380</c:v>
                </c:pt>
                <c:pt idx="1">
                  <c:v>96441</c:v>
                </c:pt>
                <c:pt idx="2">
                  <c:v>11606</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ESG!$L$6</c:f>
              <c:strCache>
                <c:ptCount val="1"/>
                <c:pt idx="0">
                  <c:v>15.5%</c:v>
                </c:pt>
              </c:strCache>
            </c:strRef>
          </c:tx>
          <c:dPt>
            <c:idx val="0"/>
            <c:bubble3D val="0"/>
            <c:spPr>
              <a:solidFill>
                <a:schemeClr val="accent1"/>
              </a:solidFill>
              <a:ln>
                <a:noFill/>
              </a:ln>
              <a:effectLst/>
            </c:spPr>
            <c:extLst>
              <c:ext xmlns:c16="http://schemas.microsoft.com/office/drawing/2014/chart" uri="{C3380CC4-5D6E-409C-BE32-E72D297353CC}">
                <c16:uniqueId val="{00000001-4128-45C9-B554-4986FBAF7047}"/>
              </c:ext>
            </c:extLst>
          </c:dPt>
          <c:dPt>
            <c:idx val="1"/>
            <c:bubble3D val="0"/>
            <c:spPr>
              <a:solidFill>
                <a:schemeClr val="accent2"/>
              </a:solidFill>
              <a:ln>
                <a:noFill/>
              </a:ln>
              <a:effectLst/>
            </c:spPr>
            <c:extLst>
              <c:ext xmlns:c16="http://schemas.microsoft.com/office/drawing/2014/chart" uri="{C3380CC4-5D6E-409C-BE32-E72D297353CC}">
                <c16:uniqueId val="{00000003-4128-45C9-B554-4986FBAF7047}"/>
              </c:ext>
            </c:extLst>
          </c:dPt>
          <c:dPt>
            <c:idx val="2"/>
            <c:bubble3D val="0"/>
            <c:spPr>
              <a:solidFill>
                <a:schemeClr val="accent3"/>
              </a:solidFill>
              <a:ln>
                <a:noFill/>
              </a:ln>
              <a:effectLst/>
            </c:spPr>
            <c:extLst>
              <c:ext xmlns:c16="http://schemas.microsoft.com/office/drawing/2014/chart" uri="{C3380CC4-5D6E-409C-BE32-E72D297353CC}">
                <c16:uniqueId val="{00000005-4128-45C9-B554-4986FBAF7047}"/>
              </c:ext>
            </c:extLst>
          </c:dPt>
          <c:dPt>
            <c:idx val="3"/>
            <c:bubble3D val="0"/>
            <c:spPr>
              <a:solidFill>
                <a:schemeClr val="accent4"/>
              </a:solidFill>
              <a:ln>
                <a:noFill/>
              </a:ln>
              <a:effectLst/>
            </c:spPr>
            <c:extLst>
              <c:ext xmlns:c16="http://schemas.microsoft.com/office/drawing/2014/chart" uri="{C3380CC4-5D6E-409C-BE32-E72D297353CC}">
                <c16:uniqueId val="{00000007-4128-45C9-B554-4986FBAF7047}"/>
              </c:ext>
            </c:extLst>
          </c:dPt>
          <c:dPt>
            <c:idx val="4"/>
            <c:bubble3D val="0"/>
            <c:spPr>
              <a:solidFill>
                <a:schemeClr val="accent5"/>
              </a:solidFill>
              <a:ln>
                <a:noFill/>
              </a:ln>
              <a:effectLst/>
            </c:spPr>
            <c:extLst>
              <c:ext xmlns:c16="http://schemas.microsoft.com/office/drawing/2014/chart" uri="{C3380CC4-5D6E-409C-BE32-E72D297353CC}">
                <c16:uniqueId val="{00000009-4128-45C9-B554-4986FBAF7047}"/>
              </c:ext>
            </c:extLst>
          </c:dPt>
          <c:dPt>
            <c:idx val="5"/>
            <c:bubble3D val="0"/>
            <c:spPr>
              <a:solidFill>
                <a:schemeClr val="accent6"/>
              </a:solidFill>
              <a:ln>
                <a:noFill/>
              </a:ln>
              <a:effectLst/>
            </c:spPr>
            <c:extLst>
              <c:ext xmlns:c16="http://schemas.microsoft.com/office/drawing/2014/chart" uri="{C3380CC4-5D6E-409C-BE32-E72D297353CC}">
                <c16:uniqueId val="{0000000B-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Ref>
              <c:f>ESG!$L$6:$Q$6</c:f>
              <c:numCache>
                <c:formatCode>0.00%</c:formatCode>
                <c:ptCount val="6"/>
                <c:pt idx="0" formatCode="0.0%">
                  <c:v>0.15500021480431328</c:v>
                </c:pt>
                <c:pt idx="1">
                  <c:v>0.15193878601590594</c:v>
                </c:pt>
                <c:pt idx="2">
                  <c:v>7.1383334499405302E-2</c:v>
                </c:pt>
                <c:pt idx="3">
                  <c:v>9.0473408848478695E-2</c:v>
                </c:pt>
                <c:pt idx="4">
                  <c:v>0.11426427069222306</c:v>
                </c:pt>
                <c:pt idx="5">
                  <c:v>9.1541114356324421E-2</c:v>
                </c:pt>
              </c:numCache>
            </c:numRef>
          </c:val>
          <c:extLst>
            <c:ext xmlns:c16="http://schemas.microsoft.com/office/drawing/2014/chart" uri="{C3380CC4-5D6E-409C-BE32-E72D297353CC}">
              <c16:uniqueId val="{00000001-D4A5-4B1D-8467-B5B88AC3A7FC}"/>
            </c:ext>
          </c:extLst>
        </c:ser>
        <c:ser>
          <c:idx val="1"/>
          <c:order val="1"/>
          <c:tx>
            <c:strRef>
              <c:f>ESG!$M$6</c:f>
              <c:strCache>
                <c:ptCount val="1"/>
                <c:pt idx="0">
                  <c:v>15.19%</c:v>
                </c:pt>
              </c:strCache>
            </c:strRef>
          </c:tx>
          <c:dPt>
            <c:idx val="0"/>
            <c:bubble3D val="0"/>
            <c:spPr>
              <a:solidFill>
                <a:schemeClr val="accent1"/>
              </a:solidFill>
              <a:ln>
                <a:noFill/>
              </a:ln>
              <a:effectLst/>
            </c:spPr>
            <c:extLst>
              <c:ext xmlns:c16="http://schemas.microsoft.com/office/drawing/2014/chart" uri="{C3380CC4-5D6E-409C-BE32-E72D297353CC}">
                <c16:uniqueId val="{0000000D-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Ref>
              <c:f>ESG!$L$4</c:f>
              <c:numCache>
                <c:formatCode>General</c:formatCode>
                <c:ptCount val="1"/>
                <c:pt idx="0">
                  <c:v>0</c:v>
                </c:pt>
              </c:numCache>
            </c:numRef>
          </c:val>
          <c:extLst>
            <c:ext xmlns:c16="http://schemas.microsoft.com/office/drawing/2014/chart" uri="{C3380CC4-5D6E-409C-BE32-E72D297353CC}">
              <c16:uniqueId val="{00000002-D4A5-4B1D-8467-B5B88AC3A7FC}"/>
            </c:ext>
          </c:extLst>
        </c:ser>
        <c:ser>
          <c:idx val="2"/>
          <c:order val="2"/>
          <c:tx>
            <c:strRef>
              <c:f>ESG!$N$6</c:f>
              <c:strCache>
                <c:ptCount val="1"/>
                <c:pt idx="0">
                  <c:v>7.14%</c:v>
                </c:pt>
              </c:strCache>
            </c:strRef>
          </c:tx>
          <c:dPt>
            <c:idx val="0"/>
            <c:bubble3D val="0"/>
            <c:spPr>
              <a:solidFill>
                <a:schemeClr val="accent1"/>
              </a:solidFill>
              <a:ln>
                <a:noFill/>
              </a:ln>
              <a:effectLst/>
            </c:spPr>
            <c:extLst>
              <c:ext xmlns:c16="http://schemas.microsoft.com/office/drawing/2014/chart" uri="{C3380CC4-5D6E-409C-BE32-E72D297353CC}">
                <c16:uniqueId val="{0000000F-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Lit>
              <c:formatCode>General</c:formatCode>
              <c:ptCount val="1"/>
              <c:pt idx="0">
                <c:v>1</c:v>
              </c:pt>
            </c:numLit>
          </c:val>
          <c:extLst>
            <c:ext xmlns:c16="http://schemas.microsoft.com/office/drawing/2014/chart" uri="{C3380CC4-5D6E-409C-BE32-E72D297353CC}">
              <c16:uniqueId val="{00000003-D4A5-4B1D-8467-B5B88AC3A7FC}"/>
            </c:ext>
          </c:extLst>
        </c:ser>
        <c:ser>
          <c:idx val="3"/>
          <c:order val="3"/>
          <c:tx>
            <c:strRef>
              <c:f>ESG!$O$6</c:f>
              <c:strCache>
                <c:ptCount val="1"/>
                <c:pt idx="0">
                  <c:v>9.05%</c:v>
                </c:pt>
              </c:strCache>
            </c:strRef>
          </c:tx>
          <c:dPt>
            <c:idx val="0"/>
            <c:bubble3D val="0"/>
            <c:spPr>
              <a:solidFill>
                <a:schemeClr val="accent1"/>
              </a:solidFill>
              <a:ln>
                <a:noFill/>
              </a:ln>
              <a:effectLst/>
            </c:spPr>
            <c:extLst>
              <c:ext xmlns:c16="http://schemas.microsoft.com/office/drawing/2014/chart" uri="{C3380CC4-5D6E-409C-BE32-E72D297353CC}">
                <c16:uniqueId val="{00000011-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Lit>
              <c:formatCode>General</c:formatCode>
              <c:ptCount val="1"/>
              <c:pt idx="0">
                <c:v>1</c:v>
              </c:pt>
            </c:numLit>
          </c:val>
          <c:extLst>
            <c:ext xmlns:c16="http://schemas.microsoft.com/office/drawing/2014/chart" uri="{C3380CC4-5D6E-409C-BE32-E72D297353CC}">
              <c16:uniqueId val="{00000004-D4A5-4B1D-8467-B5B88AC3A7FC}"/>
            </c:ext>
          </c:extLst>
        </c:ser>
        <c:ser>
          <c:idx val="4"/>
          <c:order val="4"/>
          <c:tx>
            <c:strRef>
              <c:f>ESG!$P$6</c:f>
              <c:strCache>
                <c:ptCount val="1"/>
                <c:pt idx="0">
                  <c:v>11.43%</c:v>
                </c:pt>
              </c:strCache>
            </c:strRef>
          </c:tx>
          <c:dPt>
            <c:idx val="0"/>
            <c:bubble3D val="0"/>
            <c:spPr>
              <a:solidFill>
                <a:schemeClr val="accent1"/>
              </a:solidFill>
              <a:ln>
                <a:noFill/>
              </a:ln>
              <a:effectLst/>
            </c:spPr>
            <c:extLst>
              <c:ext xmlns:c16="http://schemas.microsoft.com/office/drawing/2014/chart" uri="{C3380CC4-5D6E-409C-BE32-E72D297353CC}">
                <c16:uniqueId val="{00000013-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Lit>
              <c:formatCode>General</c:formatCode>
              <c:ptCount val="1"/>
              <c:pt idx="0">
                <c:v>1</c:v>
              </c:pt>
            </c:numLit>
          </c:val>
          <c:extLst>
            <c:ext xmlns:c16="http://schemas.microsoft.com/office/drawing/2014/chart" uri="{C3380CC4-5D6E-409C-BE32-E72D297353CC}">
              <c16:uniqueId val="{00000005-D4A5-4B1D-8467-B5B88AC3A7FC}"/>
            </c:ext>
          </c:extLst>
        </c:ser>
        <c:ser>
          <c:idx val="5"/>
          <c:order val="5"/>
          <c:tx>
            <c:strRef>
              <c:f>ESG!$Q$6</c:f>
              <c:strCache>
                <c:ptCount val="1"/>
                <c:pt idx="0">
                  <c:v>9.15%</c:v>
                </c:pt>
              </c:strCache>
            </c:strRef>
          </c:tx>
          <c:dPt>
            <c:idx val="0"/>
            <c:bubble3D val="0"/>
            <c:spPr>
              <a:solidFill>
                <a:schemeClr val="accent1"/>
              </a:solidFill>
              <a:ln>
                <a:noFill/>
              </a:ln>
              <a:effectLst/>
            </c:spPr>
            <c:extLst>
              <c:ext xmlns:c16="http://schemas.microsoft.com/office/drawing/2014/chart" uri="{C3380CC4-5D6E-409C-BE32-E72D297353CC}">
                <c16:uniqueId val="{00000015-4128-45C9-B554-4986FBAF7047}"/>
              </c:ext>
            </c:extLst>
          </c:dPt>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Lit>
              <c:formatCode>General</c:formatCode>
              <c:ptCount val="1"/>
              <c:pt idx="0">
                <c:v>1</c:v>
              </c:pt>
            </c:numLit>
          </c:val>
          <c:extLst>
            <c:ext xmlns:c16="http://schemas.microsoft.com/office/drawing/2014/chart" uri="{C3380CC4-5D6E-409C-BE32-E72D297353CC}">
              <c16:uniqueId val="{00000006-D4A5-4B1D-8467-B5B88AC3A7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Water Consumption (Cubic Meters)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Ref>
              <c:f>ESG!$L$7:$Q$7</c:f>
              <c:numCache>
                <c:formatCode>0.00%</c:formatCode>
                <c:ptCount val="6"/>
                <c:pt idx="0">
                  <c:v>0</c:v>
                </c:pt>
                <c:pt idx="1">
                  <c:v>7.5724794461272182E-5</c:v>
                </c:pt>
                <c:pt idx="2">
                  <c:v>0</c:v>
                </c:pt>
                <c:pt idx="3">
                  <c:v>2.1893652562604764E-2</c:v>
                </c:pt>
                <c:pt idx="4">
                  <c:v>1.5118289388008651E-5</c:v>
                </c:pt>
                <c:pt idx="5">
                  <c:v>1.3162872263411469E-2</c:v>
                </c:pt>
              </c:numCache>
            </c:numRef>
          </c:val>
          <c:smooth val="0"/>
          <c:extLst>
            <c:ext xmlns:c16="http://schemas.microsoft.com/office/drawing/2014/chart" uri="{C3380CC4-5D6E-409C-BE32-E72D297353CC}">
              <c16:uniqueId val="{00000000-EE6C-4BB4-89FF-9D165F6F5618}"/>
            </c:ext>
          </c:extLst>
        </c:ser>
        <c:dLbls>
          <c:showLegendKey val="0"/>
          <c:showVal val="0"/>
          <c:showCatName val="0"/>
          <c:showSerName val="0"/>
          <c:showPercent val="0"/>
          <c:showBubbleSize val="0"/>
        </c:dLbls>
        <c:smooth val="0"/>
        <c:axId val="1233982824"/>
        <c:axId val="1233984624"/>
      </c:lineChart>
      <c:catAx>
        <c:axId val="123398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84624"/>
        <c:crosses val="autoZero"/>
        <c:auto val="1"/>
        <c:lblAlgn val="ctr"/>
        <c:lblOffset val="100"/>
        <c:noMultiLvlLbl val="0"/>
      </c:catAx>
      <c:valAx>
        <c:axId val="123398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82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Energy Consumption (Gigajoules)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3"/>
            </a:solidFill>
            <a:ln>
              <a:noFill/>
            </a:ln>
            <a:effectLst/>
          </c:spPr>
          <c:invertIfNegative val="0"/>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Ref>
              <c:f>ESG!$L$8:$Q$8</c:f>
              <c:numCache>
                <c:formatCode>0.00%</c:formatCode>
                <c:ptCount val="6"/>
                <c:pt idx="0">
                  <c:v>0.18862853460497486</c:v>
                </c:pt>
                <c:pt idx="1">
                  <c:v>0.12682970500902729</c:v>
                </c:pt>
                <c:pt idx="2">
                  <c:v>0.22978206114881411</c:v>
                </c:pt>
                <c:pt idx="3">
                  <c:v>0.26529826789251787</c:v>
                </c:pt>
                <c:pt idx="4">
                  <c:v>4.9161009781982297E-2</c:v>
                </c:pt>
                <c:pt idx="5">
                  <c:v>0.10020714446191867</c:v>
                </c:pt>
              </c:numCache>
            </c:numRef>
          </c:val>
          <c:extLst>
            <c:ext xmlns:c16="http://schemas.microsoft.com/office/drawing/2014/chart" uri="{C3380CC4-5D6E-409C-BE32-E72D297353CC}">
              <c16:uniqueId val="{00000000-12F6-4615-8FAF-91F43101CA7C}"/>
            </c:ext>
          </c:extLst>
        </c:ser>
        <c:dLbls>
          <c:showLegendKey val="0"/>
          <c:showVal val="0"/>
          <c:showCatName val="0"/>
          <c:showSerName val="0"/>
          <c:showPercent val="0"/>
          <c:showBubbleSize val="0"/>
        </c:dLbls>
        <c:gapWidth val="150"/>
        <c:overlap val="100"/>
        <c:axId val="1047510608"/>
        <c:axId val="1047506648"/>
      </c:barChart>
      <c:catAx>
        <c:axId val="104751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506648"/>
        <c:crosses val="autoZero"/>
        <c:auto val="1"/>
        <c:lblAlgn val="ctr"/>
        <c:lblOffset val="100"/>
        <c:noMultiLvlLbl val="0"/>
      </c:catAx>
      <c:valAx>
        <c:axId val="1047506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51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Waste Production (Tonnes)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none"/>
          </c:marker>
          <c:cat>
            <c:strRef>
              <c:f>ESG!$L$4:$Q$4</c:f>
              <c:strCache>
                <c:ptCount val="6"/>
                <c:pt idx="0">
                  <c:v>Comcast Corporation</c:v>
                </c:pt>
                <c:pt idx="1">
                  <c:v>AT&amp;T Inc.</c:v>
                </c:pt>
                <c:pt idx="2">
                  <c:v>Paramount Global</c:v>
                </c:pt>
                <c:pt idx="3">
                  <c:v>Lumen Technologies, Inc.</c:v>
                </c:pt>
                <c:pt idx="4">
                  <c:v>Verizon Communications Inc.</c:v>
                </c:pt>
                <c:pt idx="5">
                  <c:v>T-Mobile US, Inc.</c:v>
                </c:pt>
              </c:strCache>
            </c:strRef>
          </c:cat>
          <c:val>
            <c:numRef>
              <c:f>ESG!$L$9:$Q$9</c:f>
              <c:numCache>
                <c:formatCode>0.00%</c:formatCode>
                <c:ptCount val="6"/>
                <c:pt idx="0">
                  <c:v>0</c:v>
                </c:pt>
                <c:pt idx="1">
                  <c:v>1.4191721750548352E-3</c:v>
                </c:pt>
                <c:pt idx="2">
                  <c:v>0</c:v>
                </c:pt>
                <c:pt idx="3">
                  <c:v>1.989028292782039E-3</c:v>
                </c:pt>
                <c:pt idx="4">
                  <c:v>3.2481869279186906E-4</c:v>
                </c:pt>
                <c:pt idx="5">
                  <c:v>1.4478644000099852E-4</c:v>
                </c:pt>
              </c:numCache>
            </c:numRef>
          </c:val>
          <c:smooth val="0"/>
          <c:extLst>
            <c:ext xmlns:c16="http://schemas.microsoft.com/office/drawing/2014/chart" uri="{C3380CC4-5D6E-409C-BE32-E72D297353CC}">
              <c16:uniqueId val="{00000000-99FC-486B-A57E-D53853AF83BD}"/>
            </c:ext>
          </c:extLst>
        </c:ser>
        <c:dLbls>
          <c:showLegendKey val="0"/>
          <c:showVal val="0"/>
          <c:showCatName val="0"/>
          <c:showSerName val="0"/>
          <c:showPercent val="0"/>
          <c:showBubbleSize val="0"/>
        </c:dLbls>
        <c:smooth val="0"/>
        <c:axId val="741213328"/>
        <c:axId val="741213688"/>
      </c:lineChart>
      <c:catAx>
        <c:axId val="74121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13688"/>
        <c:crosses val="autoZero"/>
        <c:auto val="1"/>
        <c:lblAlgn val="ctr"/>
        <c:lblOffset val="100"/>
        <c:noMultiLvlLbl val="0"/>
      </c:catAx>
      <c:valAx>
        <c:axId val="741213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1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chart" Target="../charts/chart2.xml"/><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chart" Target="../charts/chart1.xml"/><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4.jpeg"/><Relationship Id="rId2" Type="http://schemas.openxmlformats.org/officeDocument/2006/relationships/image" Target="../media/image33.png"/><Relationship Id="rId1" Type="http://schemas.openxmlformats.org/officeDocument/2006/relationships/image" Target="../media/image32.jpeg"/><Relationship Id="rId5" Type="http://schemas.openxmlformats.org/officeDocument/2006/relationships/image" Target="../media/image36.png"/><Relationship Id="rId4" Type="http://schemas.openxmlformats.org/officeDocument/2006/relationships/image" Target="../media/image35.jpeg"/></Relationships>
</file>

<file path=xl/drawings/_rels/drawing4.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5.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4.png"/><Relationship Id="rId2" Type="http://schemas.openxmlformats.org/officeDocument/2006/relationships/image" Target="../media/image37.png"/><Relationship Id="rId1" Type="http://schemas.openxmlformats.org/officeDocument/2006/relationships/chart" Target="../charts/chart3.xml"/><Relationship Id="rId6" Type="http://schemas.openxmlformats.org/officeDocument/2006/relationships/image" Target="../media/image41.png"/><Relationship Id="rId11" Type="http://schemas.openxmlformats.org/officeDocument/2006/relationships/chart" Target="../charts/chart6.xml"/><Relationship Id="rId5" Type="http://schemas.openxmlformats.org/officeDocument/2006/relationships/image" Target="../media/image40.png"/><Relationship Id="rId10" Type="http://schemas.openxmlformats.org/officeDocument/2006/relationships/chart" Target="../charts/chart5.xml"/><Relationship Id="rId4" Type="http://schemas.openxmlformats.org/officeDocument/2006/relationships/image" Target="../media/image39.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16</xdr:row>
      <xdr:rowOff>169862</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169862</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169862</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13608</xdr:colOff>
      <xdr:row>81</xdr:row>
      <xdr:rowOff>0</xdr:rowOff>
    </xdr:from>
    <xdr:to>
      <xdr:col>13</xdr:col>
      <xdr:colOff>15128</xdr:colOff>
      <xdr:row>105</xdr:row>
      <xdr:rowOff>100205</xdr:rowOff>
    </xdr:to>
    <xdr:pic>
      <xdr:nvPicPr>
        <xdr:cNvPr id="3" name="Picture 4">
          <a:extLst>
            <a:ext uri="{FF2B5EF4-FFF2-40B4-BE49-F238E27FC236}">
              <a16:creationId xmlns:a16="http://schemas.microsoft.com/office/drawing/2014/main" id="{D3746FA3-71CB-D957-74DF-D850C7BEC85B}"/>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47615" y="18811875"/>
          <a:ext cx="8754995" cy="3995929"/>
        </a:xfrm>
        <a:prstGeom prst="rect">
          <a:avLst/>
        </a:prstGeom>
      </xdr:spPr>
    </xdr:pic>
    <xdr:clientData/>
  </xdr:twoCellAnchor>
  <xdr:twoCellAnchor editAs="oneCell">
    <xdr:from>
      <xdr:col>9</xdr:col>
      <xdr:colOff>3800</xdr:colOff>
      <xdr:row>60</xdr:row>
      <xdr:rowOff>34630</xdr:rowOff>
    </xdr:from>
    <xdr:to>
      <xdr:col>13</xdr:col>
      <xdr:colOff>4794</xdr:colOff>
      <xdr:row>79</xdr:row>
      <xdr:rowOff>87589</xdr:rowOff>
    </xdr:to>
    <xdr:pic>
      <xdr:nvPicPr>
        <xdr:cNvPr id="6" name="Picture 5">
          <a:extLst>
            <a:ext uri="{FF2B5EF4-FFF2-40B4-BE49-F238E27FC236}">
              <a16:creationId xmlns:a16="http://schemas.microsoft.com/office/drawing/2014/main" id="{F8BC1656-5906-EA4A-F685-D49DD2F069AD}"/>
            </a:ext>
            <a:ext uri="{147F2762-F138-4A5C-976F-8EAC2B608ADB}">
              <a16:predDERef xmlns:a16="http://schemas.microsoft.com/office/drawing/2014/main" pred="{D3746FA3-71CB-D957-74DF-D850C7BEC85B}"/>
            </a:ext>
          </a:extLst>
        </xdr:cNvPr>
        <xdr:cNvPicPr>
          <a:picLocks noChangeAspect="1"/>
        </xdr:cNvPicPr>
      </xdr:nvPicPr>
      <xdr:blipFill>
        <a:blip xmlns:r="http://schemas.openxmlformats.org/officeDocument/2006/relationships" r:embed="rId2"/>
        <a:stretch>
          <a:fillRect/>
        </a:stretch>
      </xdr:blipFill>
      <xdr:spPr>
        <a:xfrm>
          <a:off x="11349756" y="15064520"/>
          <a:ext cx="5046442" cy="3514296"/>
        </a:xfrm>
        <a:prstGeom prst="rect">
          <a:avLst/>
        </a:prstGeom>
      </xdr:spPr>
    </xdr:pic>
    <xdr:clientData/>
  </xdr:twoCellAnchor>
  <xdr:twoCellAnchor editAs="oneCell">
    <xdr:from>
      <xdr:col>1</xdr:col>
      <xdr:colOff>154080</xdr:colOff>
      <xdr:row>3</xdr:row>
      <xdr:rowOff>98051</xdr:rowOff>
    </xdr:from>
    <xdr:to>
      <xdr:col>2</xdr:col>
      <xdr:colOff>1389529</xdr:colOff>
      <xdr:row>13</xdr:row>
      <xdr:rowOff>177613</xdr:rowOff>
    </xdr:to>
    <xdr:pic>
      <xdr:nvPicPr>
        <xdr:cNvPr id="2" name="Picture 1" descr="Comcast's Innovative Response to COVID-19 — BUSINESS FOR 2030">
          <a:extLst>
            <a:ext uri="{FF2B5EF4-FFF2-40B4-BE49-F238E27FC236}">
              <a16:creationId xmlns:a16="http://schemas.microsoft.com/office/drawing/2014/main" id="{5185AB2F-64A9-7C1A-5C7F-5D885696C1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095" y="756397"/>
          <a:ext cx="2650191" cy="2684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21</xdr:row>
      <xdr:rowOff>0</xdr:rowOff>
    </xdr:from>
    <xdr:to>
      <xdr:col>11</xdr:col>
      <xdr:colOff>657225</xdr:colOff>
      <xdr:row>27</xdr:row>
      <xdr:rowOff>695325</xdr:rowOff>
    </xdr:to>
    <xdr:graphicFrame macro="">
      <xdr:nvGraphicFramePr>
        <xdr:cNvPr id="5"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21</xdr:row>
      <xdr:rowOff>0</xdr:rowOff>
    </xdr:from>
    <xdr:to>
      <xdr:col>15</xdr:col>
      <xdr:colOff>752475</xdr:colOff>
      <xdr:row>27</xdr:row>
      <xdr:rowOff>695325</xdr:rowOff>
    </xdr:to>
    <xdr:graphicFrame macro="">
      <xdr:nvGraphicFramePr>
        <xdr:cNvPr id="4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20</xdr:row>
      <xdr:rowOff>247650</xdr:rowOff>
    </xdr:from>
    <xdr:to>
      <xdr:col>11</xdr:col>
      <xdr:colOff>647700</xdr:colOff>
      <xdr:row>28</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476250</xdr:colOff>
      <xdr:row>41</xdr:row>
      <xdr:rowOff>85725</xdr:rowOff>
    </xdr:from>
    <xdr:to>
      <xdr:col>14</xdr:col>
      <xdr:colOff>238125</xdr:colOff>
      <xdr:row>44</xdr:row>
      <xdr:rowOff>9525</xdr:rowOff>
    </xdr:to>
    <xdr:sp macro="" textlink="">
      <xdr:nvSpPr>
        <xdr:cNvPr id="32"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9A7F258B-F9AD-6876-BB0C-F39E8E2CB6BB}"/>
            </a:ext>
          </a:extLst>
        </xdr:cNvPr>
        <xdr:cNvSpPr/>
      </xdr:nvSpPr>
      <xdr:spPr bwMode="auto">
        <a:xfrm>
          <a:off x="12677775" y="8486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53</xdr:row>
      <xdr:rowOff>47625</xdr:rowOff>
    </xdr:from>
    <xdr:to>
      <xdr:col>35</xdr:col>
      <xdr:colOff>209550</xdr:colOff>
      <xdr:row>59</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21</xdr:col>
      <xdr:colOff>642257</xdr:colOff>
      <xdr:row>2</xdr:row>
      <xdr:rowOff>54426</xdr:rowOff>
    </xdr:from>
    <xdr:to>
      <xdr:col>23</xdr:col>
      <xdr:colOff>676362</xdr:colOff>
      <xdr:row>11</xdr:row>
      <xdr:rowOff>97969</xdr:rowOff>
    </xdr:to>
    <xdr:pic>
      <xdr:nvPicPr>
        <xdr:cNvPr id="3" name="Picture 2">
          <a:extLst>
            <a:ext uri="{FF2B5EF4-FFF2-40B4-BE49-F238E27FC236}">
              <a16:creationId xmlns:a16="http://schemas.microsoft.com/office/drawing/2014/main" id="{30E55453-5509-469D-3166-5F076EE8F079}"/>
            </a:ext>
          </a:extLst>
        </xdr:cNvPr>
        <xdr:cNvPicPr>
          <a:picLocks noChangeAspect="1"/>
        </xdr:cNvPicPr>
      </xdr:nvPicPr>
      <xdr:blipFill>
        <a:blip xmlns:r="http://schemas.openxmlformats.org/officeDocument/2006/relationships" r:embed="rId3"/>
        <a:stretch>
          <a:fillRect/>
        </a:stretch>
      </xdr:blipFill>
      <xdr:spPr>
        <a:xfrm>
          <a:off x="21052971" y="413655"/>
          <a:ext cx="1601648" cy="1556657"/>
        </a:xfrm>
        <a:prstGeom prst="rect">
          <a:avLst/>
        </a:prstGeom>
      </xdr:spPr>
    </xdr:pic>
    <xdr:clientData/>
  </xdr:twoCellAnchor>
  <xdr:twoCellAnchor editAs="oneCell">
    <xdr:from>
      <xdr:col>16</xdr:col>
      <xdr:colOff>172357</xdr:colOff>
      <xdr:row>3</xdr:row>
      <xdr:rowOff>16330</xdr:rowOff>
    </xdr:from>
    <xdr:to>
      <xdr:col>17</xdr:col>
      <xdr:colOff>493163</xdr:colOff>
      <xdr:row>11</xdr:row>
      <xdr:rowOff>192314</xdr:rowOff>
    </xdr:to>
    <xdr:pic>
      <xdr:nvPicPr>
        <xdr:cNvPr id="8" name="Picture 7">
          <a:extLst>
            <a:ext uri="{FF2B5EF4-FFF2-40B4-BE49-F238E27FC236}">
              <a16:creationId xmlns:a16="http://schemas.microsoft.com/office/drawing/2014/main" id="{33EB72F4-347E-1B6B-0E43-79F7AFAA72F0}"/>
            </a:ext>
          </a:extLst>
        </xdr:cNvPr>
        <xdr:cNvPicPr>
          <a:picLocks noChangeAspect="1"/>
        </xdr:cNvPicPr>
      </xdr:nvPicPr>
      <xdr:blipFill>
        <a:blip xmlns:r="http://schemas.openxmlformats.org/officeDocument/2006/relationships" r:embed="rId4"/>
        <a:stretch>
          <a:fillRect/>
        </a:stretch>
      </xdr:blipFill>
      <xdr:spPr>
        <a:xfrm>
          <a:off x="17660257" y="600530"/>
          <a:ext cx="2111506" cy="1471384"/>
        </a:xfrm>
        <a:prstGeom prst="rect">
          <a:avLst/>
        </a:prstGeom>
      </xdr:spPr>
    </xdr:pic>
    <xdr:clientData/>
  </xdr:twoCellAnchor>
  <xdr:twoCellAnchor editAs="oneCell">
    <xdr:from>
      <xdr:col>17</xdr:col>
      <xdr:colOff>54428</xdr:colOff>
      <xdr:row>2</xdr:row>
      <xdr:rowOff>21772</xdr:rowOff>
    </xdr:from>
    <xdr:to>
      <xdr:col>19</xdr:col>
      <xdr:colOff>457200</xdr:colOff>
      <xdr:row>11</xdr:row>
      <xdr:rowOff>184612</xdr:rowOff>
    </xdr:to>
    <xdr:pic>
      <xdr:nvPicPr>
        <xdr:cNvPr id="9" name="Picture 8">
          <a:extLst>
            <a:ext uri="{FF2B5EF4-FFF2-40B4-BE49-F238E27FC236}">
              <a16:creationId xmlns:a16="http://schemas.microsoft.com/office/drawing/2014/main" id="{E514F291-7A9F-2E95-1750-0317972886B5}"/>
            </a:ext>
          </a:extLst>
        </xdr:cNvPr>
        <xdr:cNvPicPr>
          <a:picLocks noChangeAspect="1"/>
        </xdr:cNvPicPr>
      </xdr:nvPicPr>
      <xdr:blipFill>
        <a:blip xmlns:r="http://schemas.openxmlformats.org/officeDocument/2006/relationships" r:embed="rId5"/>
        <a:stretch>
          <a:fillRect/>
        </a:stretch>
      </xdr:blipFill>
      <xdr:spPr>
        <a:xfrm>
          <a:off x="17330057" y="381001"/>
          <a:ext cx="1970314" cy="1675954"/>
        </a:xfrm>
        <a:prstGeom prst="rect">
          <a:avLst/>
        </a:prstGeom>
      </xdr:spPr>
    </xdr:pic>
    <xdr:clientData/>
  </xdr:twoCellAnchor>
  <xdr:twoCellAnchor editAs="oneCell">
    <xdr:from>
      <xdr:col>19</xdr:col>
      <xdr:colOff>283475</xdr:colOff>
      <xdr:row>2</xdr:row>
      <xdr:rowOff>185056</xdr:rowOff>
    </xdr:from>
    <xdr:to>
      <xdr:col>21</xdr:col>
      <xdr:colOff>570672</xdr:colOff>
      <xdr:row>11</xdr:row>
      <xdr:rowOff>228599</xdr:rowOff>
    </xdr:to>
    <xdr:pic>
      <xdr:nvPicPr>
        <xdr:cNvPr id="10" name="Picture 9">
          <a:extLst>
            <a:ext uri="{FF2B5EF4-FFF2-40B4-BE49-F238E27FC236}">
              <a16:creationId xmlns:a16="http://schemas.microsoft.com/office/drawing/2014/main" id="{5761F4F3-2681-DEC6-5A44-4A11E2AAE110}"/>
            </a:ext>
          </a:extLst>
        </xdr:cNvPr>
        <xdr:cNvPicPr>
          <a:picLocks noChangeAspect="1"/>
        </xdr:cNvPicPr>
      </xdr:nvPicPr>
      <xdr:blipFill>
        <a:blip xmlns:r="http://schemas.openxmlformats.org/officeDocument/2006/relationships" r:embed="rId6"/>
        <a:stretch>
          <a:fillRect/>
        </a:stretch>
      </xdr:blipFill>
      <xdr:spPr>
        <a:xfrm>
          <a:off x="19126646" y="544285"/>
          <a:ext cx="1854740" cy="1556657"/>
        </a:xfrm>
        <a:prstGeom prst="rect">
          <a:avLst/>
        </a:prstGeom>
      </xdr:spPr>
    </xdr:pic>
    <xdr:clientData/>
  </xdr:twoCellAnchor>
  <xdr:twoCellAnchor editAs="oneCell">
    <xdr:from>
      <xdr:col>16</xdr:col>
      <xdr:colOff>119744</xdr:colOff>
      <xdr:row>14</xdr:row>
      <xdr:rowOff>10886</xdr:rowOff>
    </xdr:from>
    <xdr:to>
      <xdr:col>16</xdr:col>
      <xdr:colOff>668432</xdr:colOff>
      <xdr:row>17</xdr:row>
      <xdr:rowOff>8751</xdr:rowOff>
    </xdr:to>
    <xdr:pic>
      <xdr:nvPicPr>
        <xdr:cNvPr id="11" name="Picture 10">
          <a:extLst>
            <a:ext uri="{FF2B5EF4-FFF2-40B4-BE49-F238E27FC236}">
              <a16:creationId xmlns:a16="http://schemas.microsoft.com/office/drawing/2014/main" id="{669A515D-7C9D-2E4A-7117-AF4CB908B6E8}"/>
            </a:ext>
          </a:extLst>
        </xdr:cNvPr>
        <xdr:cNvPicPr>
          <a:picLocks noChangeAspect="1"/>
        </xdr:cNvPicPr>
      </xdr:nvPicPr>
      <xdr:blipFill>
        <a:blip xmlns:r="http://schemas.openxmlformats.org/officeDocument/2006/relationships" r:embed="rId7"/>
        <a:stretch>
          <a:fillRect/>
        </a:stretch>
      </xdr:blipFill>
      <xdr:spPr>
        <a:xfrm>
          <a:off x="15784287" y="2492829"/>
          <a:ext cx="548688" cy="487722"/>
        </a:xfrm>
        <a:prstGeom prst="rect">
          <a:avLst/>
        </a:prstGeom>
      </xdr:spPr>
    </xdr:pic>
    <xdr:clientData/>
  </xdr:twoCellAnchor>
  <xdr:twoCellAnchor editAs="oneCell">
    <xdr:from>
      <xdr:col>16</xdr:col>
      <xdr:colOff>740229</xdr:colOff>
      <xdr:row>14</xdr:row>
      <xdr:rowOff>1</xdr:rowOff>
    </xdr:from>
    <xdr:to>
      <xdr:col>16</xdr:col>
      <xdr:colOff>1404257</xdr:colOff>
      <xdr:row>17</xdr:row>
      <xdr:rowOff>71487</xdr:rowOff>
    </xdr:to>
    <xdr:pic>
      <xdr:nvPicPr>
        <xdr:cNvPr id="12" name="Picture 11">
          <a:extLst>
            <a:ext uri="{FF2B5EF4-FFF2-40B4-BE49-F238E27FC236}">
              <a16:creationId xmlns:a16="http://schemas.microsoft.com/office/drawing/2014/main" id="{52D0C99D-7B2B-1552-7D3B-A0CE6F93A8EC}"/>
            </a:ext>
          </a:extLst>
        </xdr:cNvPr>
        <xdr:cNvPicPr>
          <a:picLocks noChangeAspect="1"/>
        </xdr:cNvPicPr>
      </xdr:nvPicPr>
      <xdr:blipFill>
        <a:blip xmlns:r="http://schemas.openxmlformats.org/officeDocument/2006/relationships" r:embed="rId8"/>
        <a:stretch>
          <a:fillRect/>
        </a:stretch>
      </xdr:blipFill>
      <xdr:spPr>
        <a:xfrm>
          <a:off x="16404772" y="2481944"/>
          <a:ext cx="664028" cy="561343"/>
        </a:xfrm>
        <a:prstGeom prst="rect">
          <a:avLst/>
        </a:prstGeom>
      </xdr:spPr>
    </xdr:pic>
    <xdr:clientData/>
  </xdr:twoCellAnchor>
  <xdr:twoCellAnchor editAs="oneCell">
    <xdr:from>
      <xdr:col>16</xdr:col>
      <xdr:colOff>76201</xdr:colOff>
      <xdr:row>18</xdr:row>
      <xdr:rowOff>119743</xdr:rowOff>
    </xdr:from>
    <xdr:to>
      <xdr:col>17</xdr:col>
      <xdr:colOff>42592</xdr:colOff>
      <xdr:row>21</xdr:row>
      <xdr:rowOff>135037</xdr:rowOff>
    </xdr:to>
    <xdr:pic>
      <xdr:nvPicPr>
        <xdr:cNvPr id="13" name="Picture 12">
          <a:extLst>
            <a:ext uri="{FF2B5EF4-FFF2-40B4-BE49-F238E27FC236}">
              <a16:creationId xmlns:a16="http://schemas.microsoft.com/office/drawing/2014/main" id="{ED96C0F5-AE64-F939-4318-A2A9E6D7349B}"/>
            </a:ext>
          </a:extLst>
        </xdr:cNvPr>
        <xdr:cNvPicPr>
          <a:picLocks noChangeAspect="1"/>
        </xdr:cNvPicPr>
      </xdr:nvPicPr>
      <xdr:blipFill>
        <a:blip xmlns:r="http://schemas.openxmlformats.org/officeDocument/2006/relationships" r:embed="rId9"/>
        <a:stretch>
          <a:fillRect/>
        </a:stretch>
      </xdr:blipFill>
      <xdr:spPr>
        <a:xfrm>
          <a:off x="15740744" y="3254829"/>
          <a:ext cx="1577477" cy="624894"/>
        </a:xfrm>
        <a:prstGeom prst="rect">
          <a:avLst/>
        </a:prstGeom>
      </xdr:spPr>
    </xdr:pic>
    <xdr:clientData/>
  </xdr:twoCellAnchor>
  <xdr:twoCellAnchor editAs="oneCell">
    <xdr:from>
      <xdr:col>17</xdr:col>
      <xdr:colOff>130628</xdr:colOff>
      <xdr:row>18</xdr:row>
      <xdr:rowOff>97971</xdr:rowOff>
    </xdr:from>
    <xdr:to>
      <xdr:col>18</xdr:col>
      <xdr:colOff>703335</xdr:colOff>
      <xdr:row>20</xdr:row>
      <xdr:rowOff>126306</xdr:rowOff>
    </xdr:to>
    <xdr:pic>
      <xdr:nvPicPr>
        <xdr:cNvPr id="14" name="Picture 13">
          <a:extLst>
            <a:ext uri="{FF2B5EF4-FFF2-40B4-BE49-F238E27FC236}">
              <a16:creationId xmlns:a16="http://schemas.microsoft.com/office/drawing/2014/main" id="{363D773A-A4D8-166B-76B4-617ECDE4E431}"/>
            </a:ext>
          </a:extLst>
        </xdr:cNvPr>
        <xdr:cNvPicPr>
          <a:picLocks noChangeAspect="1"/>
        </xdr:cNvPicPr>
      </xdr:nvPicPr>
      <xdr:blipFill>
        <a:blip xmlns:r="http://schemas.openxmlformats.org/officeDocument/2006/relationships" r:embed="rId10"/>
        <a:stretch>
          <a:fillRect/>
        </a:stretch>
      </xdr:blipFill>
      <xdr:spPr>
        <a:xfrm>
          <a:off x="17406257" y="3233057"/>
          <a:ext cx="1356478" cy="365792"/>
        </a:xfrm>
        <a:prstGeom prst="rect">
          <a:avLst/>
        </a:prstGeom>
      </xdr:spPr>
    </xdr:pic>
    <xdr:clientData/>
  </xdr:twoCellAnchor>
  <xdr:twoCellAnchor editAs="oneCell">
    <xdr:from>
      <xdr:col>17</xdr:col>
      <xdr:colOff>163286</xdr:colOff>
      <xdr:row>20</xdr:row>
      <xdr:rowOff>141514</xdr:rowOff>
    </xdr:from>
    <xdr:to>
      <xdr:col>18</xdr:col>
      <xdr:colOff>598821</xdr:colOff>
      <xdr:row>21</xdr:row>
      <xdr:rowOff>242783</xdr:rowOff>
    </xdr:to>
    <xdr:pic>
      <xdr:nvPicPr>
        <xdr:cNvPr id="15" name="Picture 14">
          <a:extLst>
            <a:ext uri="{FF2B5EF4-FFF2-40B4-BE49-F238E27FC236}">
              <a16:creationId xmlns:a16="http://schemas.microsoft.com/office/drawing/2014/main" id="{7C38B97A-7A5D-85CC-30C9-3138371A091E}"/>
            </a:ext>
          </a:extLst>
        </xdr:cNvPr>
        <xdr:cNvPicPr>
          <a:picLocks noChangeAspect="1"/>
        </xdr:cNvPicPr>
      </xdr:nvPicPr>
      <xdr:blipFill>
        <a:blip xmlns:r="http://schemas.openxmlformats.org/officeDocument/2006/relationships" r:embed="rId11"/>
        <a:stretch>
          <a:fillRect/>
        </a:stretch>
      </xdr:blipFill>
      <xdr:spPr>
        <a:xfrm>
          <a:off x="17438915" y="3614057"/>
          <a:ext cx="1219306" cy="373412"/>
        </a:xfrm>
        <a:prstGeom prst="rect">
          <a:avLst/>
        </a:prstGeom>
      </xdr:spPr>
    </xdr:pic>
    <xdr:clientData/>
  </xdr:twoCellAnchor>
  <xdr:twoCellAnchor editAs="oneCell">
    <xdr:from>
      <xdr:col>16</xdr:col>
      <xdr:colOff>1371598</xdr:colOff>
      <xdr:row>13</xdr:row>
      <xdr:rowOff>65315</xdr:rowOff>
    </xdr:from>
    <xdr:to>
      <xdr:col>17</xdr:col>
      <xdr:colOff>743577</xdr:colOff>
      <xdr:row>18</xdr:row>
      <xdr:rowOff>64297</xdr:rowOff>
    </xdr:to>
    <xdr:pic>
      <xdr:nvPicPr>
        <xdr:cNvPr id="16" name="Picture 15">
          <a:extLst>
            <a:ext uri="{FF2B5EF4-FFF2-40B4-BE49-F238E27FC236}">
              <a16:creationId xmlns:a16="http://schemas.microsoft.com/office/drawing/2014/main" id="{5068E552-8627-D266-634F-F81CA0C9B99F}"/>
            </a:ext>
          </a:extLst>
        </xdr:cNvPr>
        <xdr:cNvPicPr>
          <a:picLocks noChangeAspect="1"/>
        </xdr:cNvPicPr>
      </xdr:nvPicPr>
      <xdr:blipFill>
        <a:blip xmlns:r="http://schemas.openxmlformats.org/officeDocument/2006/relationships" r:embed="rId12"/>
        <a:stretch>
          <a:fillRect/>
        </a:stretch>
      </xdr:blipFill>
      <xdr:spPr>
        <a:xfrm>
          <a:off x="17036141" y="2383972"/>
          <a:ext cx="983065" cy="815411"/>
        </a:xfrm>
        <a:prstGeom prst="rect">
          <a:avLst/>
        </a:prstGeom>
      </xdr:spPr>
    </xdr:pic>
    <xdr:clientData/>
  </xdr:twoCellAnchor>
  <xdr:twoCellAnchor editAs="oneCell">
    <xdr:from>
      <xdr:col>16</xdr:col>
      <xdr:colOff>65314</xdr:colOff>
      <xdr:row>21</xdr:row>
      <xdr:rowOff>664028</xdr:rowOff>
    </xdr:from>
    <xdr:to>
      <xdr:col>17</xdr:col>
      <xdr:colOff>46946</xdr:colOff>
      <xdr:row>22</xdr:row>
      <xdr:rowOff>326611</xdr:rowOff>
    </xdr:to>
    <xdr:pic>
      <xdr:nvPicPr>
        <xdr:cNvPr id="17" name="Picture 16">
          <a:extLst>
            <a:ext uri="{FF2B5EF4-FFF2-40B4-BE49-F238E27FC236}">
              <a16:creationId xmlns:a16="http://schemas.microsoft.com/office/drawing/2014/main" id="{BEA7165D-4A65-21EF-453A-5848874B8A7F}"/>
            </a:ext>
          </a:extLst>
        </xdr:cNvPr>
        <xdr:cNvPicPr>
          <a:picLocks noChangeAspect="1"/>
        </xdr:cNvPicPr>
      </xdr:nvPicPr>
      <xdr:blipFill>
        <a:blip xmlns:r="http://schemas.openxmlformats.org/officeDocument/2006/relationships" r:embed="rId13"/>
        <a:stretch>
          <a:fillRect/>
        </a:stretch>
      </xdr:blipFill>
      <xdr:spPr>
        <a:xfrm>
          <a:off x="15729857" y="4408714"/>
          <a:ext cx="1592718" cy="457240"/>
        </a:xfrm>
        <a:prstGeom prst="rect">
          <a:avLst/>
        </a:prstGeom>
      </xdr:spPr>
    </xdr:pic>
    <xdr:clientData/>
  </xdr:twoCellAnchor>
  <xdr:twoCellAnchor editAs="oneCell">
    <xdr:from>
      <xdr:col>16</xdr:col>
      <xdr:colOff>54428</xdr:colOff>
      <xdr:row>21</xdr:row>
      <xdr:rowOff>261257</xdr:rowOff>
    </xdr:from>
    <xdr:to>
      <xdr:col>17</xdr:col>
      <xdr:colOff>127508</xdr:colOff>
      <xdr:row>21</xdr:row>
      <xdr:rowOff>604187</xdr:rowOff>
    </xdr:to>
    <xdr:pic>
      <xdr:nvPicPr>
        <xdr:cNvPr id="18" name="Picture 17">
          <a:extLst>
            <a:ext uri="{FF2B5EF4-FFF2-40B4-BE49-F238E27FC236}">
              <a16:creationId xmlns:a16="http://schemas.microsoft.com/office/drawing/2014/main" id="{3C346673-2C33-710D-3736-A05EC8DB6D34}"/>
            </a:ext>
          </a:extLst>
        </xdr:cNvPr>
        <xdr:cNvPicPr>
          <a:picLocks noChangeAspect="1"/>
        </xdr:cNvPicPr>
      </xdr:nvPicPr>
      <xdr:blipFill>
        <a:blip xmlns:r="http://schemas.openxmlformats.org/officeDocument/2006/relationships" r:embed="rId14"/>
        <a:stretch>
          <a:fillRect/>
        </a:stretch>
      </xdr:blipFill>
      <xdr:spPr>
        <a:xfrm>
          <a:off x="15718971" y="4005943"/>
          <a:ext cx="1684166" cy="342930"/>
        </a:xfrm>
        <a:prstGeom prst="rect">
          <a:avLst/>
        </a:prstGeom>
      </xdr:spPr>
    </xdr:pic>
    <xdr:clientData/>
  </xdr:twoCellAnchor>
  <xdr:twoCellAnchor editAs="oneCell">
    <xdr:from>
      <xdr:col>16</xdr:col>
      <xdr:colOff>54429</xdr:colOff>
      <xdr:row>22</xdr:row>
      <xdr:rowOff>348344</xdr:rowOff>
    </xdr:from>
    <xdr:to>
      <xdr:col>17</xdr:col>
      <xdr:colOff>561887</xdr:colOff>
      <xdr:row>23</xdr:row>
      <xdr:rowOff>252594</xdr:rowOff>
    </xdr:to>
    <xdr:pic>
      <xdr:nvPicPr>
        <xdr:cNvPr id="19" name="Picture 18">
          <a:extLst>
            <a:ext uri="{FF2B5EF4-FFF2-40B4-BE49-F238E27FC236}">
              <a16:creationId xmlns:a16="http://schemas.microsoft.com/office/drawing/2014/main" id="{79037922-4DBD-256E-1F6F-5EB7C4284932}"/>
            </a:ext>
          </a:extLst>
        </xdr:cNvPr>
        <xdr:cNvPicPr>
          <a:picLocks noChangeAspect="1"/>
        </xdr:cNvPicPr>
      </xdr:nvPicPr>
      <xdr:blipFill>
        <a:blip xmlns:r="http://schemas.openxmlformats.org/officeDocument/2006/relationships" r:embed="rId15"/>
        <a:stretch>
          <a:fillRect/>
        </a:stretch>
      </xdr:blipFill>
      <xdr:spPr>
        <a:xfrm>
          <a:off x="15718972" y="4887687"/>
          <a:ext cx="2118544" cy="502964"/>
        </a:xfrm>
        <a:prstGeom prst="rect">
          <a:avLst/>
        </a:prstGeom>
      </xdr:spPr>
    </xdr:pic>
    <xdr:clientData/>
  </xdr:twoCellAnchor>
  <xdr:twoCellAnchor editAs="oneCell">
    <xdr:from>
      <xdr:col>18</xdr:col>
      <xdr:colOff>674914</xdr:colOff>
      <xdr:row>18</xdr:row>
      <xdr:rowOff>54428</xdr:rowOff>
    </xdr:from>
    <xdr:to>
      <xdr:col>19</xdr:col>
      <xdr:colOff>668450</xdr:colOff>
      <xdr:row>20</xdr:row>
      <xdr:rowOff>258038</xdr:rowOff>
    </xdr:to>
    <xdr:pic>
      <xdr:nvPicPr>
        <xdr:cNvPr id="20" name="Picture 19">
          <a:extLst>
            <a:ext uri="{FF2B5EF4-FFF2-40B4-BE49-F238E27FC236}">
              <a16:creationId xmlns:a16="http://schemas.microsoft.com/office/drawing/2014/main" id="{77CED80C-FCA0-8E65-EF9B-BDBDAB64063F}"/>
            </a:ext>
          </a:extLst>
        </xdr:cNvPr>
        <xdr:cNvPicPr>
          <a:picLocks noChangeAspect="1"/>
        </xdr:cNvPicPr>
      </xdr:nvPicPr>
      <xdr:blipFill>
        <a:blip xmlns:r="http://schemas.openxmlformats.org/officeDocument/2006/relationships" r:embed="rId16"/>
        <a:stretch>
          <a:fillRect/>
        </a:stretch>
      </xdr:blipFill>
      <xdr:spPr>
        <a:xfrm>
          <a:off x="18734314" y="3189514"/>
          <a:ext cx="777307" cy="541067"/>
        </a:xfrm>
        <a:prstGeom prst="rect">
          <a:avLst/>
        </a:prstGeom>
      </xdr:spPr>
    </xdr:pic>
    <xdr:clientData/>
  </xdr:twoCellAnchor>
  <xdr:twoCellAnchor editAs="oneCell">
    <xdr:from>
      <xdr:col>20</xdr:col>
      <xdr:colOff>587829</xdr:colOff>
      <xdr:row>11</xdr:row>
      <xdr:rowOff>21771</xdr:rowOff>
    </xdr:from>
    <xdr:to>
      <xdr:col>22</xdr:col>
      <xdr:colOff>642257</xdr:colOff>
      <xdr:row>20</xdr:row>
      <xdr:rowOff>26008</xdr:rowOff>
    </xdr:to>
    <xdr:pic>
      <xdr:nvPicPr>
        <xdr:cNvPr id="4" name="Picture 3">
          <a:extLst>
            <a:ext uri="{FF2B5EF4-FFF2-40B4-BE49-F238E27FC236}">
              <a16:creationId xmlns:a16="http://schemas.microsoft.com/office/drawing/2014/main" id="{86350D26-1DDB-47F5-1F25-C69484DA5E87}"/>
            </a:ext>
          </a:extLst>
        </xdr:cNvPr>
        <xdr:cNvPicPr>
          <a:picLocks noChangeAspect="1"/>
        </xdr:cNvPicPr>
      </xdr:nvPicPr>
      <xdr:blipFill>
        <a:blip xmlns:r="http://schemas.openxmlformats.org/officeDocument/2006/relationships" r:embed="rId17"/>
        <a:stretch>
          <a:fillRect/>
        </a:stretch>
      </xdr:blipFill>
      <xdr:spPr>
        <a:xfrm>
          <a:off x="20214772" y="1894114"/>
          <a:ext cx="1621971" cy="1604437"/>
        </a:xfrm>
        <a:prstGeom prst="rect">
          <a:avLst/>
        </a:prstGeom>
      </xdr:spPr>
    </xdr:pic>
    <xdr:clientData/>
  </xdr:twoCellAnchor>
  <xdr:twoCellAnchor editAs="oneCell">
    <xdr:from>
      <xdr:col>22</xdr:col>
      <xdr:colOff>642258</xdr:colOff>
      <xdr:row>11</xdr:row>
      <xdr:rowOff>76200</xdr:rowOff>
    </xdr:from>
    <xdr:to>
      <xdr:col>25</xdr:col>
      <xdr:colOff>693</xdr:colOff>
      <xdr:row>20</xdr:row>
      <xdr:rowOff>38235</xdr:rowOff>
    </xdr:to>
    <xdr:pic>
      <xdr:nvPicPr>
        <xdr:cNvPr id="7" name="Picture 6">
          <a:extLst>
            <a:ext uri="{FF2B5EF4-FFF2-40B4-BE49-F238E27FC236}">
              <a16:creationId xmlns:a16="http://schemas.microsoft.com/office/drawing/2014/main" id="{CD64DC50-7F2B-5D9A-34F4-957D4849066D}"/>
            </a:ext>
          </a:extLst>
        </xdr:cNvPr>
        <xdr:cNvPicPr>
          <a:picLocks noChangeAspect="1"/>
        </xdr:cNvPicPr>
      </xdr:nvPicPr>
      <xdr:blipFill>
        <a:blip xmlns:r="http://schemas.openxmlformats.org/officeDocument/2006/relationships" r:embed="rId18"/>
        <a:stretch>
          <a:fillRect/>
        </a:stretch>
      </xdr:blipFill>
      <xdr:spPr>
        <a:xfrm>
          <a:off x="21836744" y="1948543"/>
          <a:ext cx="1707028" cy="1562235"/>
        </a:xfrm>
        <a:prstGeom prst="rect">
          <a:avLst/>
        </a:prstGeom>
      </xdr:spPr>
    </xdr:pic>
    <xdr:clientData/>
  </xdr:twoCellAnchor>
  <xdr:twoCellAnchor editAs="oneCell">
    <xdr:from>
      <xdr:col>17</xdr:col>
      <xdr:colOff>326570</xdr:colOff>
      <xdr:row>21</xdr:row>
      <xdr:rowOff>261256</xdr:rowOff>
    </xdr:from>
    <xdr:to>
      <xdr:col>18</xdr:col>
      <xdr:colOff>152452</xdr:colOff>
      <xdr:row>21</xdr:row>
      <xdr:rowOff>619427</xdr:rowOff>
    </xdr:to>
    <xdr:pic>
      <xdr:nvPicPr>
        <xdr:cNvPr id="21" name="Picture 20">
          <a:extLst>
            <a:ext uri="{FF2B5EF4-FFF2-40B4-BE49-F238E27FC236}">
              <a16:creationId xmlns:a16="http://schemas.microsoft.com/office/drawing/2014/main" id="{7FD4ABB3-1FA5-A697-FBF4-CD80D9FD388E}"/>
            </a:ext>
          </a:extLst>
        </xdr:cNvPr>
        <xdr:cNvPicPr>
          <a:picLocks noChangeAspect="1"/>
        </xdr:cNvPicPr>
      </xdr:nvPicPr>
      <xdr:blipFill>
        <a:blip xmlns:r="http://schemas.openxmlformats.org/officeDocument/2006/relationships" r:embed="rId19"/>
        <a:stretch>
          <a:fillRect/>
        </a:stretch>
      </xdr:blipFill>
      <xdr:spPr>
        <a:xfrm>
          <a:off x="17602199" y="4005942"/>
          <a:ext cx="609653" cy="358171"/>
        </a:xfrm>
        <a:prstGeom prst="rect">
          <a:avLst/>
        </a:prstGeom>
      </xdr:spPr>
    </xdr:pic>
    <xdr:clientData/>
  </xdr:twoCellAnchor>
  <xdr:twoCellAnchor editAs="oneCell">
    <xdr:from>
      <xdr:col>18</xdr:col>
      <xdr:colOff>674913</xdr:colOff>
      <xdr:row>21</xdr:row>
      <xdr:rowOff>76198</xdr:rowOff>
    </xdr:from>
    <xdr:to>
      <xdr:col>19</xdr:col>
      <xdr:colOff>668449</xdr:colOff>
      <xdr:row>21</xdr:row>
      <xdr:rowOff>579162</xdr:rowOff>
    </xdr:to>
    <xdr:pic>
      <xdr:nvPicPr>
        <xdr:cNvPr id="22" name="Picture 21">
          <a:extLst>
            <a:ext uri="{FF2B5EF4-FFF2-40B4-BE49-F238E27FC236}">
              <a16:creationId xmlns:a16="http://schemas.microsoft.com/office/drawing/2014/main" id="{38684387-5BCB-3545-48D0-8066BFAC57CE}"/>
            </a:ext>
          </a:extLst>
        </xdr:cNvPr>
        <xdr:cNvPicPr>
          <a:picLocks noChangeAspect="1"/>
        </xdr:cNvPicPr>
      </xdr:nvPicPr>
      <xdr:blipFill>
        <a:blip xmlns:r="http://schemas.openxmlformats.org/officeDocument/2006/relationships" r:embed="rId20"/>
        <a:stretch>
          <a:fillRect/>
        </a:stretch>
      </xdr:blipFill>
      <xdr:spPr>
        <a:xfrm>
          <a:off x="18734313" y="3820884"/>
          <a:ext cx="777307" cy="502964"/>
        </a:xfrm>
        <a:prstGeom prst="rect">
          <a:avLst/>
        </a:prstGeom>
      </xdr:spPr>
    </xdr:pic>
    <xdr:clientData/>
  </xdr:twoCellAnchor>
  <xdr:twoCellAnchor editAs="oneCell">
    <xdr:from>
      <xdr:col>18</xdr:col>
      <xdr:colOff>21772</xdr:colOff>
      <xdr:row>14</xdr:row>
      <xdr:rowOff>43543</xdr:rowOff>
    </xdr:from>
    <xdr:to>
      <xdr:col>19</xdr:col>
      <xdr:colOff>358238</xdr:colOff>
      <xdr:row>17</xdr:row>
      <xdr:rowOff>117615</xdr:rowOff>
    </xdr:to>
    <xdr:pic>
      <xdr:nvPicPr>
        <xdr:cNvPr id="23" name="Picture 22">
          <a:extLst>
            <a:ext uri="{FF2B5EF4-FFF2-40B4-BE49-F238E27FC236}">
              <a16:creationId xmlns:a16="http://schemas.microsoft.com/office/drawing/2014/main" id="{AFA06779-3728-AFCE-B23C-3D3A4483D399}"/>
            </a:ext>
          </a:extLst>
        </xdr:cNvPr>
        <xdr:cNvPicPr>
          <a:picLocks noChangeAspect="1"/>
        </xdr:cNvPicPr>
      </xdr:nvPicPr>
      <xdr:blipFill>
        <a:blip xmlns:r="http://schemas.openxmlformats.org/officeDocument/2006/relationships" r:embed="rId21"/>
        <a:stretch>
          <a:fillRect/>
        </a:stretch>
      </xdr:blipFill>
      <xdr:spPr>
        <a:xfrm>
          <a:off x="18081172" y="2525486"/>
          <a:ext cx="1120237" cy="563929"/>
        </a:xfrm>
        <a:prstGeom prst="rect">
          <a:avLst/>
        </a:prstGeom>
      </xdr:spPr>
    </xdr:pic>
    <xdr:clientData/>
  </xdr:twoCellAnchor>
  <xdr:twoCellAnchor editAs="oneCell">
    <xdr:from>
      <xdr:col>17</xdr:col>
      <xdr:colOff>609599</xdr:colOff>
      <xdr:row>22</xdr:row>
      <xdr:rowOff>402771</xdr:rowOff>
    </xdr:from>
    <xdr:to>
      <xdr:col>19</xdr:col>
      <xdr:colOff>253742</xdr:colOff>
      <xdr:row>23</xdr:row>
      <xdr:rowOff>207952</xdr:rowOff>
    </xdr:to>
    <xdr:pic>
      <xdr:nvPicPr>
        <xdr:cNvPr id="24" name="Picture 23">
          <a:extLst>
            <a:ext uri="{FF2B5EF4-FFF2-40B4-BE49-F238E27FC236}">
              <a16:creationId xmlns:a16="http://schemas.microsoft.com/office/drawing/2014/main" id="{EE5BC7A6-34DF-DF42-8C00-31F664695BC1}"/>
            </a:ext>
          </a:extLst>
        </xdr:cNvPr>
        <xdr:cNvPicPr>
          <a:picLocks noChangeAspect="1"/>
        </xdr:cNvPicPr>
      </xdr:nvPicPr>
      <xdr:blipFill>
        <a:blip xmlns:r="http://schemas.openxmlformats.org/officeDocument/2006/relationships" r:embed="rId22"/>
        <a:stretch>
          <a:fillRect/>
        </a:stretch>
      </xdr:blipFill>
      <xdr:spPr>
        <a:xfrm>
          <a:off x="17885228" y="4942114"/>
          <a:ext cx="1211685" cy="403895"/>
        </a:xfrm>
        <a:prstGeom prst="rect">
          <a:avLst/>
        </a:prstGeom>
      </xdr:spPr>
    </xdr:pic>
    <xdr:clientData/>
  </xdr:twoCellAnchor>
  <xdr:twoCellAnchor editAs="oneCell">
    <xdr:from>
      <xdr:col>17</xdr:col>
      <xdr:colOff>195942</xdr:colOff>
      <xdr:row>21</xdr:row>
      <xdr:rowOff>642257</xdr:rowOff>
    </xdr:from>
    <xdr:to>
      <xdr:col>19</xdr:col>
      <xdr:colOff>122049</xdr:colOff>
      <xdr:row>22</xdr:row>
      <xdr:rowOff>327702</xdr:rowOff>
    </xdr:to>
    <xdr:pic>
      <xdr:nvPicPr>
        <xdr:cNvPr id="25" name="Picture 24">
          <a:extLst>
            <a:ext uri="{FF2B5EF4-FFF2-40B4-BE49-F238E27FC236}">
              <a16:creationId xmlns:a16="http://schemas.microsoft.com/office/drawing/2014/main" id="{8B97475D-A60C-0ECB-27BD-CB6065847E17}"/>
            </a:ext>
          </a:extLst>
        </xdr:cNvPr>
        <xdr:cNvPicPr>
          <a:picLocks noChangeAspect="1"/>
        </xdr:cNvPicPr>
      </xdr:nvPicPr>
      <xdr:blipFill>
        <a:blip xmlns:r="http://schemas.openxmlformats.org/officeDocument/2006/relationships" r:embed="rId23"/>
        <a:stretch>
          <a:fillRect/>
        </a:stretch>
      </xdr:blipFill>
      <xdr:spPr>
        <a:xfrm>
          <a:off x="17471571" y="4386943"/>
          <a:ext cx="1493649" cy="480102"/>
        </a:xfrm>
        <a:prstGeom prst="rect">
          <a:avLst/>
        </a:prstGeom>
      </xdr:spPr>
    </xdr:pic>
    <xdr:clientData/>
  </xdr:twoCellAnchor>
  <xdr:twoCellAnchor editAs="oneCell">
    <xdr:from>
      <xdr:col>16</xdr:col>
      <xdr:colOff>65315</xdr:colOff>
      <xdr:row>23</xdr:row>
      <xdr:rowOff>315685</xdr:rowOff>
    </xdr:from>
    <xdr:to>
      <xdr:col>17</xdr:col>
      <xdr:colOff>382256</xdr:colOff>
      <xdr:row>24</xdr:row>
      <xdr:rowOff>329868</xdr:rowOff>
    </xdr:to>
    <xdr:pic>
      <xdr:nvPicPr>
        <xdr:cNvPr id="26" name="Picture 25">
          <a:extLst>
            <a:ext uri="{FF2B5EF4-FFF2-40B4-BE49-F238E27FC236}">
              <a16:creationId xmlns:a16="http://schemas.microsoft.com/office/drawing/2014/main" id="{B9CC259F-86C1-5D07-1DC0-B571B66B63ED}"/>
            </a:ext>
          </a:extLst>
        </xdr:cNvPr>
        <xdr:cNvPicPr>
          <a:picLocks noChangeAspect="1"/>
        </xdr:cNvPicPr>
      </xdr:nvPicPr>
      <xdr:blipFill>
        <a:blip xmlns:r="http://schemas.openxmlformats.org/officeDocument/2006/relationships" r:embed="rId24"/>
        <a:stretch>
          <a:fillRect/>
        </a:stretch>
      </xdr:blipFill>
      <xdr:spPr>
        <a:xfrm>
          <a:off x="15729858" y="5453742"/>
          <a:ext cx="1928027" cy="373412"/>
        </a:xfrm>
        <a:prstGeom prst="rect">
          <a:avLst/>
        </a:prstGeom>
      </xdr:spPr>
    </xdr:pic>
    <xdr:clientData/>
  </xdr:twoCellAnchor>
  <xdr:twoCellAnchor editAs="oneCell">
    <xdr:from>
      <xdr:col>17</xdr:col>
      <xdr:colOff>511628</xdr:colOff>
      <xdr:row>23</xdr:row>
      <xdr:rowOff>348342</xdr:rowOff>
    </xdr:from>
    <xdr:to>
      <xdr:col>19</xdr:col>
      <xdr:colOff>209116</xdr:colOff>
      <xdr:row>24</xdr:row>
      <xdr:rowOff>370146</xdr:rowOff>
    </xdr:to>
    <xdr:pic>
      <xdr:nvPicPr>
        <xdr:cNvPr id="27" name="Picture 26">
          <a:extLst>
            <a:ext uri="{FF2B5EF4-FFF2-40B4-BE49-F238E27FC236}">
              <a16:creationId xmlns:a16="http://schemas.microsoft.com/office/drawing/2014/main" id="{3262C2CF-3FD5-4A8A-260A-4389974A4E23}"/>
            </a:ext>
          </a:extLst>
        </xdr:cNvPr>
        <xdr:cNvPicPr>
          <a:picLocks noChangeAspect="1"/>
        </xdr:cNvPicPr>
      </xdr:nvPicPr>
      <xdr:blipFill>
        <a:blip xmlns:r="http://schemas.openxmlformats.org/officeDocument/2006/relationships" r:embed="rId25"/>
        <a:stretch>
          <a:fillRect/>
        </a:stretch>
      </xdr:blipFill>
      <xdr:spPr>
        <a:xfrm>
          <a:off x="17787257" y="5486399"/>
          <a:ext cx="1265030" cy="381033"/>
        </a:xfrm>
        <a:prstGeom prst="rect">
          <a:avLst/>
        </a:prstGeom>
      </xdr:spPr>
    </xdr:pic>
    <xdr:clientData/>
  </xdr:twoCellAnchor>
  <xdr:twoCellAnchor editAs="oneCell">
    <xdr:from>
      <xdr:col>20</xdr:col>
      <xdr:colOff>707571</xdr:colOff>
      <xdr:row>21</xdr:row>
      <xdr:rowOff>751114</xdr:rowOff>
    </xdr:from>
    <xdr:to>
      <xdr:col>24</xdr:col>
      <xdr:colOff>354026</xdr:colOff>
      <xdr:row>22</xdr:row>
      <xdr:rowOff>489903</xdr:rowOff>
    </xdr:to>
    <xdr:pic>
      <xdr:nvPicPr>
        <xdr:cNvPr id="28" name="Picture 27">
          <a:extLst>
            <a:ext uri="{FF2B5EF4-FFF2-40B4-BE49-F238E27FC236}">
              <a16:creationId xmlns:a16="http://schemas.microsoft.com/office/drawing/2014/main" id="{616029BC-07E9-2FA4-E71C-477A31D65E56}"/>
            </a:ext>
          </a:extLst>
        </xdr:cNvPr>
        <xdr:cNvPicPr>
          <a:picLocks noChangeAspect="1"/>
        </xdr:cNvPicPr>
      </xdr:nvPicPr>
      <xdr:blipFill>
        <a:blip xmlns:r="http://schemas.openxmlformats.org/officeDocument/2006/relationships" r:embed="rId26"/>
        <a:stretch>
          <a:fillRect/>
        </a:stretch>
      </xdr:blipFill>
      <xdr:spPr>
        <a:xfrm>
          <a:off x="20334514" y="4495800"/>
          <a:ext cx="2781541" cy="533446"/>
        </a:xfrm>
        <a:prstGeom prst="rect">
          <a:avLst/>
        </a:prstGeom>
      </xdr:spPr>
    </xdr:pic>
    <xdr:clientData/>
  </xdr:twoCellAnchor>
  <xdr:twoCellAnchor editAs="oneCell">
    <xdr:from>
      <xdr:col>21</xdr:col>
      <xdr:colOff>413657</xdr:colOff>
      <xdr:row>22</xdr:row>
      <xdr:rowOff>576943</xdr:rowOff>
    </xdr:from>
    <xdr:to>
      <xdr:col>24</xdr:col>
      <xdr:colOff>318057</xdr:colOff>
      <xdr:row>24</xdr:row>
      <xdr:rowOff>38136</xdr:rowOff>
    </xdr:to>
    <xdr:pic>
      <xdr:nvPicPr>
        <xdr:cNvPr id="29" name="Picture 28">
          <a:extLst>
            <a:ext uri="{FF2B5EF4-FFF2-40B4-BE49-F238E27FC236}">
              <a16:creationId xmlns:a16="http://schemas.microsoft.com/office/drawing/2014/main" id="{CAEEA380-7879-4B26-DC82-06616B5D117A}"/>
            </a:ext>
          </a:extLst>
        </xdr:cNvPr>
        <xdr:cNvPicPr>
          <a:picLocks noChangeAspect="1"/>
        </xdr:cNvPicPr>
      </xdr:nvPicPr>
      <xdr:blipFill>
        <a:blip xmlns:r="http://schemas.openxmlformats.org/officeDocument/2006/relationships" r:embed="rId27"/>
        <a:stretch>
          <a:fillRect/>
        </a:stretch>
      </xdr:blipFill>
      <xdr:spPr>
        <a:xfrm>
          <a:off x="20824371" y="5116286"/>
          <a:ext cx="2255715" cy="419136"/>
        </a:xfrm>
        <a:prstGeom prst="rect">
          <a:avLst/>
        </a:prstGeom>
      </xdr:spPr>
    </xdr:pic>
    <xdr:clientData/>
  </xdr:twoCellAnchor>
  <xdr:twoCellAnchor editAs="oneCell">
    <xdr:from>
      <xdr:col>19</xdr:col>
      <xdr:colOff>576943</xdr:colOff>
      <xdr:row>24</xdr:row>
      <xdr:rowOff>141515</xdr:rowOff>
    </xdr:from>
    <xdr:to>
      <xdr:col>24</xdr:col>
      <xdr:colOff>331243</xdr:colOff>
      <xdr:row>25</xdr:row>
      <xdr:rowOff>275456</xdr:rowOff>
    </xdr:to>
    <xdr:pic>
      <xdr:nvPicPr>
        <xdr:cNvPr id="30" name="Picture 29">
          <a:extLst>
            <a:ext uri="{FF2B5EF4-FFF2-40B4-BE49-F238E27FC236}">
              <a16:creationId xmlns:a16="http://schemas.microsoft.com/office/drawing/2014/main" id="{C2A45BE2-4EEE-D54C-4F16-712B546EF5BE}"/>
            </a:ext>
          </a:extLst>
        </xdr:cNvPr>
        <xdr:cNvPicPr>
          <a:picLocks noChangeAspect="1"/>
        </xdr:cNvPicPr>
      </xdr:nvPicPr>
      <xdr:blipFill>
        <a:blip xmlns:r="http://schemas.openxmlformats.org/officeDocument/2006/relationships" r:embed="rId28"/>
        <a:stretch>
          <a:fillRect/>
        </a:stretch>
      </xdr:blipFill>
      <xdr:spPr>
        <a:xfrm>
          <a:off x="19420114" y="5638801"/>
          <a:ext cx="3673158" cy="525826"/>
        </a:xfrm>
        <a:prstGeom prst="rect">
          <a:avLst/>
        </a:prstGeom>
      </xdr:spPr>
    </xdr:pic>
    <xdr:clientData/>
  </xdr:twoCellAnchor>
  <xdr:twoCellAnchor editAs="oneCell">
    <xdr:from>
      <xdr:col>21</xdr:col>
      <xdr:colOff>707571</xdr:colOff>
      <xdr:row>25</xdr:row>
      <xdr:rowOff>370115</xdr:rowOff>
    </xdr:from>
    <xdr:to>
      <xdr:col>24</xdr:col>
      <xdr:colOff>314766</xdr:colOff>
      <xdr:row>27</xdr:row>
      <xdr:rowOff>121964</xdr:rowOff>
    </xdr:to>
    <xdr:pic>
      <xdr:nvPicPr>
        <xdr:cNvPr id="31" name="Picture 30">
          <a:extLst>
            <a:ext uri="{FF2B5EF4-FFF2-40B4-BE49-F238E27FC236}">
              <a16:creationId xmlns:a16="http://schemas.microsoft.com/office/drawing/2014/main" id="{F7D9DDD1-8F50-282F-2D91-45E68F7F9454}"/>
            </a:ext>
          </a:extLst>
        </xdr:cNvPr>
        <xdr:cNvPicPr>
          <a:picLocks noChangeAspect="1"/>
        </xdr:cNvPicPr>
      </xdr:nvPicPr>
      <xdr:blipFill>
        <a:blip xmlns:r="http://schemas.openxmlformats.org/officeDocument/2006/relationships" r:embed="rId29"/>
        <a:stretch>
          <a:fillRect/>
        </a:stretch>
      </xdr:blipFill>
      <xdr:spPr>
        <a:xfrm>
          <a:off x="21118285" y="6259286"/>
          <a:ext cx="1958510" cy="502964"/>
        </a:xfrm>
        <a:prstGeom prst="rect">
          <a:avLst/>
        </a:prstGeom>
      </xdr:spPr>
    </xdr:pic>
    <xdr:clientData/>
  </xdr:twoCellAnchor>
  <xdr:twoCellAnchor editAs="oneCell">
    <xdr:from>
      <xdr:col>9</xdr:col>
      <xdr:colOff>114033</xdr:colOff>
      <xdr:row>31</xdr:row>
      <xdr:rowOff>231322</xdr:rowOff>
    </xdr:from>
    <xdr:to>
      <xdr:col>16</xdr:col>
      <xdr:colOff>1389528</xdr:colOff>
      <xdr:row>53</xdr:row>
      <xdr:rowOff>108858</xdr:rowOff>
    </xdr:to>
    <xdr:pic>
      <xdr:nvPicPr>
        <xdr:cNvPr id="33" name="Picture 32">
          <a:extLst>
            <a:ext uri="{FF2B5EF4-FFF2-40B4-BE49-F238E27FC236}">
              <a16:creationId xmlns:a16="http://schemas.microsoft.com/office/drawing/2014/main" id="{13696EE2-5F2E-372F-56D4-688FCB3B0F10}"/>
            </a:ext>
          </a:extLst>
        </xdr:cNvPr>
        <xdr:cNvPicPr>
          <a:picLocks noChangeAspect="1"/>
        </xdr:cNvPicPr>
      </xdr:nvPicPr>
      <xdr:blipFill>
        <a:blip xmlns:r="http://schemas.openxmlformats.org/officeDocument/2006/relationships" r:embed="rId30"/>
        <a:stretch>
          <a:fillRect/>
        </a:stretch>
      </xdr:blipFill>
      <xdr:spPr>
        <a:xfrm>
          <a:off x="10031239" y="8187498"/>
          <a:ext cx="6609495" cy="42478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82177</xdr:colOff>
      <xdr:row>3</xdr:row>
      <xdr:rowOff>321237</xdr:rowOff>
    </xdr:from>
    <xdr:to>
      <xdr:col>1</xdr:col>
      <xdr:colOff>2049929</xdr:colOff>
      <xdr:row>3</xdr:row>
      <xdr:rowOff>1131794</xdr:rowOff>
    </xdr:to>
    <xdr:pic>
      <xdr:nvPicPr>
        <xdr:cNvPr id="3" name="Picture 5">
          <a:extLst>
            <a:ext uri="{FF2B5EF4-FFF2-40B4-BE49-F238E27FC236}">
              <a16:creationId xmlns:a16="http://schemas.microsoft.com/office/drawing/2014/main" id="{9040F2EE-B4EA-A66D-404C-B6FF14AF60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795" y="2730502"/>
          <a:ext cx="1967752" cy="810557"/>
        </a:xfrm>
        <a:prstGeom prst="rect">
          <a:avLst/>
        </a:prstGeom>
      </xdr:spPr>
    </xdr:pic>
    <xdr:clientData/>
  </xdr:twoCellAnchor>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590550</xdr:colOff>
      <xdr:row>1</xdr:row>
      <xdr:rowOff>19050</xdr:rowOff>
    </xdr:from>
    <xdr:to>
      <xdr:col>1</xdr:col>
      <xdr:colOff>1552575</xdr:colOff>
      <xdr:row>1</xdr:row>
      <xdr:rowOff>981075</xdr:rowOff>
    </xdr:to>
    <xdr:pic>
      <xdr:nvPicPr>
        <xdr:cNvPr id="2" name="Picture 1">
          <a:extLst>
            <a:ext uri="{FF2B5EF4-FFF2-40B4-BE49-F238E27FC236}">
              <a16:creationId xmlns:a16="http://schemas.microsoft.com/office/drawing/2014/main" id="{F541FBA1-49AC-7A44-EB63-CACF5BA5C7AB}"/>
            </a:ext>
            <a:ext uri="{147F2762-F138-4A5C-976F-8EAC2B608ADB}">
              <a16:predDERef xmlns:a16="http://schemas.microsoft.com/office/drawing/2014/main" pred="{71A499F7-7BCB-43D8-AAAA-8629B391E887}"/>
            </a:ext>
          </a:extLst>
        </xdr:cNvPr>
        <xdr:cNvPicPr>
          <a:picLocks noChangeAspect="1"/>
        </xdr:cNvPicPr>
      </xdr:nvPicPr>
      <xdr:blipFill>
        <a:blip xmlns:r="http://schemas.openxmlformats.org/officeDocument/2006/relationships" r:embed="rId2"/>
        <a:stretch>
          <a:fillRect/>
        </a:stretch>
      </xdr:blipFill>
      <xdr:spPr>
        <a:xfrm>
          <a:off x="628650" y="209550"/>
          <a:ext cx="962025" cy="962025"/>
        </a:xfrm>
        <a:prstGeom prst="rect">
          <a:avLst/>
        </a:prstGeom>
      </xdr:spPr>
    </xdr:pic>
    <xdr:clientData/>
  </xdr:twoCellAnchor>
  <xdr:twoCellAnchor editAs="oneCell">
    <xdr:from>
      <xdr:col>1</xdr:col>
      <xdr:colOff>14941</xdr:colOff>
      <xdr:row>4</xdr:row>
      <xdr:rowOff>82175</xdr:rowOff>
    </xdr:from>
    <xdr:to>
      <xdr:col>1</xdr:col>
      <xdr:colOff>2084294</xdr:colOff>
      <xdr:row>4</xdr:row>
      <xdr:rowOff>970056</xdr:rowOff>
    </xdr:to>
    <xdr:pic>
      <xdr:nvPicPr>
        <xdr:cNvPr id="7" name="Picture 2">
          <a:extLst>
            <a:ext uri="{FF2B5EF4-FFF2-40B4-BE49-F238E27FC236}">
              <a16:creationId xmlns:a16="http://schemas.microsoft.com/office/drawing/2014/main" id="{8C974845-5061-598D-75CA-3EDC433C7D35}"/>
            </a:ext>
            <a:ext uri="{147F2762-F138-4A5C-976F-8EAC2B608ADB}">
              <a16:predDERef xmlns:a16="http://schemas.microsoft.com/office/drawing/2014/main" pred="{F541FBA1-49AC-7A44-EB63-CACF5BA5C7AB}"/>
            </a:ext>
          </a:extLst>
        </xdr:cNvPr>
        <xdr:cNvPicPr>
          <a:picLocks noChangeAspect="1"/>
        </xdr:cNvPicPr>
      </xdr:nvPicPr>
      <xdr:blipFill>
        <a:blip xmlns:r="http://schemas.openxmlformats.org/officeDocument/2006/relationships" r:embed="rId3"/>
        <a:stretch>
          <a:fillRect/>
        </a:stretch>
      </xdr:blipFill>
      <xdr:spPr>
        <a:xfrm>
          <a:off x="48559" y="3399116"/>
          <a:ext cx="2069353" cy="887881"/>
        </a:xfrm>
        <a:prstGeom prst="rect">
          <a:avLst/>
        </a:prstGeom>
      </xdr:spPr>
    </xdr:pic>
    <xdr:clientData/>
  </xdr:twoCellAnchor>
  <xdr:twoCellAnchor editAs="oneCell">
    <xdr:from>
      <xdr:col>1</xdr:col>
      <xdr:colOff>22412</xdr:colOff>
      <xdr:row>5</xdr:row>
      <xdr:rowOff>123266</xdr:rowOff>
    </xdr:from>
    <xdr:to>
      <xdr:col>1</xdr:col>
      <xdr:colOff>2098087</xdr:colOff>
      <xdr:row>5</xdr:row>
      <xdr:rowOff>1042148</xdr:rowOff>
    </xdr:to>
    <xdr:pic>
      <xdr:nvPicPr>
        <xdr:cNvPr id="4" name="Picture 3">
          <a:extLst>
            <a:ext uri="{FF2B5EF4-FFF2-40B4-BE49-F238E27FC236}">
              <a16:creationId xmlns:a16="http://schemas.microsoft.com/office/drawing/2014/main" id="{A72E3423-0A54-4459-EBE0-7DA5F24971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030" y="4964207"/>
          <a:ext cx="2075675" cy="918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322662</xdr:colOff>
      <xdr:row>2</xdr:row>
      <xdr:rowOff>100853</xdr:rowOff>
    </xdr:from>
    <xdr:to>
      <xdr:col>1</xdr:col>
      <xdr:colOff>1680883</xdr:colOff>
      <xdr:row>3</xdr:row>
      <xdr:rowOff>22039</xdr:rowOff>
    </xdr:to>
    <xdr:pic>
      <xdr:nvPicPr>
        <xdr:cNvPr id="8" name="Picture 7">
          <a:extLst>
            <a:ext uri="{FF2B5EF4-FFF2-40B4-BE49-F238E27FC236}">
              <a16:creationId xmlns:a16="http://schemas.microsoft.com/office/drawing/2014/main" id="{C3EE320E-4E06-45FF-8FD3-915F12540D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6280" y="1456765"/>
          <a:ext cx="1358221" cy="9825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190501</xdr:colOff>
      <xdr:row>1</xdr:row>
      <xdr:rowOff>147864</xdr:rowOff>
    </xdr:from>
    <xdr:to>
      <xdr:col>22</xdr:col>
      <xdr:colOff>40822</xdr:colOff>
      <xdr:row>7</xdr:row>
      <xdr:rowOff>394607</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38</xdr:row>
      <xdr:rowOff>0</xdr:rowOff>
    </xdr:from>
    <xdr:to>
      <xdr:col>8</xdr:col>
      <xdr:colOff>1235632</xdr:colOff>
      <xdr:row>51</xdr:row>
      <xdr:rowOff>77868</xdr:rowOff>
    </xdr:to>
    <xdr:pic>
      <xdr:nvPicPr>
        <xdr:cNvPr id="3" name="Picture 2">
          <a:extLst>
            <a:ext uri="{FF2B5EF4-FFF2-40B4-BE49-F238E27FC236}">
              <a16:creationId xmlns:a16="http://schemas.microsoft.com/office/drawing/2014/main" id="{C2D55AD8-9268-8AF0-77B2-533577B3C606}"/>
            </a:ext>
          </a:extLst>
        </xdr:cNvPr>
        <xdr:cNvPicPr>
          <a:picLocks noChangeAspect="1"/>
        </xdr:cNvPicPr>
      </xdr:nvPicPr>
      <xdr:blipFill>
        <a:blip xmlns:r="http://schemas.openxmlformats.org/officeDocument/2006/relationships" r:embed="rId2"/>
        <a:stretch>
          <a:fillRect/>
        </a:stretch>
      </xdr:blipFill>
      <xdr:spPr>
        <a:xfrm>
          <a:off x="81643" y="10164536"/>
          <a:ext cx="10488489" cy="2200582"/>
        </a:xfrm>
        <a:prstGeom prst="rect">
          <a:avLst/>
        </a:prstGeom>
      </xdr:spPr>
    </xdr:pic>
    <xdr:clientData/>
  </xdr:twoCellAnchor>
  <xdr:twoCellAnchor editAs="oneCell">
    <xdr:from>
      <xdr:col>22</xdr:col>
      <xdr:colOff>598714</xdr:colOff>
      <xdr:row>24</xdr:row>
      <xdr:rowOff>299358</xdr:rowOff>
    </xdr:from>
    <xdr:to>
      <xdr:col>34</xdr:col>
      <xdr:colOff>300726</xdr:colOff>
      <xdr:row>38</xdr:row>
      <xdr:rowOff>64932</xdr:rowOff>
    </xdr:to>
    <xdr:pic>
      <xdr:nvPicPr>
        <xdr:cNvPr id="4" name="Picture 3">
          <a:extLst>
            <a:ext uri="{FF2B5EF4-FFF2-40B4-BE49-F238E27FC236}">
              <a16:creationId xmlns:a16="http://schemas.microsoft.com/office/drawing/2014/main" id="{15E8EF70-B5ED-9668-E266-28AD0DA24D04}"/>
            </a:ext>
          </a:extLst>
        </xdr:cNvPr>
        <xdr:cNvPicPr>
          <a:picLocks noChangeAspect="1"/>
        </xdr:cNvPicPr>
      </xdr:nvPicPr>
      <xdr:blipFill>
        <a:blip xmlns:r="http://schemas.openxmlformats.org/officeDocument/2006/relationships" r:embed="rId3"/>
        <a:stretch>
          <a:fillRect/>
        </a:stretch>
      </xdr:blipFill>
      <xdr:spPr>
        <a:xfrm>
          <a:off x="32153678" y="6626679"/>
          <a:ext cx="9812119" cy="3753374"/>
        </a:xfrm>
        <a:prstGeom prst="rect">
          <a:avLst/>
        </a:prstGeom>
      </xdr:spPr>
    </xdr:pic>
    <xdr:clientData/>
  </xdr:twoCellAnchor>
  <xdr:twoCellAnchor editAs="oneCell">
    <xdr:from>
      <xdr:col>27</xdr:col>
      <xdr:colOff>625930</xdr:colOff>
      <xdr:row>9</xdr:row>
      <xdr:rowOff>163287</xdr:rowOff>
    </xdr:from>
    <xdr:to>
      <xdr:col>32</xdr:col>
      <xdr:colOff>212762</xdr:colOff>
      <xdr:row>23</xdr:row>
      <xdr:rowOff>329714</xdr:rowOff>
    </xdr:to>
    <xdr:pic>
      <xdr:nvPicPr>
        <xdr:cNvPr id="6" name="Picture 5">
          <a:extLst>
            <a:ext uri="{FF2B5EF4-FFF2-40B4-BE49-F238E27FC236}">
              <a16:creationId xmlns:a16="http://schemas.microsoft.com/office/drawing/2014/main" id="{C3361E04-29D5-A437-28B9-8583E8DFAA46}"/>
            </a:ext>
          </a:extLst>
        </xdr:cNvPr>
        <xdr:cNvPicPr>
          <a:picLocks noChangeAspect="1"/>
        </xdr:cNvPicPr>
      </xdr:nvPicPr>
      <xdr:blipFill>
        <a:blip xmlns:r="http://schemas.openxmlformats.org/officeDocument/2006/relationships" r:embed="rId4"/>
        <a:stretch>
          <a:fillRect/>
        </a:stretch>
      </xdr:blipFill>
      <xdr:spPr>
        <a:xfrm>
          <a:off x="36848144" y="3048001"/>
          <a:ext cx="3505689" cy="3010320"/>
        </a:xfrm>
        <a:prstGeom prst="rect">
          <a:avLst/>
        </a:prstGeom>
      </xdr:spPr>
    </xdr:pic>
    <xdr:clientData/>
  </xdr:twoCellAnchor>
  <xdr:twoCellAnchor editAs="oneCell">
    <xdr:from>
      <xdr:col>1</xdr:col>
      <xdr:colOff>108857</xdr:colOff>
      <xdr:row>52</xdr:row>
      <xdr:rowOff>136071</xdr:rowOff>
    </xdr:from>
    <xdr:to>
      <xdr:col>6</xdr:col>
      <xdr:colOff>398374</xdr:colOff>
      <xdr:row>84</xdr:row>
      <xdr:rowOff>93251</xdr:rowOff>
    </xdr:to>
    <xdr:pic>
      <xdr:nvPicPr>
        <xdr:cNvPr id="7" name="Picture 6">
          <a:extLst>
            <a:ext uri="{FF2B5EF4-FFF2-40B4-BE49-F238E27FC236}">
              <a16:creationId xmlns:a16="http://schemas.microsoft.com/office/drawing/2014/main" id="{19E32E29-5173-FD41-3148-55CCBC9A12E8}"/>
            </a:ext>
          </a:extLst>
        </xdr:cNvPr>
        <xdr:cNvPicPr>
          <a:picLocks noChangeAspect="1"/>
        </xdr:cNvPicPr>
      </xdr:nvPicPr>
      <xdr:blipFill>
        <a:blip xmlns:r="http://schemas.openxmlformats.org/officeDocument/2006/relationships" r:embed="rId5"/>
        <a:stretch>
          <a:fillRect/>
        </a:stretch>
      </xdr:blipFill>
      <xdr:spPr>
        <a:xfrm>
          <a:off x="190500" y="12586607"/>
          <a:ext cx="7487695" cy="5182323"/>
        </a:xfrm>
        <a:prstGeom prst="rect">
          <a:avLst/>
        </a:prstGeom>
      </xdr:spPr>
    </xdr:pic>
    <xdr:clientData/>
  </xdr:twoCellAnchor>
  <xdr:twoCellAnchor editAs="oneCell">
    <xdr:from>
      <xdr:col>7</xdr:col>
      <xdr:colOff>435428</xdr:colOff>
      <xdr:row>54</xdr:row>
      <xdr:rowOff>40821</xdr:rowOff>
    </xdr:from>
    <xdr:to>
      <xdr:col>9</xdr:col>
      <xdr:colOff>3160357</xdr:colOff>
      <xdr:row>81</xdr:row>
      <xdr:rowOff>14218</xdr:rowOff>
    </xdr:to>
    <xdr:pic>
      <xdr:nvPicPr>
        <xdr:cNvPr id="8" name="Picture 7">
          <a:extLst>
            <a:ext uri="{FF2B5EF4-FFF2-40B4-BE49-F238E27FC236}">
              <a16:creationId xmlns:a16="http://schemas.microsoft.com/office/drawing/2014/main" id="{E929A7EB-D746-8A50-B0D1-FEA14A7BEA1D}"/>
            </a:ext>
          </a:extLst>
        </xdr:cNvPr>
        <xdr:cNvPicPr>
          <a:picLocks noChangeAspect="1"/>
        </xdr:cNvPicPr>
      </xdr:nvPicPr>
      <xdr:blipFill>
        <a:blip xmlns:r="http://schemas.openxmlformats.org/officeDocument/2006/relationships" r:embed="rId6"/>
        <a:stretch>
          <a:fillRect/>
        </a:stretch>
      </xdr:blipFill>
      <xdr:spPr>
        <a:xfrm>
          <a:off x="8409214" y="12817928"/>
          <a:ext cx="5582429" cy="4382112"/>
        </a:xfrm>
        <a:prstGeom prst="rect">
          <a:avLst/>
        </a:prstGeom>
      </xdr:spPr>
    </xdr:pic>
    <xdr:clientData/>
  </xdr:twoCellAnchor>
  <xdr:twoCellAnchor editAs="oneCell">
    <xdr:from>
      <xdr:col>22</xdr:col>
      <xdr:colOff>539445</xdr:colOff>
      <xdr:row>10</xdr:row>
      <xdr:rowOff>122464</xdr:rowOff>
    </xdr:from>
    <xdr:to>
      <xdr:col>27</xdr:col>
      <xdr:colOff>449953</xdr:colOff>
      <xdr:row>23</xdr:row>
      <xdr:rowOff>434662</xdr:rowOff>
    </xdr:to>
    <xdr:pic>
      <xdr:nvPicPr>
        <xdr:cNvPr id="9" name="Picture 8">
          <a:extLst>
            <a:ext uri="{FF2B5EF4-FFF2-40B4-BE49-F238E27FC236}">
              <a16:creationId xmlns:a16="http://schemas.microsoft.com/office/drawing/2014/main" id="{F47DA5E9-10E3-11FC-119F-9D162A782657}"/>
            </a:ext>
          </a:extLst>
        </xdr:cNvPr>
        <xdr:cNvPicPr>
          <a:picLocks noChangeAspect="1"/>
        </xdr:cNvPicPr>
      </xdr:nvPicPr>
      <xdr:blipFill>
        <a:blip xmlns:r="http://schemas.openxmlformats.org/officeDocument/2006/relationships" r:embed="rId7"/>
        <a:stretch>
          <a:fillRect/>
        </a:stretch>
      </xdr:blipFill>
      <xdr:spPr>
        <a:xfrm>
          <a:off x="32094409" y="3197678"/>
          <a:ext cx="4577758" cy="2965591"/>
        </a:xfrm>
        <a:prstGeom prst="rect">
          <a:avLst/>
        </a:prstGeom>
      </xdr:spPr>
    </xdr:pic>
    <xdr:clientData/>
  </xdr:twoCellAnchor>
  <xdr:twoCellAnchor editAs="oneCell">
    <xdr:from>
      <xdr:col>22</xdr:col>
      <xdr:colOff>557893</xdr:colOff>
      <xdr:row>0</xdr:row>
      <xdr:rowOff>149680</xdr:rowOff>
    </xdr:from>
    <xdr:to>
      <xdr:col>25</xdr:col>
      <xdr:colOff>196331</xdr:colOff>
      <xdr:row>9</xdr:row>
      <xdr:rowOff>27600</xdr:rowOff>
    </xdr:to>
    <xdr:pic>
      <xdr:nvPicPr>
        <xdr:cNvPr id="10" name="Picture 9">
          <a:extLst>
            <a:ext uri="{FF2B5EF4-FFF2-40B4-BE49-F238E27FC236}">
              <a16:creationId xmlns:a16="http://schemas.microsoft.com/office/drawing/2014/main" id="{957F2E82-1759-0CE9-1624-0A2000AFA58B}"/>
            </a:ext>
          </a:extLst>
        </xdr:cNvPr>
        <xdr:cNvPicPr>
          <a:picLocks noChangeAspect="1"/>
        </xdr:cNvPicPr>
      </xdr:nvPicPr>
      <xdr:blipFill>
        <a:blip xmlns:r="http://schemas.openxmlformats.org/officeDocument/2006/relationships" r:embed="rId8"/>
        <a:stretch>
          <a:fillRect/>
        </a:stretch>
      </xdr:blipFill>
      <xdr:spPr>
        <a:xfrm>
          <a:off x="32112857" y="149680"/>
          <a:ext cx="2781688" cy="2753109"/>
        </a:xfrm>
        <a:prstGeom prst="rect">
          <a:avLst/>
        </a:prstGeom>
      </xdr:spPr>
    </xdr:pic>
    <xdr:clientData/>
  </xdr:twoCellAnchor>
  <xdr:twoCellAnchor>
    <xdr:from>
      <xdr:col>17</xdr:col>
      <xdr:colOff>204107</xdr:colOff>
      <xdr:row>7</xdr:row>
      <xdr:rowOff>444953</xdr:rowOff>
    </xdr:from>
    <xdr:to>
      <xdr:col>22</xdr:col>
      <xdr:colOff>40822</xdr:colOff>
      <xdr:row>15</xdr:row>
      <xdr:rowOff>217714</xdr:rowOff>
    </xdr:to>
    <xdr:graphicFrame macro="">
      <xdr:nvGraphicFramePr>
        <xdr:cNvPr id="13" name="Chart 12">
          <a:extLst>
            <a:ext uri="{FF2B5EF4-FFF2-40B4-BE49-F238E27FC236}">
              <a16:creationId xmlns:a16="http://schemas.microsoft.com/office/drawing/2014/main" id="{424B3852-29C4-6D47-2D42-A33187E494AB}"/>
            </a:ext>
            <a:ext uri="{147F2762-F138-4A5C-976F-8EAC2B608ADB}">
              <a16:predDERef xmlns:a16="http://schemas.microsoft.com/office/drawing/2014/main" pred="{957F2E82-1759-0CE9-1624-0A2000AFA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210911</xdr:colOff>
      <xdr:row>15</xdr:row>
      <xdr:rowOff>336096</xdr:rowOff>
    </xdr:from>
    <xdr:to>
      <xdr:col>22</xdr:col>
      <xdr:colOff>40822</xdr:colOff>
      <xdr:row>24</xdr:row>
      <xdr:rowOff>163285</xdr:rowOff>
    </xdr:to>
    <xdr:graphicFrame macro="">
      <xdr:nvGraphicFramePr>
        <xdr:cNvPr id="14" name="Chart 13">
          <a:extLst>
            <a:ext uri="{FF2B5EF4-FFF2-40B4-BE49-F238E27FC236}">
              <a16:creationId xmlns:a16="http://schemas.microsoft.com/office/drawing/2014/main" id="{B01F113B-F0E8-BCB3-E21C-F85E52478D65}"/>
            </a:ext>
            <a:ext uri="{147F2762-F138-4A5C-976F-8EAC2B608ADB}">
              <a16:predDERef xmlns:a16="http://schemas.microsoft.com/office/drawing/2014/main" pred="{424B3852-29C4-6D47-2D42-A33187E4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204106</xdr:colOff>
      <xdr:row>24</xdr:row>
      <xdr:rowOff>322490</xdr:rowOff>
    </xdr:from>
    <xdr:to>
      <xdr:col>22</xdr:col>
      <xdr:colOff>40821</xdr:colOff>
      <xdr:row>30</xdr:row>
      <xdr:rowOff>326571</xdr:rowOff>
    </xdr:to>
    <xdr:graphicFrame macro="">
      <xdr:nvGraphicFramePr>
        <xdr:cNvPr id="15" name="Chart 14">
          <a:extLst>
            <a:ext uri="{FF2B5EF4-FFF2-40B4-BE49-F238E27FC236}">
              <a16:creationId xmlns:a16="http://schemas.microsoft.com/office/drawing/2014/main" id="{0ACB722B-F2BD-BE6C-67D6-EA0D6C32C295}"/>
            </a:ext>
            <a:ext uri="{147F2762-F138-4A5C-976F-8EAC2B608ADB}">
              <a16:predDERef xmlns:a16="http://schemas.microsoft.com/office/drawing/2014/main" pred="{B01F113B-F0E8-BCB3-E21C-F85E52478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2847975</xdr:colOff>
      <xdr:row>123</xdr:row>
      <xdr:rowOff>57150</xdr:rowOff>
    </xdr:from>
    <xdr:to>
      <xdr:col>13</xdr:col>
      <xdr:colOff>652778</xdr:colOff>
      <xdr:row>135</xdr:row>
      <xdr:rowOff>98251</xdr:rowOff>
    </xdr:to>
    <xdr:pic>
      <xdr:nvPicPr>
        <xdr:cNvPr id="11" name="Picture 16">
          <a:extLst>
            <a:ext uri="{FF2B5EF4-FFF2-40B4-BE49-F238E27FC236}">
              <a16:creationId xmlns:a16="http://schemas.microsoft.com/office/drawing/2014/main" id="{DE20D845-CC48-4123-E7C7-DB367BDA1FD6}"/>
            </a:ext>
            <a:ext uri="{147F2762-F138-4A5C-976F-8EAC2B608ADB}">
              <a16:predDERef xmlns:a16="http://schemas.microsoft.com/office/drawing/2014/main" pred="{0ACB722B-F2BD-BE6C-67D6-EA0D6C32C295}"/>
            </a:ext>
          </a:extLst>
        </xdr:cNvPr>
        <xdr:cNvPicPr>
          <a:picLocks noChangeAspect="1"/>
        </xdr:cNvPicPr>
      </xdr:nvPicPr>
      <xdr:blipFill>
        <a:blip xmlns:r="http://schemas.openxmlformats.org/officeDocument/2006/relationships" r:embed="rId12"/>
        <a:stretch>
          <a:fillRect/>
        </a:stretch>
      </xdr:blipFill>
      <xdr:spPr>
        <a:xfrm>
          <a:off x="13668375" y="24060150"/>
          <a:ext cx="7129778" cy="1984201"/>
        </a:xfrm>
        <a:prstGeom prst="rect">
          <a:avLst/>
        </a:prstGeom>
      </xdr:spPr>
    </xdr:pic>
    <xdr:clientData/>
  </xdr:twoCellAnchor>
  <xdr:twoCellAnchor editAs="oneCell">
    <xdr:from>
      <xdr:col>1</xdr:col>
      <xdr:colOff>0</xdr:colOff>
      <xdr:row>102</xdr:row>
      <xdr:rowOff>0</xdr:rowOff>
    </xdr:from>
    <xdr:to>
      <xdr:col>4</xdr:col>
      <xdr:colOff>81089</xdr:colOff>
      <xdr:row>116</xdr:row>
      <xdr:rowOff>9845</xdr:rowOff>
    </xdr:to>
    <xdr:pic>
      <xdr:nvPicPr>
        <xdr:cNvPr id="5" name="Picture 17">
          <a:extLst>
            <a:ext uri="{FF2B5EF4-FFF2-40B4-BE49-F238E27FC236}">
              <a16:creationId xmlns:a16="http://schemas.microsoft.com/office/drawing/2014/main" id="{AE041A96-EB59-F155-0E85-6CB24313FF87}"/>
            </a:ext>
            <a:ext uri="{147F2762-F138-4A5C-976F-8EAC2B608ADB}">
              <a16:predDERef xmlns:a16="http://schemas.microsoft.com/office/drawing/2014/main" pred="{DE20D845-CC48-4123-E7C7-DB367BDA1FD6}"/>
            </a:ext>
          </a:extLst>
        </xdr:cNvPr>
        <xdr:cNvPicPr>
          <a:picLocks noChangeAspect="1"/>
        </xdr:cNvPicPr>
      </xdr:nvPicPr>
      <xdr:blipFill>
        <a:blip xmlns:r="http://schemas.openxmlformats.org/officeDocument/2006/relationships" r:embed="rId13"/>
        <a:stretch>
          <a:fillRect/>
        </a:stretch>
      </xdr:blipFill>
      <xdr:spPr>
        <a:xfrm>
          <a:off x="81643" y="20805321"/>
          <a:ext cx="5782482" cy="22958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ID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1"/>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https://www.bing.com/financeapi/forcetrigger?t=a1pwqh&amp;q=XNAS%3aCMCSA&amp;form=skydnc</v>
    <v>Learn more on Bing</v>
  </rv>
  <rv s="1">
    <v>en-US</v>
    <v>a1pwqh</v>
    <v>268435456</v>
    <v>1</v>
    <v>Powered by Refinitiv</v>
    <v>0</v>
    <v>COMCAST CORPORATION (XNAS:CMCSA)</v>
    <v>2</v>
    <v>3</v>
    <v>Finance</v>
    <v>4</v>
    <v>47.11</v>
    <v>36.43</v>
    <v>1.0096000000000001</v>
    <v>0.435</v>
    <v>1.0845E-2</v>
    <v>USD</v>
    <v>Comcast Corporation is a global media and technology company. It delivers broadband, wireless, and video through Xfinity, Comcast Business, and Sky; produce, distribute, and stream entertainment, sports, and news through brands, including NBC, Telemundo, Universal, Peacock, and Sky; and brings theme parks and attractions to life through Universal Destinations and Experiences. It operates through two primary businesses: Connectivity &amp; Platforms and Content &amp; Experiences. The Connectivity &amp; Platforms segment contains its broadband, wireless, video and wireline voice businesses in the United States, United Kingdom and Italy. It also includes the operations of its Sky-branded entertainment television networks in the United Kingdom, and Italy. The Content &amp; Experiences segment contains media and entertainment businesses that produce and distribute entertainment, sports, news and other content for audiences and that own and operate theme parks and attractions in the United States and Asia.</v>
    <v>186000</v>
    <v>Nasdaq Stock Market</v>
    <v>XNAS</v>
    <v>XNAS</v>
    <v>One Comcast Center, PHILADELPHIA, PA, 19103-2838 US</v>
    <v>40.92</v>
    <v>Telecommunications Services</v>
    <v>Stock</v>
    <v>45558.680668657034</v>
    <v>0</v>
    <v>40.119999999999997</v>
    <v>155326000000</v>
    <v>COMCAST CORPORATION</v>
    <v>COMCAST CORPORATION</v>
    <v>40.31</v>
    <v>10.788500000000001</v>
    <v>40.11</v>
    <v>40.545000000000002</v>
    <v>3872502000</v>
    <v>CMCSA</v>
    <v>COMCAST CORPORATION (XNAS:CMCSA)</v>
    <v>4165878</v>
    <v>17484811</v>
    <v>2001</v>
  </rv>
  <rv s="2">
    <v>1</v>
  </rv>
  <rv s="0">
    <v>https://www.bing.com/financeapi/forcetrigger?t=btro5r&amp;q=XNYS%3aT+PR+C&amp;form=skydnc</v>
    <v>Learn more on Bing</v>
  </rv>
  <rv s="3">
    <v>en-US</v>
    <v>btro5r</v>
    <v>268435456</v>
    <v>1</v>
    <v>Powered by Refinitiv</v>
    <v>5</v>
    <v>AT&amp;T INC. (XNYS:T PR C)</v>
    <v>2</v>
    <v>6</v>
    <v>Finance</v>
    <v>4</v>
    <v>21.64</v>
    <v>17.14</v>
    <v>0.56830000000000003</v>
    <v>-4.4999999999999998E-2</v>
    <v>-2.085E-3</v>
    <v>USD</v>
    <v>AT&amp;T Inc. is a holding company. The Company is a provider of telecommunications and technology services globally. The Company operates through two segments: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IP Voice and managed professional services, as well as traditional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146040</v>
    <v>New York Stock Exchange</v>
    <v>XNYS</v>
    <v>XNYS</v>
    <v>208 S. Akard St, DALLAS, TX, 75202 US</v>
    <v>21.64</v>
    <v>Telecommunications Services</v>
    <v>Stock</v>
    <v>45558.680608356248</v>
    <v>3</v>
    <v>21.520099999999999</v>
    <v>154447000000</v>
    <v>AT&amp;T INC.</v>
    <v>AT&amp;T INC.</v>
    <v>21.6</v>
    <v>21.58</v>
    <v>21.535</v>
    <v>7170244000</v>
    <v>T PR C</v>
    <v>AT&amp;T INC. (XNYS:T PR C)</v>
    <v>71050</v>
    <v>88742</v>
    <v>1983</v>
  </rv>
  <rv s="2">
    <v>4</v>
  </rv>
  <rv s="0">
    <v>http://en.wikipedia.org/wiki/Public_domain</v>
    <v>Public domain</v>
  </rv>
  <rv s="0">
    <v>http://en.wikipedia.org/wiki/CBS_Corporation</v>
    <v>Wikipedia</v>
  </rv>
  <rv s="4">
    <v>6</v>
    <v>7</v>
  </rv>
  <rv s="5">
    <v>11</v>
    <v>https://www.bing.com/th?id=AMMS_6017cbc2a2b9a7e0267820597f74cec1&amp;qlt=95</v>
    <v>8</v>
    <v>0</v>
    <v>https://www.bing.com/images/search?form=xlimg&amp;q=cbs+corporation</v>
    <v>Image of PARAMOUNT GLOBAL</v>
  </rv>
  <rv s="0">
    <v>https://www.bing.com/financeapi/forcetrigger?t=a1pb77&amp;q=XNAS%3aPARAA&amp;form=skydnc</v>
    <v>Learn more on Bing</v>
  </rv>
  <rv s="6">
    <v>en-US</v>
    <v>a1pb77</v>
    <v>268435456</v>
    <v>1</v>
    <v>Powered by Refinitiv</v>
    <v>7</v>
    <v>PARAMOUNT GLOBAL (XNAS:PARAA)</v>
    <v>9</v>
    <v>10</v>
    <v>Finance</v>
    <v>4</v>
    <v>26.34</v>
    <v>13.4</v>
    <v>1.7698</v>
    <v>-0.43</v>
    <v>-1.9335000000000001E-2</v>
    <v>USD</v>
    <v>Paramount Global is a media, streaming and entertainment company. The Company has three segments. TV Media segment consists of its broadcast operations: CBS Television Network, CBS Stations and its international free-to-air networks; domestic premium and basic cable networks, including Paramount+ with Showtime, MTV, Comedy Central, Paramount Network, The Smithsonian Channel, Nickelodeon, BET Media Group, CBS Sports Network and international extensions of certain of these brands, and domestic and international television studio operations. Direct-to-Consumer segment includes its portfolio of domestic and international pay and free streaming services, including Paramount+, Pluto TV, BET+ and Noggin. Filmed Entertainment segment consists of Paramount Pictures, Paramount Players, Paramount Animation, Nickelodeon Studio, Awesomeness and Miramax. Filmed Entertainment segment consists of Paramount Pictures, Paramount Players, Paramount Animation, Nickelodeon Studio, Awesomeness and Miramax.</v>
    <v>21900</v>
    <v>Nasdaq Stock Market</v>
    <v>XNAS</v>
    <v>XNAS</v>
    <v>1515 Broadway, NEW YORK, NY, 10036 US</v>
    <v>22.24</v>
    <v>9</v>
    <v>Media &amp; Publishing</v>
    <v>Stock</v>
    <v>45558.679816654687</v>
    <v>10</v>
    <v>21.795000000000002</v>
    <v>7396970000</v>
    <v>PARAMOUNT GLOBAL</v>
    <v>PARAMOUNT GLOBAL</v>
    <v>22.16</v>
    <v>0</v>
    <v>22.24</v>
    <v>21.81</v>
    <v>666714400</v>
    <v>PARAA</v>
    <v>PARAMOUNT GLOBAL (XNAS:PARAA)</v>
    <v>23748</v>
    <v>62896</v>
    <v>1986</v>
  </rv>
  <rv s="2">
    <v>11</v>
  </rv>
  <rv s="0">
    <v>https://www.bing.com/financeapi/forcetrigger?t=a1qgzr&amp;q=XNYS%3aLUMN&amp;form=skydnc</v>
    <v>Learn more on Bing</v>
  </rv>
  <rv s="3">
    <v>en-US</v>
    <v>a1qgzr</v>
    <v>268435456</v>
    <v>1</v>
    <v>Powered by Refinitiv</v>
    <v>5</v>
    <v>LUMEN TECHNOLOGIES, INC. (XNYS:LUMN)</v>
    <v>2</v>
    <v>6</v>
    <v>Finance</v>
    <v>4</v>
    <v>7.83</v>
    <v>0.78010000000000002</v>
    <v>1.1675</v>
    <v>0.24</v>
    <v>3.6035999999999999E-2</v>
    <v>USD</v>
    <v>Lumen Technologies, Inc. is a facilities-based technology and communications company. The Company provides a range of integrated products and services to its domestic and global business customers and its domestic mass markets customers. It operates through two segments: Business segment and Mass Markets segment. Its Business segment provides its products and services under four sales channels to meet the needs of its enterprise and commercial customers. Its products and services in this segment include Dark Fiber, Edge Cloud Services, Internet Protocol (IP), Managed Security Services, Software-Defined Wide Area Networks (SD WAN), Secure Access Service Edge (SASE), Optical Services, Ethernet, VPN Data Networks, Voice Services, IT Solutions and Other Legacy Services. Its Mass Markets segment provides products and services to residential and small business customers. Its products and services in this segment include Fiber Broadband, Other Broadband and Voice and Other.</v>
    <v>25000</v>
    <v>New York Stock Exchange</v>
    <v>XNYS</v>
    <v>XNYS</v>
    <v>P O BOX 4065, 100 CENTURYLINK DR, MONROE, LA, 71203 US</v>
    <v>6.95</v>
    <v>Telecommunications Services</v>
    <v>Stock</v>
    <v>45558.680663390624</v>
    <v>13</v>
    <v>6.5730000000000004</v>
    <v>7015989000</v>
    <v>LUMEN TECHNOLOGIES, INC.</v>
    <v>LUMEN TECHNOLOGIES, INC.</v>
    <v>6.7549999999999999</v>
    <v>6.66</v>
    <v>6.9</v>
    <v>1016810000</v>
    <v>LUMN</v>
    <v>LUMEN TECHNOLOGIES, INC. (XNYS:LUMN)</v>
    <v>4636586</v>
    <v>24162996</v>
    <v>1968</v>
  </rv>
  <rv s="2">
    <v>14</v>
  </rv>
  <rv s="0">
    <v>https://www.bing.com/financeapi/forcetrigger?t=a25obh&amp;q=XNYS%3aVZ&amp;form=skydnc</v>
    <v>Learn more on Bing</v>
  </rv>
  <rv s="1">
    <v>en-US</v>
    <v>a25obh</v>
    <v>268435456</v>
    <v>1</v>
    <v>Powered by Refinitiv</v>
    <v>0</v>
    <v>VERIZON COMMUNICATIONS INC. (XNYS:VZ)</v>
    <v>2</v>
    <v>3</v>
    <v>Finance</v>
    <v>4</v>
    <v>45.05</v>
    <v>30.135000000000002</v>
    <v>0.40589999999999998</v>
    <v>-0.28499999999999998</v>
    <v>-6.4290000000000007E-3</v>
    <v>USD</v>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v>103900</v>
    <v>New York Stock Exchange</v>
    <v>XNYS</v>
    <v>XNYS</v>
    <v>1095 Avenue Of The Americas, NEW YORK, NY, 10036 US</v>
    <v>44.38</v>
    <v>Telecommunications Services</v>
    <v>Stock</v>
    <v>45558.680717823438</v>
    <v>16</v>
    <v>43.95</v>
    <v>185408308400</v>
    <v>VERIZON COMMUNICATIONS INC.</v>
    <v>VERIZON COMMUNICATIONS INC.</v>
    <v>44.35</v>
    <v>16.6142</v>
    <v>44.33</v>
    <v>44.045000000000002</v>
    <v>4209520000</v>
    <v>VZ</v>
    <v>VERIZON COMMUNICATIONS INC. (XNYS:VZ)</v>
    <v>4899480</v>
    <v>20136044</v>
    <v>1983</v>
  </rv>
  <rv s="2">
    <v>17</v>
  </rv>
  <rv s="0">
    <v>https://www.bing.com/financeapi/forcetrigger?t=a24c52&amp;q=XNAS%3aTMUS&amp;form=skydnc</v>
    <v>Learn more on Bing</v>
  </rv>
  <rv s="1">
    <v>en-US</v>
    <v>a24c52</v>
    <v>268435456</v>
    <v>1</v>
    <v>Powered by Refinitiv</v>
    <v>0</v>
    <v>T-MOBILE US, INC. (XNAS:TMUS)</v>
    <v>2</v>
    <v>3</v>
    <v>Finance</v>
    <v>4</v>
    <v>206.30500000000001</v>
    <v>135.82</v>
    <v>0.50719999999999998</v>
    <v>2.0299999999999998</v>
    <v>1.0178E-2</v>
    <v>USD</v>
    <v>T-Mobile US, Inc. is a provider of mobile communications services, including voice, messaging and data, under its flagship brands, T-Mobile and Metro by T-Mobile in the United States, Puerto Rico and the United States Virgin Islands. The Company provides mobile communications services primarily using its 4G Long Term Evolution (LTE) network and its 5G technology network. It also offers a selection of wireless devices, including handsets, tablets and other mobile communication devices, and accessories for sale, as well as financing through equipment installment plans (EIP). The Company’s primary service plan offering is Go5G Plus, which includes unlimited talk, text and data on its network, 5G access at no extra cost, scam protection features and more. In addition to its mobile wireless communications services, the Company also offers high speed Internet, which includes a fixed wireless product that utilizes the excess capacity of its nationwide 5G network.</v>
    <v>67000</v>
    <v>Nasdaq Stock Market</v>
    <v>XNAS</v>
    <v>XNAS</v>
    <v>12920 Se 38Th Street, BELLEVUE, WA, 98006 US</v>
    <v>201.7</v>
    <v>Telecommunications Services</v>
    <v>Stock</v>
    <v>45558.680712499998</v>
    <v>19</v>
    <v>198.69</v>
    <v>235071972480</v>
    <v>T-MOBILE US, INC.</v>
    <v>T-MOBILE US, INC.</v>
    <v>199.3</v>
    <v>24.977499999999999</v>
    <v>199.44</v>
    <v>201.47</v>
    <v>1166784000</v>
    <v>TMUS</v>
    <v>T-MOBILE US, INC. (XNAS:TMUS)</v>
    <v>1062369</v>
    <v>3988666</v>
    <v>2004</v>
  </rv>
  <rv s="2">
    <v>20</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2">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0" formatCode="General"/>
    </x:dxf>
    <x:dxf>
      <x:numFmt numFmtId="27" formatCode="yyyy/m/d\ h:mm"/>
    </x:dxf>
  </dxfs>
  <richProperties>
    <rPr n="NumberFormat" t="s"/>
    <rPr n="IsTitleField" t="b"/>
    <rPr n="IsHeroField" t="b"/>
  </richProperties>
  <richStyles>
    <rSty dxfid="5">
      <rpv i="0">_([$$-en-US]* #,##0.00_);_([$$-en-US]* (#,##0.00);_([$$-en-US]* "-"??_);_(@_)</rpv>
    </rSty>
    <rSty dxfid="0">
      <rpv i="0">#,##0.00</rpv>
    </rSty>
    <rSty>
      <rpv i="1">1</rpv>
    </rSty>
    <rSty dxfid="1">
      <rpv i="0">#,##0</rpv>
    </rSty>
    <rSty dxfid="2"/>
    <rSty dxfid="5">
      <rpv i="0">_([$$-en-US]* #,##0_);_([$$-en-US]* (#,##0);_([$$-en-US]* "-"_);_(@_)</rpv>
    </rSty>
    <rSty dxfid="6"/>
    <rSty dxfid="4">
      <rpv i="0">0</rpv>
    </rSty>
    <rSty dxfid="3">
      <rpv i="0">0.00</rpv>
    </rSty>
    <rSty>
      <rpv i="2">1</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statista.com/outlook/dmo/app/entertainment/worldwide" TargetMode="External"/><Relationship Id="rId7" Type="http://schemas.openxmlformats.org/officeDocument/2006/relationships/hyperlink" Target="https://www.businessresearchinsights.com/market-reports/media-and-entertainment-market-102952" TargetMode="External"/><Relationship Id="rId2" Type="http://schemas.openxmlformats.org/officeDocument/2006/relationships/hyperlink" Target="https://vault.com/industries/media-and-entertainment/industry-outlook" TargetMode="External"/><Relationship Id="rId1" Type="http://schemas.openxmlformats.org/officeDocument/2006/relationships/hyperlink" Target="https://www.researchandmarkets.com/reports/5134082/online-entertainment-market-by-form-revenue?utm_code=zvlqgs&amp;utm_exec=jamu273prd" TargetMode="External"/><Relationship Id="rId6" Type="http://schemas.openxmlformats.org/officeDocument/2006/relationships/hyperlink" Target="https://www.businessresearchinsights.com/market-reports/media-and-entertainment-market-102952" TargetMode="External"/><Relationship Id="rId5" Type="http://schemas.openxmlformats.org/officeDocument/2006/relationships/hyperlink" Target="https://www.statista.com/outlook/dmo/app/entertainment/worldwide" TargetMode="External"/><Relationship Id="rId4" Type="http://schemas.openxmlformats.org/officeDocument/2006/relationships/hyperlink" Target="https://vault.com/industries/media-and-entertainment/industry-outlook"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pages.stern.nyu.edu/~adamodar/New_Home_Page/datafile/ctryprem.html"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6"/>
  <sheetViews>
    <sheetView showGridLines="0" topLeftCell="E1" zoomScale="85" zoomScaleNormal="85" workbookViewId="0">
      <selection activeCell="E2" sqref="E2:K2"/>
    </sheetView>
  </sheetViews>
  <sheetFormatPr defaultColWidth="11.42578125" defaultRowHeight="12.75"/>
  <cols>
    <col min="1" max="1" width="0.42578125" customWidth="1"/>
    <col min="2" max="2" width="21.140625" bestFit="1" customWidth="1"/>
    <col min="3" max="3" width="23.42578125" customWidth="1"/>
    <col min="4" max="4" width="32" customWidth="1"/>
    <col min="5" max="5" width="20.42578125" bestFit="1" customWidth="1"/>
    <col min="6" max="6" width="17" bestFit="1" customWidth="1"/>
    <col min="7" max="7" width="13.42578125" bestFit="1" customWidth="1"/>
    <col min="8" max="8" width="25" customWidth="1"/>
    <col min="9" max="9" width="17.140625" customWidth="1"/>
    <col min="10" max="10" width="10.42578125" customWidth="1"/>
    <col min="11" max="11" width="13.42578125" customWidth="1"/>
    <col min="12" max="12" width="20.85546875" bestFit="1" customWidth="1"/>
    <col min="13" max="13" width="31" customWidth="1"/>
  </cols>
  <sheetData>
    <row r="1" spans="2:17" ht="3.75" customHeight="1" thickBot="1"/>
    <row r="2" spans="2:17" ht="22.5" customHeight="1">
      <c r="B2" s="499">
        <v>45039</v>
      </c>
      <c r="C2" s="343" t="s">
        <v>0</v>
      </c>
      <c r="D2" s="500"/>
      <c r="E2" s="868" t="e" vm="1">
        <f>Inputs!H3</f>
        <v>#VALUE!</v>
      </c>
      <c r="F2" s="869"/>
      <c r="G2" s="869"/>
      <c r="H2" s="869"/>
      <c r="I2" s="869"/>
      <c r="J2" s="869"/>
      <c r="K2" s="870"/>
      <c r="L2" s="344" t="s">
        <v>1</v>
      </c>
      <c r="M2" s="623" t="s">
        <v>2</v>
      </c>
    </row>
    <row r="3" spans="2:17" ht="26.25" customHeight="1">
      <c r="B3" s="850"/>
      <c r="C3" s="851"/>
      <c r="D3" s="879" t="s">
        <v>3</v>
      </c>
      <c r="E3" s="879"/>
      <c r="F3" s="879"/>
      <c r="G3" s="879"/>
      <c r="H3" s="879" t="s">
        <v>4</v>
      </c>
      <c r="I3" s="879"/>
      <c r="J3" s="879"/>
      <c r="K3" s="879"/>
      <c r="L3" s="879"/>
      <c r="M3" s="880"/>
    </row>
    <row r="4" spans="2:17">
      <c r="B4" s="850"/>
      <c r="C4" s="851"/>
      <c r="D4" s="878" t="str" cm="1">
        <f t="array" aca="1" ref="D4" ca="1">_FV(Inputs!H3,"Description")</f>
        <v>Comcast Corporation is a global media and technology company. It delivers broadband, wireless, and video through Xfinity, Comcast Business, and Sky; produce, distribute, and stream entertainment, sports, and news through brands, including NBC, Telemundo, Universal, Peacock, and Sky; and brings theme parks and attractions to life through Universal Destinations and Experiences. It operates through two primary businesses: Connectivity &amp; Platforms and Content &amp; Experiences. The Connectivity &amp; Platforms segment contains its broadband, wireless, video and wireline voice businesses in the United States, United Kingdom and Italy. It also includes the operations of its Sky-branded entertainment television networks in the United Kingdom, and Italy. The Content &amp; Experiences segment contains media and entertainment businesses that produce and distribute entertainment, sports, news and other content for audiences and that own and operate theme parks and attractions in the United States and Asia.</v>
      </c>
      <c r="E4" s="878"/>
      <c r="F4" s="878"/>
      <c r="G4" s="878"/>
      <c r="H4" s="133" t="s">
        <v>5</v>
      </c>
      <c r="I4" s="134" t="s">
        <v>6</v>
      </c>
      <c r="J4" s="134" t="s">
        <v>7</v>
      </c>
      <c r="K4" s="134" t="s">
        <v>8</v>
      </c>
      <c r="L4" s="134" t="s">
        <v>9</v>
      </c>
      <c r="M4" s="135" t="s">
        <v>10</v>
      </c>
    </row>
    <row r="5" spans="2:17">
      <c r="B5" s="850"/>
      <c r="C5" s="851"/>
      <c r="D5" s="878"/>
      <c r="E5" s="878"/>
      <c r="F5" s="878"/>
      <c r="G5" s="878"/>
      <c r="H5" s="136" t="s">
        <v>11</v>
      </c>
      <c r="I5" s="480" t="s">
        <v>12</v>
      </c>
      <c r="J5" s="480">
        <v>64</v>
      </c>
      <c r="K5" s="480">
        <v>37</v>
      </c>
      <c r="L5" s="480" t="s">
        <v>13</v>
      </c>
      <c r="M5" s="685" t="s">
        <v>14</v>
      </c>
    </row>
    <row r="6" spans="2:17" ht="25.5">
      <c r="B6" s="850"/>
      <c r="C6" s="851"/>
      <c r="D6" s="878"/>
      <c r="E6" s="878"/>
      <c r="F6" s="878"/>
      <c r="G6" s="878"/>
      <c r="H6" s="136" t="s">
        <v>15</v>
      </c>
      <c r="I6" s="480" t="s">
        <v>12</v>
      </c>
      <c r="J6" s="480">
        <v>58</v>
      </c>
      <c r="K6" s="480">
        <v>0</v>
      </c>
      <c r="L6" s="480" t="s">
        <v>16</v>
      </c>
      <c r="M6" s="685" t="s">
        <v>17</v>
      </c>
    </row>
    <row r="7" spans="2:17" ht="25.5">
      <c r="B7" s="850"/>
      <c r="C7" s="851"/>
      <c r="D7" s="878"/>
      <c r="E7" s="878"/>
      <c r="F7" s="878"/>
      <c r="G7" s="878"/>
      <c r="H7" s="136" t="s">
        <v>18</v>
      </c>
      <c r="I7" s="480" t="s">
        <v>19</v>
      </c>
      <c r="J7" s="480">
        <v>61</v>
      </c>
      <c r="K7" s="480">
        <v>7</v>
      </c>
      <c r="L7" s="480" t="s">
        <v>16</v>
      </c>
      <c r="M7" s="685" t="s">
        <v>20</v>
      </c>
    </row>
    <row r="8" spans="2:17" ht="25.5">
      <c r="B8" s="850"/>
      <c r="C8" s="851"/>
      <c r="D8" s="878"/>
      <c r="E8" s="878"/>
      <c r="F8" s="878"/>
      <c r="G8" s="878"/>
      <c r="H8" s="136" t="s">
        <v>21</v>
      </c>
      <c r="I8" s="480" t="s">
        <v>12</v>
      </c>
      <c r="J8" s="480">
        <v>67</v>
      </c>
      <c r="K8" s="480">
        <v>9</v>
      </c>
      <c r="L8" s="480" t="s">
        <v>16</v>
      </c>
      <c r="M8" s="685" t="s">
        <v>22</v>
      </c>
    </row>
    <row r="9" spans="2:17" ht="25.5">
      <c r="B9" s="850"/>
      <c r="C9" s="851"/>
      <c r="D9" s="878"/>
      <c r="E9" s="878"/>
      <c r="F9" s="878"/>
      <c r="G9" s="878"/>
      <c r="H9" s="136" t="s">
        <v>23</v>
      </c>
      <c r="I9" s="480" t="s">
        <v>12</v>
      </c>
      <c r="J9" s="480">
        <v>71</v>
      </c>
      <c r="K9" s="480">
        <v>15</v>
      </c>
      <c r="L9" s="480" t="s">
        <v>16</v>
      </c>
      <c r="M9" s="685" t="s">
        <v>24</v>
      </c>
    </row>
    <row r="10" spans="2:17" ht="25.5">
      <c r="B10" s="850"/>
      <c r="C10" s="851"/>
      <c r="D10" s="878"/>
      <c r="E10" s="878"/>
      <c r="F10" s="878"/>
      <c r="G10" s="878"/>
      <c r="H10" s="136" t="s">
        <v>25</v>
      </c>
      <c r="I10" s="480" t="s">
        <v>12</v>
      </c>
      <c r="J10" s="480">
        <v>66</v>
      </c>
      <c r="K10" s="480">
        <v>18</v>
      </c>
      <c r="L10" s="480" t="s">
        <v>16</v>
      </c>
      <c r="M10" s="685" t="s">
        <v>26</v>
      </c>
    </row>
    <row r="11" spans="2:17">
      <c r="B11" s="850"/>
      <c r="C11" s="851"/>
      <c r="D11" s="878"/>
      <c r="E11" s="878"/>
      <c r="F11" s="878"/>
      <c r="G11" s="878"/>
      <c r="H11" s="136" t="s">
        <v>27</v>
      </c>
      <c r="I11" s="480" t="s">
        <v>19</v>
      </c>
      <c r="J11" s="480">
        <v>71</v>
      </c>
      <c r="K11" s="480">
        <v>5</v>
      </c>
      <c r="L11" s="480" t="s">
        <v>16</v>
      </c>
      <c r="M11" s="685" t="s">
        <v>28</v>
      </c>
    </row>
    <row r="12" spans="2:17">
      <c r="B12" s="850"/>
      <c r="C12" s="851"/>
      <c r="D12" s="878"/>
      <c r="E12" s="878"/>
      <c r="F12" s="878"/>
      <c r="G12" s="878"/>
      <c r="H12" s="136" t="s">
        <v>29</v>
      </c>
      <c r="I12" s="480" t="s">
        <v>12</v>
      </c>
      <c r="J12" s="480">
        <v>67</v>
      </c>
      <c r="K12" s="480">
        <v>6</v>
      </c>
      <c r="L12" s="480" t="s">
        <v>16</v>
      </c>
      <c r="M12" s="685" t="s">
        <v>30</v>
      </c>
      <c r="P12" s="501"/>
    </row>
    <row r="13" spans="2:17" ht="25.5">
      <c r="B13" s="850"/>
      <c r="C13" s="851"/>
      <c r="D13" s="878"/>
      <c r="E13" s="878"/>
      <c r="F13" s="878"/>
      <c r="G13" s="878"/>
      <c r="H13" s="136" t="s">
        <v>31</v>
      </c>
      <c r="I13" s="480" t="s">
        <v>12</v>
      </c>
      <c r="J13" s="480">
        <v>70</v>
      </c>
      <c r="K13" s="480">
        <v>7</v>
      </c>
      <c r="L13" s="480" t="s">
        <v>16</v>
      </c>
      <c r="M13" s="685" t="s">
        <v>32</v>
      </c>
    </row>
    <row r="14" spans="2:17" ht="24" customHeight="1">
      <c r="B14" s="850"/>
      <c r="C14" s="851"/>
      <c r="D14" s="878"/>
      <c r="E14" s="878"/>
      <c r="F14" s="878"/>
      <c r="G14" s="878"/>
      <c r="H14" s="136" t="s">
        <v>33</v>
      </c>
      <c r="I14" s="480" t="s">
        <v>12</v>
      </c>
      <c r="J14" s="480">
        <v>68</v>
      </c>
      <c r="K14" s="480">
        <v>21</v>
      </c>
      <c r="L14" s="480" t="s">
        <v>16</v>
      </c>
      <c r="M14" s="685" t="s">
        <v>34</v>
      </c>
      <c r="Q14" s="346"/>
    </row>
    <row r="15" spans="2:17" ht="25.5" customHeight="1">
      <c r="B15" s="850"/>
      <c r="C15" s="851"/>
      <c r="D15" s="878"/>
      <c r="E15" s="878"/>
      <c r="F15" s="878"/>
      <c r="G15" s="878"/>
      <c r="H15" s="136"/>
      <c r="I15" s="480"/>
      <c r="J15" s="480"/>
      <c r="K15" s="480"/>
      <c r="L15" s="480"/>
      <c r="M15" s="345"/>
    </row>
    <row r="16" spans="2:17">
      <c r="B16" s="848" t="s">
        <v>35</v>
      </c>
      <c r="C16" s="849"/>
      <c r="D16" s="878"/>
      <c r="E16" s="878"/>
      <c r="F16" s="878"/>
      <c r="G16" s="878"/>
      <c r="H16" s="136"/>
      <c r="I16" s="481"/>
      <c r="J16" s="480"/>
      <c r="K16" s="480"/>
      <c r="L16" s="480"/>
      <c r="M16" s="622"/>
    </row>
    <row r="17" spans="2:13" ht="18">
      <c r="B17" s="847" t="s">
        <v>36</v>
      </c>
      <c r="C17" s="842"/>
      <c r="D17" s="842"/>
      <c r="E17" s="842"/>
      <c r="F17" s="842"/>
      <c r="G17" s="842"/>
      <c r="H17" s="842"/>
      <c r="I17" s="842"/>
      <c r="J17" s="842"/>
      <c r="K17" s="842"/>
      <c r="L17" s="842"/>
      <c r="M17" s="843"/>
    </row>
    <row r="18" spans="2:13" ht="15.75">
      <c r="B18" s="853" t="s">
        <v>37</v>
      </c>
      <c r="C18" s="854"/>
      <c r="D18" s="832" t="s">
        <v>38</v>
      </c>
      <c r="E18" s="834"/>
      <c r="F18" s="881" t="s">
        <v>39</v>
      </c>
      <c r="G18" s="882"/>
      <c r="H18" s="883"/>
      <c r="I18" s="832" t="s">
        <v>40</v>
      </c>
      <c r="J18" s="833"/>
      <c r="K18" s="834"/>
      <c r="L18" s="832" t="s">
        <v>41</v>
      </c>
      <c r="M18" s="852"/>
    </row>
    <row r="19" spans="2:13">
      <c r="B19" s="621" t="s">
        <v>42</v>
      </c>
      <c r="C19" s="149" cm="1">
        <f t="array" aca="1" ref="C19" ca="1">_FV(E2,"Price")</f>
        <v>40.545000000000002</v>
      </c>
      <c r="D19" s="13" t="s">
        <v>43</v>
      </c>
      <c r="E19" s="147">
        <f>_xlfn.XLOOKUP(D19,'Fin. Data'!A:A,'Fin. Data'!B:B,,0)</f>
        <v>257275</v>
      </c>
      <c r="F19" s="871" t="s">
        <v>44</v>
      </c>
      <c r="G19" s="872"/>
      <c r="H19" s="125" t="s">
        <v>45</v>
      </c>
      <c r="I19" t="s">
        <v>46</v>
      </c>
      <c r="J19" s="860">
        <v>2022</v>
      </c>
      <c r="K19" s="861"/>
      <c r="L19" s="12" t="s">
        <v>47</v>
      </c>
      <c r="M19" s="619">
        <v>0.99</v>
      </c>
    </row>
    <row r="20" spans="2:13" ht="12.75" customHeight="1">
      <c r="B20" s="621" t="s">
        <v>48</v>
      </c>
      <c r="C20" s="393" cm="1">
        <f t="array" aca="1" ref="C20" ca="1">_FV(E2,"Shares outstanding",TRUE)</f>
        <v>3872502000</v>
      </c>
      <c r="D20" s="12" t="s">
        <v>49</v>
      </c>
      <c r="E20" s="147">
        <f>_xlfn.XLOOKUP(D20,'Fin. Data'!A:A,'Fin. Data'!B:B,,0)</f>
        <v>176332</v>
      </c>
      <c r="F20" s="864" t="str">
        <f>Segments!C5</f>
        <v>United Kingdom</v>
      </c>
      <c r="G20" s="865"/>
      <c r="H20" s="18">
        <f>Segments!B5</f>
        <v>0.11018966127796948</v>
      </c>
      <c r="I20" s="12" t="s">
        <v>50</v>
      </c>
      <c r="J20" s="875" t="s">
        <v>51</v>
      </c>
      <c r="K20" s="876"/>
      <c r="L20" s="12" t="s">
        <v>52</v>
      </c>
      <c r="M20" s="619">
        <v>7.4000000000000003E-3</v>
      </c>
    </row>
    <row r="21" spans="2:13" ht="12.75" customHeight="1">
      <c r="B21" s="621" t="s">
        <v>53</v>
      </c>
      <c r="C21" s="56">
        <f ca="1">C19*C20/1000000</f>
        <v>157010.59359</v>
      </c>
      <c r="D21" s="12" t="s">
        <v>54</v>
      </c>
      <c r="E21" s="667">
        <f ca="1">_xlfn.XLOOKUP("Cash &amp; Eq.",'Fin. Data'!A:A,'Fin. Data'!B:B,,0)*1000000/C20</f>
        <v>1.2263389405609086</v>
      </c>
      <c r="F21" s="864" t="str">
        <f>Segments!C6</f>
        <v>United States</v>
      </c>
      <c r="G21" s="865"/>
      <c r="H21" s="18">
        <f>Segments!B6</f>
        <v>0.79423027827418946</v>
      </c>
      <c r="I21" s="836" t="s">
        <v>55</v>
      </c>
      <c r="J21" s="836"/>
      <c r="K21" s="147">
        <f>_xlfn.XLOOKUP(I21,'Fin. Data'!A:A,'Fin. Data'!B:B,,0)</f>
        <v>28723</v>
      </c>
      <c r="L21" s="8" t="s">
        <v>56</v>
      </c>
      <c r="M21" s="620">
        <v>1.05</v>
      </c>
    </row>
    <row r="22" spans="2:13" ht="12.75" customHeight="1">
      <c r="B22" s="618" t="s">
        <v>57</v>
      </c>
      <c r="C22" s="56">
        <f>'Fin. Data'!B58</f>
        <v>105022</v>
      </c>
      <c r="D22" s="12" t="s">
        <v>58</v>
      </c>
      <c r="E22" s="470">
        <f>'Fin. Data (Common Size)'!B19/(-'Fin. Data (Common Size)'!B14)</f>
        <v>7.3724332648870634</v>
      </c>
      <c r="F22" s="864" t="s">
        <v>59</v>
      </c>
      <c r="G22" s="865"/>
      <c r="H22" s="18">
        <f>Segments!B8</f>
        <v>9.5580060447841092E-2</v>
      </c>
      <c r="I22" s="877" t="s">
        <v>60</v>
      </c>
      <c r="J22" s="877"/>
      <c r="K22" s="147">
        <f>_xlfn.XLOOKUP(I22,'Fin. Data'!A:A,'Fin. Data'!B:B,,0)</f>
        <v>13821</v>
      </c>
      <c r="L22" s="12" t="s">
        <v>61</v>
      </c>
      <c r="M22" s="617" t="s">
        <v>62</v>
      </c>
    </row>
    <row r="23" spans="2:13" ht="12.75" customHeight="1">
      <c r="B23" s="618" t="s">
        <v>63</v>
      </c>
      <c r="C23" s="56">
        <f>'Fin. Data'!B39</f>
        <v>4749</v>
      </c>
      <c r="D23" s="12" t="s">
        <v>64</v>
      </c>
      <c r="E23" s="470">
        <f>_xlfn.XLOOKUP("Total Debt",'Fin. Data'!A:A,'Fin. Data'!B:B,,0)/_xlfn.XLOOKUP("EBITDA",'Fin. Data'!A:A,'Fin. Data'!B:B,,0)</f>
        <v>3.6563729415451034</v>
      </c>
      <c r="F23" s="864"/>
      <c r="G23" s="865"/>
      <c r="H23" s="43"/>
      <c r="I23" s="877" t="s">
        <v>65</v>
      </c>
      <c r="J23" s="877"/>
      <c r="K23" s="147">
        <f>_xlfn.XLOOKUP(I23,'Fin. Data'!A:A,'Fin. Data'!B:B,,0)</f>
        <v>14902</v>
      </c>
      <c r="L23" s="12" t="s">
        <v>66</v>
      </c>
      <c r="M23" s="616">
        <f ca="1">IFERROR((C19*C20/(E19-E20))/1000000,"")</f>
        <v>1.9397674115118047</v>
      </c>
    </row>
    <row r="24" spans="2:13" ht="12.75" customHeight="1">
      <c r="B24" s="618" t="s">
        <v>67</v>
      </c>
      <c r="C24" s="56">
        <f ca="1">C21+C22-C23</f>
        <v>257283.59359</v>
      </c>
      <c r="D24" s="12" t="s">
        <v>68</v>
      </c>
      <c r="E24" s="470">
        <f>_xlfn.XLOOKUP("Other Assets",'Fin. Data'!A:A,'Fin. Data'!B:B,,0)/_xlfn.XLOOKUP("Total Assets",'Fin. Data'!A:A,'Fin. Data'!B:B,,0)</f>
        <v>0.67224565154018079</v>
      </c>
      <c r="F24" s="884"/>
      <c r="G24" s="885"/>
      <c r="H24" s="17"/>
      <c r="I24" s="836" t="s">
        <v>69</v>
      </c>
      <c r="J24" s="836"/>
      <c r="K24" s="147">
        <f>_xlfn.XLOOKUP(I24,'Fin. Data'!A:A,'Fin. Data'!B:B,,0)</f>
        <v>4925</v>
      </c>
      <c r="L24" s="12" t="s">
        <v>70</v>
      </c>
      <c r="M24" s="615">
        <f>IFERROR(K30/E19,"")</f>
        <v>3.8167978492533929E-2</v>
      </c>
    </row>
    <row r="25" spans="2:13" ht="12.75" customHeight="1">
      <c r="B25" s="618" t="s">
        <v>71</v>
      </c>
      <c r="C25" s="150" t="s">
        <v>72</v>
      </c>
      <c r="D25" s="12" t="s">
        <v>73</v>
      </c>
      <c r="E25" s="470">
        <f>_xlfn.XLOOKUP(D25,'Fin. Data'!A:A,'Fin. Data'!B:B,,0)</f>
        <v>0.40820911476047034</v>
      </c>
      <c r="F25" s="873" t="s">
        <v>74</v>
      </c>
      <c r="G25" s="874"/>
      <c r="H25" s="126" t="s">
        <v>45</v>
      </c>
      <c r="I25" s="836" t="s">
        <v>75</v>
      </c>
      <c r="J25" s="836"/>
      <c r="K25" s="86">
        <f ca="1">1000000*K24/C20</f>
        <v>1.271787593653922</v>
      </c>
      <c r="L25" s="12" t="s">
        <v>76</v>
      </c>
      <c r="M25" s="614">
        <f ca="1">IFERROR(C21/K29,"")</f>
        <v>15.989401567262977</v>
      </c>
    </row>
    <row r="26" spans="2:13" ht="12.75" customHeight="1">
      <c r="B26" s="621" t="s">
        <v>77</v>
      </c>
      <c r="C26" s="151" t="s">
        <v>72</v>
      </c>
      <c r="D26" s="12" t="s">
        <v>78</v>
      </c>
      <c r="E26" s="148">
        <f>AVERAGE(_xlfn.XLOOKUP("EBITDA Margin",'Fin. Data'!A:A,'Fin. Data'!B:D,,0))</f>
        <v>0.26541816668339796</v>
      </c>
      <c r="F26" s="864" t="str">
        <f>Segments!C14</f>
        <v>Cable Communications</v>
      </c>
      <c r="G26" s="865"/>
      <c r="H26" s="18">
        <f>Segments!B14</f>
        <v>0.52</v>
      </c>
      <c r="I26" s="836" t="s">
        <v>79</v>
      </c>
      <c r="J26" s="836"/>
      <c r="K26" s="87">
        <f>K24/E19</f>
        <v>1.9142940433388399E-2</v>
      </c>
      <c r="L26" s="12" t="s">
        <v>80</v>
      </c>
      <c r="M26" s="613">
        <f ca="1">IFERROR(C24/E19,"")</f>
        <v>1.0000334023515693</v>
      </c>
    </row>
    <row r="27" spans="2:13" ht="12.75" customHeight="1">
      <c r="B27" s="621" t="s">
        <v>81</v>
      </c>
      <c r="C27" s="19">
        <v>9.4999999999999998E-3</v>
      </c>
      <c r="D27" s="12" t="s">
        <v>82</v>
      </c>
      <c r="E27" s="148">
        <f>AVERAGE(_xlfn.XLOOKUP("Operating Margin",'Fin. Data'!A:A,'Fin. Data'!B:D,,0))</f>
        <v>0.15446885422413659</v>
      </c>
      <c r="F27" s="864" t="str">
        <f>Segments!C15</f>
        <v>Media</v>
      </c>
      <c r="G27" s="865"/>
      <c r="H27" s="18">
        <f>Segments!B15</f>
        <v>0.19</v>
      </c>
      <c r="I27" s="836" t="s">
        <v>83</v>
      </c>
      <c r="J27" s="836"/>
      <c r="K27" s="87">
        <f>K24/(E19-(E20-C22))</f>
        <v>2.6483478073831099E-2</v>
      </c>
      <c r="L27" s="12" t="s">
        <v>84</v>
      </c>
      <c r="M27" s="613">
        <f ca="1">IFERROR(C24/K28,"")</f>
        <v>8.5551122329612834</v>
      </c>
    </row>
    <row r="28" spans="2:13" ht="15.75">
      <c r="B28" s="853" t="s">
        <v>85</v>
      </c>
      <c r="C28" s="854"/>
      <c r="D28" s="12" t="s">
        <v>86</v>
      </c>
      <c r="E28" s="148">
        <f>AVERAGE(_xlfn.XLOOKUP("Net Income Margin",'Fin. Data'!A:A,'Fin. Data'!B:D,,0))</f>
        <v>8.7580760701158319E-2</v>
      </c>
      <c r="F28" s="864" t="str">
        <f>Segments!C16</f>
        <v>Studios</v>
      </c>
      <c r="G28" s="865"/>
      <c r="H28" s="18">
        <f>Segments!B16</f>
        <v>0.09</v>
      </c>
      <c r="I28" s="836" t="s">
        <v>87</v>
      </c>
      <c r="J28" s="836"/>
      <c r="K28" s="147">
        <f>AVERAGE(_xlfn.XLOOKUP("EBITDA",'Fin. Data'!A:A,'Fin. Data'!B:D,,0))</f>
        <v>30073.666666666668</v>
      </c>
      <c r="L28" s="12" t="s">
        <v>88</v>
      </c>
      <c r="M28" s="614">
        <f ca="1">IFERROR(C21/K30,"")</f>
        <v>15.989401567262977</v>
      </c>
    </row>
    <row r="29" spans="2:13" ht="12.75" customHeight="1">
      <c r="B29" s="9" t="s">
        <v>89</v>
      </c>
      <c r="C29" s="779"/>
      <c r="D29" s="505"/>
      <c r="E29" s="156"/>
      <c r="F29" s="864" t="str">
        <f>Segments!C17</f>
        <v>Theme Parks</v>
      </c>
      <c r="G29" s="865"/>
      <c r="H29" s="18">
        <f>Segments!B17</f>
        <v>0.06</v>
      </c>
      <c r="I29" s="836" t="s">
        <v>90</v>
      </c>
      <c r="J29" s="836"/>
      <c r="K29" s="147">
        <f>AVERAGE(_xlfn.XLOOKUP("Net Income",'Fin. Data'!A:A,'Fin. Data'!B:D,,0))</f>
        <v>9819.6666666666661</v>
      </c>
      <c r="L29" s="12" t="s">
        <v>91</v>
      </c>
      <c r="M29" s="612" t="s">
        <v>72</v>
      </c>
    </row>
    <row r="30" spans="2:13" ht="12.75" customHeight="1">
      <c r="B30" s="9" t="s">
        <v>92</v>
      </c>
      <c r="C30" s="731"/>
      <c r="D30" s="12" t="s">
        <v>93</v>
      </c>
      <c r="E30" s="676">
        <f>-_xlfn.XLOOKUP("Net Financial Cost",'Fin. Data'!A:A,'Fin. Data'!B:B,,0)/AVERAGE(_xlfn.XLOOKUP("Net Debt",'Fin. Data'!A:A,'Fin. Data'!B:D,,0))</f>
        <v>3.959497135733378E-2</v>
      </c>
      <c r="F30" s="864" t="str">
        <f>Segments!C18</f>
        <v>Sky</v>
      </c>
      <c r="G30" s="865"/>
      <c r="H30" s="18">
        <f>Segments!B18</f>
        <v>0.14000000000000001</v>
      </c>
      <c r="I30" s="836" t="s">
        <v>94</v>
      </c>
      <c r="J30" s="836"/>
      <c r="K30" s="147">
        <f>AVERAGE(_xlfn.XLOOKUP("Net Income",'Fin. Data'!A:A,'Fin. Data'!B:D,,0))</f>
        <v>9819.6666666666661</v>
      </c>
      <c r="L30" s="12" t="s">
        <v>95</v>
      </c>
      <c r="M30" s="611">
        <f ca="1">-IFERROR(SUM(E51:E53)/(3*C21),"")</f>
        <v>6.782344908400012E-2</v>
      </c>
    </row>
    <row r="31" spans="2:13" ht="12.6" customHeight="1">
      <c r="B31" s="9" t="s">
        <v>96</v>
      </c>
      <c r="C31" s="732"/>
      <c r="D31" s="153"/>
      <c r="E31" s="155"/>
      <c r="F31" s="862"/>
      <c r="G31" s="863"/>
      <c r="H31" s="785"/>
      <c r="I31" s="153"/>
      <c r="J31" s="154"/>
      <c r="K31" s="154"/>
      <c r="L31" s="12" t="s">
        <v>97</v>
      </c>
      <c r="M31" s="610">
        <f ca="1">-IFERROR(L52/C21,"")</f>
        <v>3.0195414790801442E-2</v>
      </c>
    </row>
    <row r="32" spans="2:13" ht="18">
      <c r="B32" s="847" t="s">
        <v>98</v>
      </c>
      <c r="C32" s="842"/>
      <c r="D32" s="842"/>
      <c r="E32" s="842"/>
      <c r="F32" s="842"/>
      <c r="G32" s="842"/>
      <c r="H32" s="842"/>
      <c r="I32" s="842"/>
      <c r="J32" s="842"/>
      <c r="K32" s="842"/>
      <c r="L32" s="842"/>
      <c r="M32" s="843"/>
    </row>
    <row r="33" spans="1:19" ht="16.5" thickBot="1">
      <c r="B33" s="829" t="s">
        <v>99</v>
      </c>
      <c r="C33" s="830"/>
      <c r="D33" s="830"/>
      <c r="E33" s="830"/>
      <c r="F33" s="830"/>
      <c r="G33" s="831"/>
      <c r="H33" s="750" t="s">
        <v>100</v>
      </c>
      <c r="I33" s="837" t="s">
        <v>101</v>
      </c>
      <c r="J33" s="830"/>
      <c r="K33" s="830"/>
      <c r="L33" s="830"/>
      <c r="M33" s="838"/>
      <c r="N33" s="11"/>
    </row>
    <row r="34" spans="1:19" ht="13.35" customHeight="1" thickBot="1">
      <c r="A34" s="11"/>
      <c r="B34" s="751" t="s">
        <v>102</v>
      </c>
      <c r="C34" s="840" t="s">
        <v>103</v>
      </c>
      <c r="D34" s="840"/>
      <c r="E34" s="840"/>
      <c r="F34" s="840"/>
      <c r="G34" s="840"/>
      <c r="H34" s="866" t="s">
        <v>104</v>
      </c>
      <c r="I34" s="888" t="s">
        <v>105</v>
      </c>
      <c r="J34" s="888"/>
      <c r="K34" s="888"/>
      <c r="L34" s="888"/>
      <c r="M34" s="888"/>
    </row>
    <row r="35" spans="1:19" ht="53.25" customHeight="1" thickBot="1">
      <c r="A35" s="11"/>
      <c r="B35" s="752" t="s">
        <v>106</v>
      </c>
      <c r="C35" s="844" t="s">
        <v>107</v>
      </c>
      <c r="D35" s="845"/>
      <c r="E35" s="845"/>
      <c r="F35" s="845"/>
      <c r="G35" s="845"/>
      <c r="H35" s="866"/>
      <c r="I35" s="888"/>
      <c r="J35" s="888"/>
      <c r="K35" s="888"/>
      <c r="L35" s="888"/>
      <c r="M35" s="888"/>
    </row>
    <row r="36" spans="1:19" ht="54" customHeight="1" thickBot="1">
      <c r="A36" s="11"/>
      <c r="B36" s="752" t="s">
        <v>108</v>
      </c>
      <c r="C36" s="844" t="s">
        <v>109</v>
      </c>
      <c r="D36" s="867"/>
      <c r="E36" s="867"/>
      <c r="F36" s="867"/>
      <c r="G36" s="867"/>
      <c r="H36" s="866"/>
      <c r="I36" s="888"/>
      <c r="J36" s="888"/>
      <c r="K36" s="888"/>
      <c r="L36" s="888"/>
      <c r="M36" s="888"/>
    </row>
    <row r="37" spans="1:19" ht="80.25" customHeight="1" thickBot="1">
      <c r="B37" s="752" t="s">
        <v>110</v>
      </c>
      <c r="C37" s="844" t="s">
        <v>111</v>
      </c>
      <c r="D37" s="844"/>
      <c r="E37" s="844"/>
      <c r="F37" s="844"/>
      <c r="G37" s="844"/>
      <c r="H37" s="866"/>
      <c r="I37" s="888"/>
      <c r="J37" s="888"/>
      <c r="K37" s="888"/>
      <c r="L37" s="888"/>
      <c r="M37" s="888"/>
    </row>
    <row r="38" spans="1:19" ht="16.5" thickBot="1">
      <c r="B38" s="839" t="s">
        <v>112</v>
      </c>
      <c r="C38" s="839"/>
      <c r="D38" s="839"/>
      <c r="E38" s="839"/>
      <c r="F38" s="839"/>
      <c r="G38" s="839"/>
      <c r="H38" s="753" t="s">
        <v>113</v>
      </c>
      <c r="I38" s="839" t="s">
        <v>114</v>
      </c>
      <c r="J38" s="839"/>
      <c r="K38" s="839"/>
      <c r="L38" s="839"/>
      <c r="M38" s="839"/>
    </row>
    <row r="39" spans="1:19" ht="13.35" customHeight="1" thickBot="1">
      <c r="B39" s="751" t="s">
        <v>115</v>
      </c>
      <c r="C39" s="840" t="s">
        <v>103</v>
      </c>
      <c r="D39" s="840"/>
      <c r="E39" s="840"/>
      <c r="F39" s="840"/>
      <c r="G39" s="840"/>
      <c r="H39" s="855">
        <f ca="1">DCF!D75</f>
        <v>56.095130788308325</v>
      </c>
      <c r="I39" s="856" t="s">
        <v>116</v>
      </c>
      <c r="J39" s="857">
        <f>DCF!F50</f>
        <v>9.2499999999999999E-2</v>
      </c>
      <c r="K39" s="857"/>
      <c r="L39" s="858" t="s">
        <v>117</v>
      </c>
      <c r="M39" s="859">
        <f ca="1">DCF!D74</f>
        <v>0.38352770473075148</v>
      </c>
    </row>
    <row r="40" spans="1:19" ht="53.25" customHeight="1" thickBot="1">
      <c r="B40" s="752" t="s">
        <v>118</v>
      </c>
      <c r="C40" s="845" t="s">
        <v>119</v>
      </c>
      <c r="D40" s="867"/>
      <c r="E40" s="867"/>
      <c r="F40" s="867"/>
      <c r="G40" s="867"/>
      <c r="H40" s="855"/>
      <c r="I40" s="856"/>
      <c r="J40" s="857"/>
      <c r="K40" s="857"/>
      <c r="L40" s="858"/>
      <c r="M40" s="859"/>
    </row>
    <row r="41" spans="1:19" ht="39.75" customHeight="1" thickBot="1">
      <c r="B41" s="754" t="s">
        <v>120</v>
      </c>
      <c r="C41" s="835" t="s">
        <v>121</v>
      </c>
      <c r="D41" s="835"/>
      <c r="E41" s="835"/>
      <c r="F41" s="835"/>
      <c r="G41" s="835"/>
      <c r="H41" s="855"/>
      <c r="I41" s="856"/>
      <c r="J41" s="857"/>
      <c r="K41" s="857"/>
      <c r="L41" s="858"/>
      <c r="M41" s="859"/>
    </row>
    <row r="42" spans="1:19" ht="40.5" customHeight="1" thickBot="1">
      <c r="B42" s="754" t="s">
        <v>122</v>
      </c>
      <c r="C42" s="835" t="s">
        <v>123</v>
      </c>
      <c r="D42" s="835"/>
      <c r="E42" s="835"/>
      <c r="F42" s="835"/>
      <c r="G42" s="835"/>
      <c r="H42" s="855"/>
      <c r="I42" s="856"/>
      <c r="J42" s="857"/>
      <c r="K42" s="857"/>
      <c r="L42" s="858"/>
      <c r="M42" s="859"/>
    </row>
    <row r="43" spans="1:19" ht="18">
      <c r="B43" s="847" t="s">
        <v>124</v>
      </c>
      <c r="C43" s="842"/>
      <c r="D43" s="842"/>
      <c r="E43" s="842"/>
      <c r="F43" s="842"/>
      <c r="G43" s="842"/>
      <c r="H43" s="842"/>
      <c r="I43" s="842"/>
      <c r="J43" s="842"/>
      <c r="K43" s="842"/>
      <c r="L43" s="842"/>
      <c r="M43" s="843"/>
    </row>
    <row r="44" spans="1:19">
      <c r="A44" t="s">
        <v>125</v>
      </c>
      <c r="B44" s="137" t="s">
        <v>126</v>
      </c>
      <c r="C44" s="138" t="s">
        <v>127</v>
      </c>
      <c r="D44" s="138" t="s">
        <v>128</v>
      </c>
      <c r="E44" s="160" t="s">
        <v>129</v>
      </c>
      <c r="F44" s="138" t="s">
        <v>130</v>
      </c>
      <c r="G44" s="138" t="s">
        <v>73</v>
      </c>
      <c r="H44" s="159" t="s">
        <v>60</v>
      </c>
      <c r="I44" s="159" t="s">
        <v>131</v>
      </c>
      <c r="J44" s="814" t="s">
        <v>132</v>
      </c>
      <c r="K44" s="814"/>
      <c r="L44" s="814"/>
      <c r="M44" s="846"/>
    </row>
    <row r="45" spans="1:19">
      <c r="B45" s="127">
        <f t="shared" ref="B45:B51" si="0">B46-1</f>
        <v>2014</v>
      </c>
      <c r="C45" s="158" cm="1">
        <f t="array" ref="C45:C53">_xlfn.SORTBY(TRANSPOSE(_xlfn.XLOOKUP(C$44,'Fin. Data'!$A:$A,'Fin. Data'!$B:$J,,0)),$B$45:$B$53,-1)</f>
        <v>68775</v>
      </c>
      <c r="D45" s="129" cm="1">
        <f t="array" ref="D45:D53">_xlfn.SORTBY(TRANSPOSE(_xlfn.XLOOKUP(D$44,'Fin. Data'!$A:$A,'Fin. Data'!$B:$J,,0)),$B$45:$B$53,-1)</f>
        <v>0.21670665212649945</v>
      </c>
      <c r="E45" s="158" cm="1">
        <f t="array" ref="E45:E53">_xlfn.SORTBY(TRANSPOSE(_xlfn.XLOOKUP(E$44,'Fin. Data'!$A:$A,'Fin. Data'!$B:$J,,0)),$B$45:$B$53,-1)</f>
        <v>-2254</v>
      </c>
      <c r="F45" s="157">
        <f>Inputs!J77</f>
        <v>2192</v>
      </c>
      <c r="G45" s="129" cm="1">
        <f t="array" ref="G45:G53">_xlfn.SORTBY(TRANSPOSE(_xlfn.XLOOKUP(G$44,'Fin. Data'!$A:$A,'Fin. Data'!$B:$J,,0)),$B$45:$B$53,-1)</f>
        <v>0.27555187013933385</v>
      </c>
      <c r="H45" s="158" cm="1">
        <f t="array" ref="H45:H53">_xlfn.SORTBY(TRANSPOSE(_xlfn.XLOOKUP(H$44,'Fin. Data'!$A:$A,'Fin. Data'!$B:$J,,0)),$B$45:$B$53,-1)</f>
        <v>8019</v>
      </c>
      <c r="I45" s="158" cm="1">
        <f t="array" ref="I45:I53">_xlfn.SORTBY(TRANSPOSE(_xlfn.XLOOKUP(I$44,'Fin. Data'!$A:$A,'Fin. Data'!$B:$J,,0)),$B$45:$B$53,-1)</f>
        <v>-7897</v>
      </c>
      <c r="J45" s="504"/>
      <c r="K45" s="153"/>
      <c r="L45" s="130">
        <f>J19</f>
        <v>2022</v>
      </c>
      <c r="M45" s="507">
        <f>L45-1</f>
        <v>2021</v>
      </c>
    </row>
    <row r="46" spans="1:19">
      <c r="B46" s="127">
        <f t="shared" si="0"/>
        <v>2015</v>
      </c>
      <c r="C46" s="158">
        <v>74510</v>
      </c>
      <c r="D46" s="128">
        <v>0.21470943497517112</v>
      </c>
      <c r="E46" s="158">
        <v>-2437</v>
      </c>
      <c r="F46" s="157">
        <f>Inputs!I77</f>
        <v>-1615</v>
      </c>
      <c r="G46" s="129">
        <v>0.29412753490940963</v>
      </c>
      <c r="H46" s="158">
        <v>8680</v>
      </c>
      <c r="I46" s="158">
        <v>-10285</v>
      </c>
      <c r="J46" s="889" t="s">
        <v>69</v>
      </c>
      <c r="K46" s="890"/>
      <c r="L46" s="56">
        <f>_xlfn.XLOOKUP($J46,'Fin. Data'!$A:$A,'Fin. Data'!B:B,,0)</f>
        <v>4925</v>
      </c>
      <c r="M46" s="609">
        <f>_xlfn.XLOOKUP($J46,'Fin. Data'!$A:$A,'Fin. Data'!C:C,,0)</f>
        <v>13833</v>
      </c>
      <c r="N46" s="22">
        <f t="shared" ref="N46:N54" si="1">(C46/C45)-1</f>
        <v>8.3387858960378036E-2</v>
      </c>
      <c r="O46" s="22">
        <f t="shared" ref="O46:O54" si="2">(D46/D45)-1</f>
        <v>-9.2162244754835365E-3</v>
      </c>
      <c r="P46" s="21"/>
      <c r="Q46" s="20"/>
      <c r="R46" s="20"/>
      <c r="S46" s="20"/>
    </row>
    <row r="47" spans="1:19">
      <c r="B47" s="127">
        <f t="shared" si="0"/>
        <v>2016</v>
      </c>
      <c r="C47" s="158">
        <v>80736</v>
      </c>
      <c r="D47" s="128">
        <v>0.20846957986523978</v>
      </c>
      <c r="E47" s="158">
        <v>-7953</v>
      </c>
      <c r="F47" s="157">
        <f>Inputs!H77</f>
        <v>992</v>
      </c>
      <c r="G47" s="129">
        <v>0.30784487534626037</v>
      </c>
      <c r="H47" s="158">
        <v>9426</v>
      </c>
      <c r="I47" s="158">
        <v>-13064</v>
      </c>
      <c r="J47" s="889" t="s">
        <v>133</v>
      </c>
      <c r="K47" s="890"/>
      <c r="L47" s="56">
        <f>_xlfn.XLOOKUP($J47,'Fin. Data'!$A:$A,'Fin. Data'!B:B,,0)</f>
        <v>26413</v>
      </c>
      <c r="M47" s="609">
        <f>_xlfn.XLOOKUP($J47,'Fin. Data'!$A:$A,'Fin. Data'!C:C,,0)</f>
        <v>29146</v>
      </c>
      <c r="N47" s="22">
        <f t="shared" si="1"/>
        <v>8.355925379143736E-2</v>
      </c>
      <c r="O47" s="22">
        <f t="shared" si="2"/>
        <v>-2.9061857997311091E-2</v>
      </c>
      <c r="P47" s="21"/>
      <c r="Q47" s="20">
        <f t="shared" ref="Q47:Q53" si="3">F47/F46-1</f>
        <v>-1.6142414860681114</v>
      </c>
      <c r="R47" s="20">
        <f t="shared" ref="R47:S53" si="4">H47/H46-1</f>
        <v>8.5944700460829582E-2</v>
      </c>
      <c r="S47" s="20">
        <f t="shared" si="4"/>
        <v>0.27019931939718034</v>
      </c>
    </row>
    <row r="48" spans="1:19">
      <c r="B48" s="127">
        <f t="shared" si="0"/>
        <v>2017</v>
      </c>
      <c r="C48" s="158">
        <v>85029</v>
      </c>
      <c r="D48" s="128">
        <v>0.21190417387009139</v>
      </c>
      <c r="E48" s="158">
        <v>-8318</v>
      </c>
      <c r="F48" s="157">
        <f>Inputs!G77</f>
        <v>156</v>
      </c>
      <c r="G48" s="129">
        <v>0.31698157493251966</v>
      </c>
      <c r="H48" s="158">
        <v>9688</v>
      </c>
      <c r="I48" s="158">
        <v>-10082</v>
      </c>
      <c r="J48" s="889" t="s">
        <v>134</v>
      </c>
      <c r="K48" s="890"/>
      <c r="L48" s="56">
        <f>_xlfn.XLOOKUP($J48,'Fin. Data'!$A:$A,'Fin. Data'!B:B,,0)</f>
        <v>-14140</v>
      </c>
      <c r="M48" s="609">
        <f>_xlfn.XLOOKUP($J48,'Fin. Data'!$A:$A,'Fin. Data'!C:C,,0)</f>
        <v>-13446</v>
      </c>
      <c r="N48" s="22">
        <f t="shared" si="1"/>
        <v>5.3173305588585018E-2</v>
      </c>
      <c r="O48" s="22">
        <f t="shared" si="2"/>
        <v>1.6475276666609195E-2</v>
      </c>
      <c r="P48" s="21"/>
      <c r="Q48" s="20">
        <f t="shared" si="3"/>
        <v>-0.842741935483871</v>
      </c>
      <c r="R48" s="20">
        <f t="shared" si="4"/>
        <v>2.7795459367706332E-2</v>
      </c>
      <c r="S48" s="20">
        <f t="shared" si="4"/>
        <v>-0.22826086956521741</v>
      </c>
    </row>
    <row r="49" spans="2:19">
      <c r="B49" s="127">
        <f t="shared" si="0"/>
        <v>2018</v>
      </c>
      <c r="C49" s="158">
        <v>94507</v>
      </c>
      <c r="D49" s="128">
        <v>0.20113854000232786</v>
      </c>
      <c r="E49" s="158">
        <v>-8672</v>
      </c>
      <c r="F49" s="157">
        <f>Inputs!F77</f>
        <v>338</v>
      </c>
      <c r="G49" s="129">
        <v>0.42650704852116145</v>
      </c>
      <c r="H49" s="158">
        <v>10676</v>
      </c>
      <c r="I49" s="158">
        <v>-47993</v>
      </c>
      <c r="J49" s="891" t="s">
        <v>135</v>
      </c>
      <c r="K49" s="892"/>
      <c r="L49" s="56">
        <f>_xlfn.XLOOKUP($J49,'Fin. Data'!$A:$A,'Fin. Data'!B:B,,0)</f>
        <v>-10626</v>
      </c>
      <c r="M49" s="609">
        <f>_xlfn.XLOOKUP($J49,'Fin. Data'!$A:$A,'Fin. Data'!C:C,,0)</f>
        <v>-9174</v>
      </c>
      <c r="N49" s="22">
        <f t="shared" si="1"/>
        <v>0.11146785214456245</v>
      </c>
      <c r="O49" s="22">
        <f t="shared" si="2"/>
        <v>-5.0804255863140413E-2</v>
      </c>
      <c r="P49" s="21"/>
      <c r="Q49" s="20">
        <f t="shared" si="3"/>
        <v>1.1666666666666665</v>
      </c>
      <c r="R49" s="20">
        <f t="shared" si="4"/>
        <v>0.10198183319570608</v>
      </c>
      <c r="S49" s="20">
        <f t="shared" si="4"/>
        <v>3.7602658202737551</v>
      </c>
    </row>
    <row r="50" spans="2:19">
      <c r="B50" s="127">
        <f t="shared" si="0"/>
        <v>2019</v>
      </c>
      <c r="C50" s="158">
        <v>108942</v>
      </c>
      <c r="D50" s="128">
        <v>0.19391052119476418</v>
      </c>
      <c r="E50" s="158">
        <v>-4239</v>
      </c>
      <c r="F50" s="157">
        <f>Inputs!E77</f>
        <v>1680</v>
      </c>
      <c r="G50" s="129">
        <v>0.40824329762275352</v>
      </c>
      <c r="H50" s="158">
        <v>12953</v>
      </c>
      <c r="I50" s="158">
        <v>-10323</v>
      </c>
      <c r="J50" s="891" t="s">
        <v>136</v>
      </c>
      <c r="K50" s="892"/>
      <c r="L50" s="56">
        <f>_xlfn.XLOOKUP($J50,'Fin. Data'!$A:$A,'Fin. Data'!B:B,,0)</f>
        <v>-12</v>
      </c>
      <c r="M50" s="609">
        <f>_xlfn.XLOOKUP($J50,'Fin. Data'!$A:$A,'Fin. Data'!C:C,,0)</f>
        <v>-1374</v>
      </c>
      <c r="N50" s="22">
        <f t="shared" si="1"/>
        <v>0.15274000867660598</v>
      </c>
      <c r="O50" s="22">
        <f t="shared" si="2"/>
        <v>-3.5935523880605058E-2</v>
      </c>
      <c r="P50" s="21"/>
      <c r="Q50" s="20">
        <f t="shared" si="3"/>
        <v>3.9704142011834316</v>
      </c>
      <c r="R50" s="20">
        <f t="shared" si="4"/>
        <v>0.21328212813787939</v>
      </c>
      <c r="S50" s="20">
        <f t="shared" si="4"/>
        <v>-0.78490613214427107</v>
      </c>
    </row>
    <row r="51" spans="2:19">
      <c r="B51" s="127">
        <f t="shared" si="0"/>
        <v>2020</v>
      </c>
      <c r="C51" s="158">
        <v>103564</v>
      </c>
      <c r="D51" s="128">
        <v>0.16891004596191728</v>
      </c>
      <c r="E51" s="158">
        <v>-4674</v>
      </c>
      <c r="F51" s="157">
        <f>Inputs!D77</f>
        <v>6179</v>
      </c>
      <c r="G51" s="129">
        <v>0.40252821604489736</v>
      </c>
      <c r="H51" s="158">
        <v>13100</v>
      </c>
      <c r="I51" s="158">
        <v>-9412</v>
      </c>
      <c r="J51" s="889" t="s">
        <v>137</v>
      </c>
      <c r="K51" s="890"/>
      <c r="L51" s="56">
        <f>_xlfn.XLOOKUP($J51,'Fin. Data'!$A:$A,'Fin. Data'!B:B,,0)</f>
        <v>-16184</v>
      </c>
      <c r="M51" s="609">
        <f>_xlfn.XLOOKUP($J51,'Fin. Data'!$A:$A,'Fin. Data'!C:C,,0)</f>
        <v>-18618</v>
      </c>
      <c r="N51" s="22">
        <f t="shared" si="1"/>
        <v>-4.9365717537772413E-2</v>
      </c>
      <c r="O51" s="22">
        <f t="shared" si="2"/>
        <v>-0.12892789457120979</v>
      </c>
      <c r="P51" s="21"/>
      <c r="Q51" s="20">
        <f t="shared" si="3"/>
        <v>2.6779761904761905</v>
      </c>
      <c r="R51" s="20">
        <f t="shared" si="4"/>
        <v>1.1348722303713421E-2</v>
      </c>
      <c r="S51" s="20">
        <f t="shared" si="4"/>
        <v>-8.8249539862443105E-2</v>
      </c>
    </row>
    <row r="52" spans="2:19">
      <c r="B52" s="127">
        <f>B53-1</f>
        <v>2021</v>
      </c>
      <c r="C52" s="158">
        <v>116385</v>
      </c>
      <c r="D52" s="128">
        <v>0.17886325557417193</v>
      </c>
      <c r="E52" s="158">
        <v>-9204</v>
      </c>
      <c r="F52" s="157">
        <f>Inputs!C$77</f>
        <v>-2989</v>
      </c>
      <c r="G52" s="129">
        <v>0.38102607781663977</v>
      </c>
      <c r="H52" s="158">
        <v>13804</v>
      </c>
      <c r="I52" s="158">
        <v>-10548</v>
      </c>
      <c r="J52" s="891" t="s">
        <v>138</v>
      </c>
      <c r="K52" s="892"/>
      <c r="L52" s="56">
        <f>_xlfn.XLOOKUP($J52,'Fin. Data'!$A:$A,'Fin. Data'!B:B,,0)</f>
        <v>-4741</v>
      </c>
      <c r="M52" s="609">
        <f>_xlfn.XLOOKUP($J52,'Fin. Data'!$A:$A,'Fin. Data'!C:C,,0)</f>
        <v>-4532</v>
      </c>
      <c r="N52" s="22">
        <f t="shared" si="1"/>
        <v>0.12379784481093825</v>
      </c>
      <c r="O52" s="22">
        <f t="shared" si="2"/>
        <v>5.8926096168955722E-2</v>
      </c>
      <c r="P52" s="21"/>
      <c r="Q52" s="20">
        <f t="shared" si="3"/>
        <v>-1.4837352322382262</v>
      </c>
      <c r="R52" s="20">
        <f t="shared" si="4"/>
        <v>5.3740458015267167E-2</v>
      </c>
      <c r="S52" s="20">
        <f t="shared" si="4"/>
        <v>0.1206969825754356</v>
      </c>
    </row>
    <row r="53" spans="2:19">
      <c r="B53" s="127">
        <f>J19</f>
        <v>2022</v>
      </c>
      <c r="C53" s="158">
        <v>121427</v>
      </c>
      <c r="D53" s="128">
        <v>0.11563326113632058</v>
      </c>
      <c r="E53" s="158">
        <v>-18069</v>
      </c>
      <c r="F53" s="157">
        <f>Inputs!B77</f>
        <v>-3997</v>
      </c>
      <c r="G53" s="129">
        <v>0.40820911476047034</v>
      </c>
      <c r="H53" s="158">
        <v>13821</v>
      </c>
      <c r="I53" s="158">
        <v>-10638</v>
      </c>
      <c r="J53" s="891" t="s">
        <v>139</v>
      </c>
      <c r="K53" s="892"/>
      <c r="L53" s="56">
        <f>_xlfn.XLOOKUP($J53,'Fin. Data'!$A:$A,'Fin. Data'!B:B,,0)</f>
        <v>-13328</v>
      </c>
      <c r="M53" s="609">
        <f>_xlfn.XLOOKUP($J53,'Fin. Data'!$A:$A,'Fin. Data'!C:C,,0)</f>
        <v>-4672</v>
      </c>
      <c r="N53" s="22">
        <f t="shared" si="1"/>
        <v>4.3321733900416826E-2</v>
      </c>
      <c r="O53" s="22">
        <f t="shared" si="2"/>
        <v>-0.35351025136423742</v>
      </c>
      <c r="P53" s="21"/>
      <c r="Q53" s="20">
        <f t="shared" si="3"/>
        <v>0.33723653395784536</v>
      </c>
      <c r="R53" s="20">
        <f t="shared" si="4"/>
        <v>1.2315270935960854E-3</v>
      </c>
      <c r="S53" s="20">
        <f t="shared" si="4"/>
        <v>8.5324232081911422E-3</v>
      </c>
    </row>
    <row r="54" spans="2:19">
      <c r="B54" s="132" t="s">
        <v>140</v>
      </c>
      <c r="C54" s="131">
        <f>IFERROR((C53/C45)^(1/8)-1,"")</f>
        <v>7.3644696841072443E-2</v>
      </c>
      <c r="D54" s="131">
        <f>IFERROR((D53/D45)^(1/8)-1,"")</f>
        <v>-7.5511918956828072E-2</v>
      </c>
      <c r="E54" s="152"/>
      <c r="F54" s="131" t="str">
        <f>IFERROR((F53/F45)^(1/8)-1,"")</f>
        <v/>
      </c>
      <c r="G54" s="152"/>
      <c r="H54" s="131">
        <f>IFERROR((H53/H45)^(1/8)-1,"")</f>
        <v>7.0415543078474752E-2</v>
      </c>
      <c r="I54" s="152"/>
      <c r="J54" s="889" t="s">
        <v>141</v>
      </c>
      <c r="K54" s="890"/>
      <c r="L54" s="56">
        <f>_xlfn.XLOOKUP($J54,'Fin. Data'!$A:$A,'Fin. Data'!B:B,,0)</f>
        <v>-86</v>
      </c>
      <c r="M54" s="609">
        <f>_xlfn.XLOOKUP($J54,'Fin. Data'!$A:$A,'Fin. Data'!C:C,,0)</f>
        <v>-71</v>
      </c>
      <c r="N54" s="22">
        <f t="shared" si="1"/>
        <v>-0.99999939350641254</v>
      </c>
      <c r="O54" s="22">
        <f t="shared" si="2"/>
        <v>-1.6530293984168338</v>
      </c>
      <c r="P54" s="21"/>
      <c r="Q54" s="20"/>
      <c r="R54" s="20"/>
      <c r="S54" s="20"/>
    </row>
    <row r="55" spans="2:19">
      <c r="B55" s="132" t="s">
        <v>142</v>
      </c>
      <c r="C55" s="131">
        <f>IFERROR(AVERAGE(N46:N53),"")</f>
        <v>7.5260267541893938E-2</v>
      </c>
      <c r="D55" s="131">
        <f>IFERROR(AVERAGE(O46:O53),"")</f>
        <v>-6.6506829414552798E-2</v>
      </c>
      <c r="E55" s="152"/>
      <c r="F55" s="131">
        <f>IFERROR(AVERAGE(Q46:Q53),"")</f>
        <v>0.60165356264198933</v>
      </c>
      <c r="G55" s="152"/>
      <c r="H55" s="131">
        <f>IFERROR(AVERAGE(S46:S53),"")</f>
        <v>0.43689685769751868</v>
      </c>
      <c r="I55" s="152"/>
      <c r="J55" s="893" t="s">
        <v>143</v>
      </c>
      <c r="K55" s="894"/>
      <c r="L55" s="161">
        <f>L47-L48+L51-L52-L53</f>
        <v>42438</v>
      </c>
      <c r="M55" s="508">
        <f>M47-M48+M51-M52-M53</f>
        <v>33178</v>
      </c>
    </row>
    <row r="56" spans="2:19">
      <c r="B56" s="132" t="s">
        <v>144</v>
      </c>
      <c r="C56" s="131">
        <f>IFERROR(STDEV(C46:C53)/AVERAGE(C46:C53),"")</f>
        <v>0.17512715785291491</v>
      </c>
      <c r="D56" s="131">
        <f>IFERROR(STDEV(D45:D53)/AVERAGE(D45:D53),"")</f>
        <v>0.17035171200144819</v>
      </c>
      <c r="E56" s="152"/>
      <c r="F56" s="131">
        <f>IFERROR(STDEV(F45:F53)/AVERAGE(F45:F53),"")</f>
        <v>9.2908855820472009</v>
      </c>
      <c r="G56" s="152"/>
      <c r="H56" s="131">
        <f>IFERROR(STDEV(H45:H53)/AVERAGE(H45:H53),"")</f>
        <v>0.20701081047197317</v>
      </c>
      <c r="I56" s="152"/>
      <c r="J56" s="895" t="s">
        <v>145</v>
      </c>
      <c r="K56" s="896"/>
      <c r="L56" s="502">
        <f>IFERROR(SUM(I50:I53)/(C53-C49),"")</f>
        <v>-1.5200965824665675</v>
      </c>
      <c r="M56" s="608">
        <f>IFERROR((SUM(I50:I53)-SUM(H50:H53))/(C53-C49),"")</f>
        <v>-3.5140787518573551</v>
      </c>
    </row>
    <row r="57" spans="2:19">
      <c r="B57" s="132" t="s">
        <v>146</v>
      </c>
      <c r="C57" s="131">
        <f>IFERROR(C53/C52-1,"")</f>
        <v>4.3321733900416826E-2</v>
      </c>
      <c r="D57" s="131">
        <f>IFERROR(1-(D53/D52),"")</f>
        <v>0.35351025136423742</v>
      </c>
      <c r="E57" s="152"/>
      <c r="F57" s="131">
        <f>IFERROR(1-(F53/F52),"")</f>
        <v>-0.33723653395784536</v>
      </c>
      <c r="G57" s="152"/>
      <c r="H57" s="131">
        <f>IFERROR(1-(H53/H52),"")</f>
        <v>-1.2315270935960854E-3</v>
      </c>
      <c r="I57" s="152"/>
      <c r="J57" s="897" t="s">
        <v>147</v>
      </c>
      <c r="K57" s="898"/>
      <c r="L57" s="503">
        <f>IFERROR(L56/E26,"")</f>
        <v>-5.7271761065240243</v>
      </c>
      <c r="M57" s="509">
        <f>IFERROR(M56/E26,"")</f>
        <v>-13.239782324504928</v>
      </c>
    </row>
    <row r="58" spans="2:19" ht="18">
      <c r="B58" s="841" t="s">
        <v>148</v>
      </c>
      <c r="C58" s="842"/>
      <c r="D58" s="842"/>
      <c r="E58" s="842"/>
      <c r="F58" s="842"/>
      <c r="G58" s="842"/>
      <c r="H58" s="842"/>
      <c r="I58" s="842"/>
      <c r="J58" s="842"/>
      <c r="K58" s="842"/>
      <c r="L58" s="842"/>
      <c r="M58" s="843"/>
    </row>
    <row r="59" spans="2:19" ht="15.75">
      <c r="B59" s="828" t="s">
        <v>149</v>
      </c>
      <c r="C59" s="795"/>
      <c r="D59" s="795"/>
      <c r="E59" s="795"/>
      <c r="F59" s="795"/>
      <c r="G59" s="795"/>
      <c r="H59" s="795"/>
      <c r="I59" s="795"/>
      <c r="J59" s="795" t="s">
        <v>150</v>
      </c>
      <c r="K59" s="795"/>
      <c r="L59" s="795"/>
      <c r="M59" s="796"/>
    </row>
    <row r="60" spans="2:19">
      <c r="B60" s="899" t="s">
        <v>151</v>
      </c>
      <c r="C60" s="814"/>
      <c r="D60" s="814"/>
      <c r="E60" s="814" t="s">
        <v>152</v>
      </c>
      <c r="F60" s="814"/>
      <c r="G60" s="814"/>
      <c r="H60" s="814"/>
      <c r="I60" s="814"/>
      <c r="J60" s="814" t="s">
        <v>5</v>
      </c>
      <c r="K60" s="814"/>
      <c r="L60" s="814"/>
      <c r="M60" s="506" t="s">
        <v>153</v>
      </c>
    </row>
    <row r="61" spans="2:19" ht="15" customHeight="1">
      <c r="B61" s="815" t="s">
        <v>154</v>
      </c>
      <c r="C61" s="806"/>
      <c r="D61" s="807"/>
      <c r="E61" s="797" t="s">
        <v>155</v>
      </c>
      <c r="F61" s="806"/>
      <c r="G61" s="806"/>
      <c r="H61" s="806"/>
      <c r="I61" s="807"/>
      <c r="J61" s="816"/>
      <c r="K61" s="817"/>
      <c r="L61" s="817"/>
      <c r="M61" s="510"/>
    </row>
    <row r="62" spans="2:19" ht="15" customHeight="1">
      <c r="B62" s="809"/>
      <c r="C62" s="809"/>
      <c r="D62" s="810"/>
      <c r="E62" s="808"/>
      <c r="F62" s="809"/>
      <c r="G62" s="809"/>
      <c r="H62" s="809"/>
      <c r="I62" s="810"/>
      <c r="J62" s="816"/>
      <c r="K62" s="817"/>
      <c r="L62" s="817"/>
      <c r="M62" s="510"/>
    </row>
    <row r="63" spans="2:19" ht="15" customHeight="1">
      <c r="B63" s="809"/>
      <c r="C63" s="809"/>
      <c r="D63" s="810"/>
      <c r="E63" s="808"/>
      <c r="F63" s="809"/>
      <c r="G63" s="809"/>
      <c r="H63" s="809"/>
      <c r="I63" s="810"/>
      <c r="J63" s="816"/>
      <c r="K63" s="817"/>
      <c r="L63" s="817"/>
      <c r="M63" s="510"/>
    </row>
    <row r="64" spans="2:19" ht="15" customHeight="1">
      <c r="B64" s="809"/>
      <c r="C64" s="809"/>
      <c r="D64" s="810"/>
      <c r="E64" s="808"/>
      <c r="F64" s="809"/>
      <c r="G64" s="809"/>
      <c r="H64" s="809"/>
      <c r="I64" s="810"/>
      <c r="J64" s="816"/>
      <c r="K64" s="817"/>
      <c r="L64" s="817"/>
      <c r="M64" s="510"/>
    </row>
    <row r="65" spans="2:13">
      <c r="B65" s="809"/>
      <c r="C65" s="809"/>
      <c r="D65" s="810"/>
      <c r="E65" s="808"/>
      <c r="F65" s="809"/>
      <c r="G65" s="809"/>
      <c r="H65" s="809"/>
      <c r="I65" s="810"/>
      <c r="J65" s="816"/>
      <c r="K65" s="817"/>
      <c r="L65" s="817"/>
      <c r="M65" s="510"/>
    </row>
    <row r="66" spans="2:13">
      <c r="B66" s="809"/>
      <c r="C66" s="809"/>
      <c r="D66" s="810"/>
      <c r="E66" s="808"/>
      <c r="F66" s="809"/>
      <c r="G66" s="809"/>
      <c r="H66" s="809"/>
      <c r="I66" s="810"/>
      <c r="J66" s="816"/>
      <c r="K66" s="817"/>
      <c r="L66" s="817"/>
      <c r="M66" s="510"/>
    </row>
    <row r="67" spans="2:13">
      <c r="B67" s="809"/>
      <c r="C67" s="809"/>
      <c r="D67" s="810"/>
      <c r="E67" s="808"/>
      <c r="F67" s="809"/>
      <c r="G67" s="809"/>
      <c r="H67" s="809"/>
      <c r="I67" s="810"/>
      <c r="J67" s="816"/>
      <c r="K67" s="817"/>
      <c r="L67" s="817"/>
      <c r="M67" s="510"/>
    </row>
    <row r="68" spans="2:13">
      <c r="B68" s="809"/>
      <c r="C68" s="809"/>
      <c r="D68" s="810"/>
      <c r="E68" s="808"/>
      <c r="F68" s="809"/>
      <c r="G68" s="809"/>
      <c r="H68" s="809"/>
      <c r="I68" s="810"/>
      <c r="J68" s="816"/>
      <c r="K68" s="817"/>
      <c r="L68" s="817"/>
      <c r="M68" s="510"/>
    </row>
    <row r="69" spans="2:13">
      <c r="B69" s="809"/>
      <c r="C69" s="809"/>
      <c r="D69" s="810"/>
      <c r="E69" s="808"/>
      <c r="F69" s="809"/>
      <c r="G69" s="809"/>
      <c r="H69" s="809"/>
      <c r="I69" s="810"/>
      <c r="J69" s="816"/>
      <c r="K69" s="817"/>
      <c r="L69" s="817"/>
      <c r="M69" s="510"/>
    </row>
    <row r="70" spans="2:13">
      <c r="B70" s="900"/>
      <c r="C70" s="812"/>
      <c r="D70" s="813"/>
      <c r="E70" s="811"/>
      <c r="F70" s="812"/>
      <c r="G70" s="812"/>
      <c r="H70" s="812"/>
      <c r="I70" s="813"/>
      <c r="J70" s="816"/>
      <c r="K70" s="817"/>
      <c r="L70" s="817"/>
      <c r="M70" s="510"/>
    </row>
    <row r="71" spans="2:13">
      <c r="B71" s="899" t="s">
        <v>156</v>
      </c>
      <c r="C71" s="814"/>
      <c r="D71" s="814"/>
      <c r="E71" s="814" t="s">
        <v>157</v>
      </c>
      <c r="F71" s="814"/>
      <c r="G71" s="814"/>
      <c r="H71" s="814"/>
      <c r="I71" s="814"/>
      <c r="J71" s="816"/>
      <c r="K71" s="817"/>
      <c r="L71" s="817"/>
      <c r="M71" s="510"/>
    </row>
    <row r="72" spans="2:13" ht="15" customHeight="1">
      <c r="B72" s="815" t="s">
        <v>158</v>
      </c>
      <c r="C72" s="798"/>
      <c r="D72" s="799"/>
      <c r="E72" s="797" t="s">
        <v>159</v>
      </c>
      <c r="F72" s="798"/>
      <c r="G72" s="798"/>
      <c r="H72" s="798"/>
      <c r="I72" s="799"/>
      <c r="J72" s="816"/>
      <c r="K72" s="817"/>
      <c r="L72" s="817"/>
      <c r="M72" s="510"/>
    </row>
    <row r="73" spans="2:13" ht="15" customHeight="1">
      <c r="B73" s="801"/>
      <c r="C73" s="801"/>
      <c r="D73" s="802"/>
      <c r="E73" s="800"/>
      <c r="F73" s="801"/>
      <c r="G73" s="801"/>
      <c r="H73" s="801"/>
      <c r="I73" s="802"/>
      <c r="J73" s="816"/>
      <c r="K73" s="817"/>
      <c r="L73" s="817"/>
      <c r="M73" s="510"/>
    </row>
    <row r="74" spans="2:13" ht="15" customHeight="1">
      <c r="B74" s="801"/>
      <c r="C74" s="801"/>
      <c r="D74" s="802"/>
      <c r="E74" s="800"/>
      <c r="F74" s="801"/>
      <c r="G74" s="801"/>
      <c r="H74" s="801"/>
      <c r="I74" s="802"/>
      <c r="J74" s="816"/>
      <c r="K74" s="817"/>
      <c r="L74" s="817"/>
      <c r="M74" s="510"/>
    </row>
    <row r="75" spans="2:13" ht="15" customHeight="1">
      <c r="B75" s="801"/>
      <c r="C75" s="801"/>
      <c r="D75" s="802"/>
      <c r="E75" s="800"/>
      <c r="F75" s="801"/>
      <c r="G75" s="801"/>
      <c r="H75" s="801"/>
      <c r="I75" s="802"/>
      <c r="J75" s="816"/>
      <c r="K75" s="817"/>
      <c r="L75" s="817"/>
      <c r="M75" s="510"/>
    </row>
    <row r="76" spans="2:13" ht="14.1" customHeight="1">
      <c r="B76" s="801"/>
      <c r="C76" s="801"/>
      <c r="D76" s="802"/>
      <c r="E76" s="800"/>
      <c r="F76" s="801"/>
      <c r="G76" s="801"/>
      <c r="H76" s="801"/>
      <c r="I76" s="802"/>
      <c r="J76" s="816"/>
      <c r="K76" s="817"/>
      <c r="L76" s="817"/>
      <c r="M76" s="510"/>
    </row>
    <row r="77" spans="2:13" ht="14.1" customHeight="1">
      <c r="B77" s="801"/>
      <c r="C77" s="801"/>
      <c r="D77" s="802"/>
      <c r="E77" s="800"/>
      <c r="F77" s="801"/>
      <c r="G77" s="801"/>
      <c r="H77" s="801"/>
      <c r="I77" s="802"/>
      <c r="J77" s="816"/>
      <c r="K77" s="817"/>
      <c r="L77" s="817"/>
      <c r="M77" s="510"/>
    </row>
    <row r="78" spans="2:13" ht="14.1" customHeight="1">
      <c r="B78" s="801"/>
      <c r="C78" s="801"/>
      <c r="D78" s="802"/>
      <c r="E78" s="800"/>
      <c r="F78" s="801"/>
      <c r="G78" s="801"/>
      <c r="H78" s="801"/>
      <c r="I78" s="802"/>
      <c r="J78" s="816"/>
      <c r="K78" s="817"/>
      <c r="L78" s="817"/>
      <c r="M78" s="510"/>
    </row>
    <row r="79" spans="2:13" ht="14.1" customHeight="1">
      <c r="B79" s="801"/>
      <c r="C79" s="801"/>
      <c r="D79" s="802"/>
      <c r="E79" s="800"/>
      <c r="F79" s="801"/>
      <c r="G79" s="801"/>
      <c r="H79" s="801"/>
      <c r="I79" s="802"/>
      <c r="J79" s="818"/>
      <c r="K79" s="819"/>
      <c r="L79" s="819"/>
      <c r="M79" s="510"/>
    </row>
    <row r="80" spans="2:13" ht="14.1" customHeight="1">
      <c r="B80" s="804"/>
      <c r="C80" s="804"/>
      <c r="D80" s="805"/>
      <c r="E80" s="803"/>
      <c r="F80" s="804"/>
      <c r="G80" s="804"/>
      <c r="H80" s="804"/>
      <c r="I80" s="805"/>
      <c r="J80" s="818"/>
      <c r="K80" s="819"/>
      <c r="L80" s="819"/>
      <c r="M80" s="510"/>
    </row>
    <row r="81" spans="2:13" ht="15.75">
      <c r="B81" s="886" t="s">
        <v>160</v>
      </c>
      <c r="C81" s="887"/>
      <c r="D81" s="887"/>
      <c r="E81" s="887"/>
      <c r="F81" s="887"/>
      <c r="G81" s="795" t="s">
        <v>161</v>
      </c>
      <c r="H81" s="795"/>
      <c r="I81" s="795"/>
      <c r="J81" s="795"/>
      <c r="K81" s="795"/>
      <c r="L81" s="795"/>
      <c r="M81" s="796"/>
    </row>
    <row r="82" spans="2:13" s="11" customFormat="1">
      <c r="B82" s="1036"/>
      <c r="C82" s="820"/>
      <c r="D82" s="820"/>
      <c r="E82" s="820"/>
      <c r="F82" s="821"/>
      <c r="G82"/>
      <c r="H82"/>
      <c r="I82"/>
      <c r="J82"/>
      <c r="K82"/>
      <c r="L82"/>
      <c r="M82" s="53"/>
    </row>
    <row r="83" spans="2:13">
      <c r="B83" s="822"/>
      <c r="C83" s="823"/>
      <c r="D83" s="823"/>
      <c r="E83" s="823"/>
      <c r="F83" s="824"/>
      <c r="M83" s="53"/>
    </row>
    <row r="84" spans="2:13">
      <c r="B84" s="822"/>
      <c r="C84" s="823"/>
      <c r="D84" s="823"/>
      <c r="E84" s="823"/>
      <c r="F84" s="824"/>
      <c r="M84" s="53"/>
    </row>
    <row r="85" spans="2:13">
      <c r="B85" s="822"/>
      <c r="C85" s="823"/>
      <c r="D85" s="823"/>
      <c r="E85" s="823"/>
      <c r="F85" s="824"/>
      <c r="M85" s="53"/>
    </row>
    <row r="86" spans="2:13">
      <c r="B86" s="822"/>
      <c r="C86" s="823"/>
      <c r="D86" s="823"/>
      <c r="E86" s="823"/>
      <c r="F86" s="824"/>
      <c r="M86" s="53"/>
    </row>
    <row r="87" spans="2:13">
      <c r="B87" s="822"/>
      <c r="C87" s="823"/>
      <c r="D87" s="823"/>
      <c r="E87" s="823"/>
      <c r="F87" s="824"/>
      <c r="M87" s="53"/>
    </row>
    <row r="88" spans="2:13">
      <c r="B88" s="822"/>
      <c r="C88" s="823"/>
      <c r="D88" s="823"/>
      <c r="E88" s="823"/>
      <c r="F88" s="824"/>
      <c r="M88" s="53"/>
    </row>
    <row r="89" spans="2:13">
      <c r="B89" s="822"/>
      <c r="C89" s="823"/>
      <c r="D89" s="823"/>
      <c r="E89" s="823"/>
      <c r="F89" s="824"/>
      <c r="M89" s="53"/>
    </row>
    <row r="90" spans="2:13">
      <c r="B90" s="822"/>
      <c r="C90" s="823"/>
      <c r="D90" s="823"/>
      <c r="E90" s="823"/>
      <c r="F90" s="824"/>
      <c r="M90" s="53"/>
    </row>
    <row r="91" spans="2:13">
      <c r="B91" s="822"/>
      <c r="C91" s="823"/>
      <c r="D91" s="823"/>
      <c r="E91" s="823"/>
      <c r="F91" s="824"/>
      <c r="M91" s="53"/>
    </row>
    <row r="92" spans="2:13">
      <c r="B92" s="822"/>
      <c r="C92" s="823"/>
      <c r="D92" s="823"/>
      <c r="E92" s="823"/>
      <c r="F92" s="824"/>
      <c r="M92" s="53"/>
    </row>
    <row r="93" spans="2:13">
      <c r="B93" s="822"/>
      <c r="C93" s="823"/>
      <c r="D93" s="823"/>
      <c r="E93" s="823"/>
      <c r="F93" s="824"/>
      <c r="M93" s="53"/>
    </row>
    <row r="94" spans="2:13">
      <c r="B94" s="822"/>
      <c r="C94" s="823"/>
      <c r="D94" s="823"/>
      <c r="E94" s="823"/>
      <c r="F94" s="824"/>
      <c r="M94" s="53"/>
    </row>
    <row r="95" spans="2:13">
      <c r="B95" s="822"/>
      <c r="C95" s="823"/>
      <c r="D95" s="823"/>
      <c r="E95" s="823"/>
      <c r="F95" s="824"/>
      <c r="M95" s="53"/>
    </row>
    <row r="96" spans="2:13">
      <c r="B96" s="822"/>
      <c r="C96" s="823"/>
      <c r="D96" s="823"/>
      <c r="E96" s="823"/>
      <c r="F96" s="824"/>
      <c r="M96" s="53"/>
    </row>
    <row r="97" spans="2:13">
      <c r="B97" s="822"/>
      <c r="C97" s="823"/>
      <c r="D97" s="823"/>
      <c r="E97" s="823"/>
      <c r="F97" s="824"/>
      <c r="M97" s="53"/>
    </row>
    <row r="98" spans="2:13">
      <c r="B98" s="822"/>
      <c r="C98" s="823"/>
      <c r="D98" s="823"/>
      <c r="E98" s="823"/>
      <c r="F98" s="824"/>
      <c r="M98" s="53"/>
    </row>
    <row r="99" spans="2:13">
      <c r="B99" s="822"/>
      <c r="C99" s="823"/>
      <c r="D99" s="823"/>
      <c r="E99" s="823"/>
      <c r="F99" s="824"/>
      <c r="M99" s="53"/>
    </row>
    <row r="100" spans="2:13">
      <c r="B100" s="822"/>
      <c r="C100" s="823"/>
      <c r="D100" s="823"/>
      <c r="E100" s="823"/>
      <c r="F100" s="824"/>
      <c r="M100" s="53"/>
    </row>
    <row r="101" spans="2:13">
      <c r="B101" s="822"/>
      <c r="C101" s="823"/>
      <c r="D101" s="823"/>
      <c r="E101" s="823"/>
      <c r="F101" s="824"/>
      <c r="M101" s="53"/>
    </row>
    <row r="102" spans="2:13">
      <c r="B102" s="822"/>
      <c r="C102" s="823"/>
      <c r="D102" s="823"/>
      <c r="E102" s="823"/>
      <c r="F102" s="824"/>
      <c r="M102" s="53"/>
    </row>
    <row r="103" spans="2:13">
      <c r="B103" s="822"/>
      <c r="C103" s="823"/>
      <c r="D103" s="823"/>
      <c r="E103" s="823"/>
      <c r="F103" s="824"/>
      <c r="M103" s="53"/>
    </row>
    <row r="104" spans="2:13">
      <c r="B104" s="822"/>
      <c r="C104" s="823"/>
      <c r="D104" s="823"/>
      <c r="E104" s="823"/>
      <c r="F104" s="824"/>
      <c r="M104" s="53"/>
    </row>
    <row r="105" spans="2:13" ht="13.5" thickBot="1">
      <c r="B105" s="822"/>
      <c r="C105" s="823"/>
      <c r="D105" s="823"/>
      <c r="E105" s="823"/>
      <c r="F105" s="824"/>
      <c r="M105" s="53"/>
    </row>
    <row r="106" spans="2:13" ht="13.5" thickBot="1">
      <c r="B106" s="825"/>
      <c r="C106" s="826"/>
      <c r="D106" s="826"/>
      <c r="E106" s="826"/>
      <c r="F106" s="827"/>
      <c r="G106" s="793"/>
      <c r="H106" s="794"/>
      <c r="I106" s="575"/>
      <c r="J106" s="576"/>
      <c r="K106" s="577"/>
      <c r="L106" s="578"/>
      <c r="M106" s="579"/>
    </row>
  </sheetData>
  <mergeCells count="108">
    <mergeCell ref="B81:F81"/>
    <mergeCell ref="I34:M37"/>
    <mergeCell ref="I38:M38"/>
    <mergeCell ref="J46:K46"/>
    <mergeCell ref="J47:K47"/>
    <mergeCell ref="J48:K48"/>
    <mergeCell ref="J49:K49"/>
    <mergeCell ref="J50:K50"/>
    <mergeCell ref="J51:K51"/>
    <mergeCell ref="J52:K52"/>
    <mergeCell ref="J53:K53"/>
    <mergeCell ref="J54:K54"/>
    <mergeCell ref="J55:K55"/>
    <mergeCell ref="J56:K56"/>
    <mergeCell ref="J57:K57"/>
    <mergeCell ref="J75:L75"/>
    <mergeCell ref="J70:L70"/>
    <mergeCell ref="J71:L71"/>
    <mergeCell ref="J72:L72"/>
    <mergeCell ref="J73:L73"/>
    <mergeCell ref="B60:D60"/>
    <mergeCell ref="B71:D71"/>
    <mergeCell ref="B61:D70"/>
    <mergeCell ref="J59:M59"/>
    <mergeCell ref="E2:K2"/>
    <mergeCell ref="F19:G19"/>
    <mergeCell ref="F27:G27"/>
    <mergeCell ref="F25:G25"/>
    <mergeCell ref="J20:K20"/>
    <mergeCell ref="I21:J21"/>
    <mergeCell ref="I22:J22"/>
    <mergeCell ref="I23:J23"/>
    <mergeCell ref="I24:J24"/>
    <mergeCell ref="I25:J25"/>
    <mergeCell ref="I26:J26"/>
    <mergeCell ref="I27:J27"/>
    <mergeCell ref="F26:G26"/>
    <mergeCell ref="D4:G16"/>
    <mergeCell ref="D3:G3"/>
    <mergeCell ref="H3:M3"/>
    <mergeCell ref="F18:H18"/>
    <mergeCell ref="F21:G21"/>
    <mergeCell ref="F22:G22"/>
    <mergeCell ref="F23:G23"/>
    <mergeCell ref="F24:G24"/>
    <mergeCell ref="F20:G20"/>
    <mergeCell ref="B16:C16"/>
    <mergeCell ref="B3:C15"/>
    <mergeCell ref="L18:M18"/>
    <mergeCell ref="B18:C18"/>
    <mergeCell ref="B28:C28"/>
    <mergeCell ref="D18:E18"/>
    <mergeCell ref="B17:M17"/>
    <mergeCell ref="B32:M32"/>
    <mergeCell ref="H39:H42"/>
    <mergeCell ref="I39:I42"/>
    <mergeCell ref="J39:K42"/>
    <mergeCell ref="L39:L42"/>
    <mergeCell ref="M39:M42"/>
    <mergeCell ref="J19:K19"/>
    <mergeCell ref="F31:G31"/>
    <mergeCell ref="F30:G30"/>
    <mergeCell ref="F28:G28"/>
    <mergeCell ref="F29:G29"/>
    <mergeCell ref="H34:H37"/>
    <mergeCell ref="C36:G36"/>
    <mergeCell ref="C37:G37"/>
    <mergeCell ref="C40:G40"/>
    <mergeCell ref="B59:I59"/>
    <mergeCell ref="B33:G33"/>
    <mergeCell ref="I18:K18"/>
    <mergeCell ref="C42:G42"/>
    <mergeCell ref="C41:G41"/>
    <mergeCell ref="I28:J28"/>
    <mergeCell ref="I29:J29"/>
    <mergeCell ref="I30:J30"/>
    <mergeCell ref="I33:M33"/>
    <mergeCell ref="B38:G38"/>
    <mergeCell ref="C39:G39"/>
    <mergeCell ref="C34:G34"/>
    <mergeCell ref="B58:M58"/>
    <mergeCell ref="C35:G35"/>
    <mergeCell ref="J44:M44"/>
    <mergeCell ref="B43:M43"/>
    <mergeCell ref="G106:H106"/>
    <mergeCell ref="G81:M81"/>
    <mergeCell ref="E72:I80"/>
    <mergeCell ref="E61:I70"/>
    <mergeCell ref="J60:L60"/>
    <mergeCell ref="E71:I71"/>
    <mergeCell ref="B72:D80"/>
    <mergeCell ref="J63:L63"/>
    <mergeCell ref="J64:L64"/>
    <mergeCell ref="J65:L65"/>
    <mergeCell ref="J66:L66"/>
    <mergeCell ref="J67:L67"/>
    <mergeCell ref="J68:L68"/>
    <mergeCell ref="J69:L69"/>
    <mergeCell ref="J61:L61"/>
    <mergeCell ref="J62:L62"/>
    <mergeCell ref="E60:I60"/>
    <mergeCell ref="J74:L74"/>
    <mergeCell ref="J76:L76"/>
    <mergeCell ref="J77:L77"/>
    <mergeCell ref="J78:L78"/>
    <mergeCell ref="J80:L80"/>
    <mergeCell ref="J79:L79"/>
    <mergeCell ref="B82:F106"/>
  </mergeCells>
  <phoneticPr fontId="0" type="noConversion"/>
  <conditionalFormatting sqref="C45:C53 D45:E45">
    <cfRule type="dataBar" priority="5">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5:D53">
    <cfRule type="dataBar" priority="4">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6:D53">
    <cfRule type="dataBar" priority="11">
      <dataBar>
        <cfvo type="min"/>
        <cfvo type="max"/>
        <color rgb="FF638EC6"/>
      </dataBar>
      <extLst>
        <ext xmlns:x14="http://schemas.microsoft.com/office/spreadsheetml/2009/9/main" uri="{B025F937-C7B1-47D3-B67F-A62EFF666E3E}">
          <x14:id>{8F05AC94-FB75-41DC-A030-BD50695363B2}</x14:id>
        </ext>
      </extLst>
    </cfRule>
    <cfRule type="dataBar" priority="13">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5:E53">
    <cfRule type="dataBar" priority="3">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6:E53">
    <cfRule type="dataBar" priority="6">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4:E57 G54:G57 I54:I57">
    <cfRule type="dataBar" priority="8">
      <dataBar>
        <cfvo type="min"/>
        <cfvo type="max"/>
        <color rgb="FF638EC6"/>
      </dataBar>
      <extLst>
        <ext xmlns:x14="http://schemas.microsoft.com/office/spreadsheetml/2009/9/main" uri="{B025F937-C7B1-47D3-B67F-A62EFF666E3E}">
          <x14:id>{4382A5A4-8938-4754-913D-04C8EB3E9944}</x14:id>
        </ext>
      </extLst>
    </cfRule>
    <cfRule type="dataBar" priority="9">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5:F53">
    <cfRule type="dataBar" priority="10">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5:G53">
    <cfRule type="dataBar" priority="12">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0:H22">
    <cfRule type="dataBar" priority="2">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6:H30">
    <cfRule type="dataBar" priority="1">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5:H53">
    <cfRule type="dataBar" priority="15">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5:I53">
    <cfRule type="dataBar" priority="7">
      <dataBar>
        <cfvo type="min"/>
        <cfvo type="max"/>
        <color rgb="FF63C384"/>
      </dataBar>
      <extLst>
        <ext xmlns:x14="http://schemas.microsoft.com/office/spreadsheetml/2009/9/main" uri="{B025F937-C7B1-47D3-B67F-A62EFF666E3E}">
          <x14:id>{60823727-C433-4BFE-A422-F2DB16A0B39B}</x14:id>
        </ext>
      </extLst>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6:S56"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C45:C53 D45:E45</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D45:D53</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D46:D53</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E45:E53</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E46:E53</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E54:E57 G54:G57 I54:I57</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F45:F53</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G45:G53</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H20:H22</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H26:H30</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H45:H53</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I45:I53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A1:Y72"/>
  <sheetViews>
    <sheetView showGridLines="0" zoomScale="65" zoomScaleNormal="44" workbookViewId="0">
      <selection activeCell="M57" sqref="M57"/>
    </sheetView>
  </sheetViews>
  <sheetFormatPr defaultColWidth="11.42578125" defaultRowHeight="12.75"/>
  <cols>
    <col min="1" max="1" width="2.140625" customWidth="1"/>
    <col min="2" max="2" width="11" customWidth="1"/>
    <col min="3" max="3" width="42.85546875" customWidth="1"/>
    <col min="4" max="4" width="15.42578125" style="2" customWidth="1"/>
    <col min="5" max="9" width="15.42578125" customWidth="1"/>
    <col min="10" max="12" width="11.42578125" bestFit="1" customWidth="1"/>
    <col min="17" max="17" width="23.42578125" customWidth="1"/>
  </cols>
  <sheetData>
    <row r="1" spans="1:25" ht="7.5" customHeight="1">
      <c r="A1" s="11" t="s">
        <v>162</v>
      </c>
    </row>
    <row r="2" spans="1:25" ht="20.25">
      <c r="B2" s="950" t="str">
        <f>"Regions "&amp;"("&amp;OP!$J$19&amp;")"</f>
        <v>Regions (2022)</v>
      </c>
      <c r="C2" s="951"/>
      <c r="D2" s="951"/>
      <c r="E2" s="951"/>
      <c r="F2" s="951"/>
      <c r="G2" s="951"/>
      <c r="H2" s="951"/>
      <c r="I2" s="951"/>
      <c r="J2" s="951"/>
      <c r="K2" s="951"/>
      <c r="L2" s="951"/>
      <c r="M2" s="951"/>
      <c r="N2" s="951"/>
      <c r="O2" s="951"/>
      <c r="P2" s="951"/>
      <c r="Q2" s="946" t="s">
        <v>163</v>
      </c>
      <c r="R2" s="947"/>
      <c r="S2" s="947"/>
      <c r="T2" s="947"/>
      <c r="U2" s="947"/>
      <c r="V2" s="947"/>
      <c r="W2" s="947"/>
      <c r="X2" s="947"/>
      <c r="Y2" s="948"/>
    </row>
    <row r="3" spans="1:25" ht="18.75" thickBot="1">
      <c r="B3" s="198"/>
      <c r="C3" s="199"/>
      <c r="D3" s="957" t="s">
        <v>164</v>
      </c>
      <c r="E3" s="957"/>
      <c r="F3" s="957"/>
      <c r="G3" s="957"/>
      <c r="H3" s="957"/>
      <c r="I3" s="958"/>
      <c r="J3" s="174"/>
      <c r="K3" s="949" t="s">
        <v>165</v>
      </c>
      <c r="L3" s="949"/>
      <c r="M3" s="949"/>
      <c r="N3" s="949"/>
      <c r="O3" s="949"/>
      <c r="P3" s="949"/>
      <c r="Q3" s="163"/>
      <c r="Y3" s="192"/>
    </row>
    <row r="4" spans="1:25" ht="13.5" thickBot="1">
      <c r="B4" s="181" t="s">
        <v>166</v>
      </c>
      <c r="C4" s="182" t="s">
        <v>167</v>
      </c>
      <c r="D4" s="183">
        <f>OP!J19</f>
        <v>2022</v>
      </c>
      <c r="E4" s="183">
        <f>D4-1</f>
        <v>2021</v>
      </c>
      <c r="F4" s="183">
        <f>E4-1</f>
        <v>2020</v>
      </c>
      <c r="G4" s="183">
        <f>F4-1</f>
        <v>2019</v>
      </c>
      <c r="H4" s="183">
        <f>G4-1</f>
        <v>2018</v>
      </c>
      <c r="I4" s="183">
        <f>H4-1</f>
        <v>2017</v>
      </c>
      <c r="J4" s="175"/>
      <c r="K4" s="183">
        <f>OP!J19</f>
        <v>2022</v>
      </c>
      <c r="L4" s="183">
        <f t="shared" ref="L4:P4" si="0">K4-1</f>
        <v>2021</v>
      </c>
      <c r="M4" s="183">
        <f t="shared" si="0"/>
        <v>2020</v>
      </c>
      <c r="N4" s="183">
        <f t="shared" si="0"/>
        <v>2019</v>
      </c>
      <c r="O4" s="183">
        <f t="shared" si="0"/>
        <v>2018</v>
      </c>
      <c r="P4" s="200">
        <f t="shared" si="0"/>
        <v>2017</v>
      </c>
      <c r="Q4" s="163"/>
      <c r="Y4" s="192"/>
    </row>
    <row r="5" spans="1:25">
      <c r="B5" s="179">
        <f>IFERROR(D5/$D$9,"")</f>
        <v>0.11018966127796948</v>
      </c>
      <c r="C5" s="180" t="s">
        <v>168</v>
      </c>
      <c r="D5" s="184">
        <v>13380</v>
      </c>
      <c r="E5" s="184">
        <v>13999</v>
      </c>
      <c r="F5" s="184">
        <v>20460</v>
      </c>
      <c r="G5" s="184">
        <v>21553</v>
      </c>
      <c r="H5" s="686"/>
      <c r="I5" s="686"/>
      <c r="J5" s="176"/>
      <c r="K5" s="365">
        <f t="shared" ref="K5:O6" si="1">(D5-E5)/E5</f>
        <v>-4.4217444103150226E-2</v>
      </c>
      <c r="L5" s="365">
        <f t="shared" si="1"/>
        <v>-0.31578690127077225</v>
      </c>
      <c r="M5" s="365">
        <f t="shared" si="1"/>
        <v>-5.0712197837887996E-2</v>
      </c>
      <c r="N5" s="365" t="e">
        <f t="shared" si="1"/>
        <v>#DIV/0!</v>
      </c>
      <c r="O5" s="365" t="e">
        <f t="shared" si="1"/>
        <v>#DIV/0!</v>
      </c>
      <c r="P5" s="365"/>
      <c r="Q5" s="163"/>
      <c r="R5" s="11"/>
      <c r="Y5" s="192"/>
    </row>
    <row r="6" spans="1:25">
      <c r="B6" s="168">
        <f>IFERROR(D6/$D$9,"")</f>
        <v>0.79423027827418946</v>
      </c>
      <c r="C6" s="166" t="s">
        <v>169</v>
      </c>
      <c r="D6" s="172">
        <v>96441</v>
      </c>
      <c r="E6" s="172">
        <v>90926</v>
      </c>
      <c r="F6" s="172">
        <v>80327</v>
      </c>
      <c r="G6" s="172">
        <v>82952</v>
      </c>
      <c r="H6" s="172">
        <v>82233</v>
      </c>
      <c r="I6" s="172">
        <v>77246</v>
      </c>
      <c r="J6" s="176"/>
      <c r="K6" s="365">
        <f>(D6-E6)/E6</f>
        <v>6.0653718408376044E-2</v>
      </c>
      <c r="L6" s="365">
        <f>(E6-F6)/F6</f>
        <v>0.13194816188828165</v>
      </c>
      <c r="M6" s="365">
        <f t="shared" si="1"/>
        <v>-3.1644806635162503E-2</v>
      </c>
      <c r="N6" s="365">
        <f t="shared" si="1"/>
        <v>8.7434484939136348E-3</v>
      </c>
      <c r="O6" s="365">
        <f t="shared" si="1"/>
        <v>6.4559977215648712E-2</v>
      </c>
      <c r="P6" s="365"/>
      <c r="Q6" s="163"/>
      <c r="Y6" s="192"/>
    </row>
    <row r="7" spans="1:25" hidden="1">
      <c r="B7" s="168">
        <f>IFERROR(D7/$D$9,"")</f>
        <v>0</v>
      </c>
      <c r="C7" s="166"/>
      <c r="D7" s="172"/>
      <c r="E7" s="172"/>
      <c r="F7" s="172"/>
      <c r="G7" s="172"/>
      <c r="H7" s="172"/>
      <c r="I7" s="172"/>
      <c r="J7" s="176"/>
      <c r="K7" s="172"/>
      <c r="L7" s="172"/>
      <c r="M7" s="172"/>
      <c r="N7" s="172"/>
      <c r="O7" s="172"/>
      <c r="P7" s="201"/>
      <c r="Q7" s="163"/>
      <c r="Y7" s="192"/>
    </row>
    <row r="8" spans="1:25" ht="13.5" thickBot="1">
      <c r="B8" s="169">
        <f>IFERROR(D8/$D$9,"")</f>
        <v>9.5580060447841092E-2</v>
      </c>
      <c r="C8" s="185" t="s">
        <v>59</v>
      </c>
      <c r="D8" s="173">
        <v>11606</v>
      </c>
      <c r="E8" s="173">
        <v>11460</v>
      </c>
      <c r="F8" s="173">
        <v>2777</v>
      </c>
      <c r="G8" s="173">
        <v>4437</v>
      </c>
      <c r="H8" s="173">
        <v>12274</v>
      </c>
      <c r="I8" s="173">
        <v>7783</v>
      </c>
      <c r="J8" s="176"/>
      <c r="K8" s="786">
        <f>(D8-E8)/E8</f>
        <v>1.2739965095986039E-2</v>
      </c>
      <c r="L8" s="786">
        <f>(E8-F8)/F8</f>
        <v>3.1267554915376303</v>
      </c>
      <c r="M8" s="365">
        <f>(F8-G8)/G8</f>
        <v>-0.3741266621591165</v>
      </c>
      <c r="N8" s="365">
        <f>(G8-H8)/H8</f>
        <v>-0.63850415512465375</v>
      </c>
      <c r="O8" s="365" t="b">
        <f>K14=(H8-I8)/I8</f>
        <v>0</v>
      </c>
      <c r="P8" s="202"/>
      <c r="Q8" s="163"/>
      <c r="Y8" s="192"/>
    </row>
    <row r="9" spans="1:25" ht="13.5" thickBot="1">
      <c r="B9" s="171">
        <f>SUM(B5:B8)</f>
        <v>1</v>
      </c>
      <c r="C9" s="186" t="s">
        <v>170</v>
      </c>
      <c r="D9" s="167">
        <f>SUM(D5:D8)</f>
        <v>121427</v>
      </c>
      <c r="E9" s="167">
        <f t="shared" ref="E9:I9" si="2">SUM(E5:E8)</f>
        <v>116385</v>
      </c>
      <c r="F9" s="167">
        <f t="shared" si="2"/>
        <v>103564</v>
      </c>
      <c r="G9" s="167">
        <f t="shared" si="2"/>
        <v>108942</v>
      </c>
      <c r="H9" s="167">
        <f t="shared" si="2"/>
        <v>94507</v>
      </c>
      <c r="I9" s="167">
        <f t="shared" si="2"/>
        <v>85029</v>
      </c>
      <c r="J9" s="177"/>
      <c r="K9" s="367">
        <f>(D9-E9)/E9</f>
        <v>4.3321733900416722E-2</v>
      </c>
      <c r="L9" s="367">
        <f>(E9-F9)/F9</f>
        <v>0.12379784481093817</v>
      </c>
      <c r="M9" s="367">
        <f>(F9-G9)/G9</f>
        <v>-4.9365717537772393E-2</v>
      </c>
      <c r="N9" s="367">
        <f t="shared" ref="N9:O9" si="3">(G9-H9)/H9</f>
        <v>0.15274000867660598</v>
      </c>
      <c r="O9" s="367">
        <f t="shared" si="3"/>
        <v>0.11146785214456244</v>
      </c>
      <c r="P9" s="367">
        <v>3.6999999999999998E-2</v>
      </c>
      <c r="Q9" s="163"/>
      <c r="Y9" s="192"/>
    </row>
    <row r="10" spans="1:25">
      <c r="B10" s="196"/>
      <c r="C10" s="6"/>
      <c r="D10" s="15"/>
      <c r="E10" s="15"/>
      <c r="F10" s="15"/>
      <c r="G10" s="15"/>
      <c r="H10" s="15"/>
      <c r="I10" s="15"/>
      <c r="J10" s="15"/>
      <c r="K10" s="15"/>
      <c r="L10" s="15"/>
      <c r="M10" s="15"/>
      <c r="N10" s="15"/>
      <c r="O10" s="15"/>
      <c r="P10" s="15"/>
      <c r="Q10" s="163"/>
      <c r="Y10" s="192"/>
    </row>
    <row r="11" spans="1:25" ht="21" thickBot="1">
      <c r="B11" s="950" t="str">
        <f>"Categories "&amp;"("&amp;OP!$J$19&amp;")"</f>
        <v>Categories (2022)</v>
      </c>
      <c r="C11" s="951"/>
      <c r="D11" s="951"/>
      <c r="E11" s="951"/>
      <c r="F11" s="951"/>
      <c r="G11" s="951"/>
      <c r="H11" s="951"/>
      <c r="I11" s="951"/>
      <c r="J11" s="951"/>
      <c r="K11" s="951"/>
      <c r="L11" s="951"/>
      <c r="M11" s="951"/>
      <c r="N11" s="951"/>
      <c r="O11" s="951"/>
      <c r="P11" s="951"/>
      <c r="Q11" s="163"/>
      <c r="S11" s="371"/>
      <c r="Y11" s="192"/>
    </row>
    <row r="12" spans="1:25" ht="21" thickBot="1">
      <c r="B12" s="198"/>
      <c r="C12" s="199"/>
      <c r="D12" s="924" t="s">
        <v>164</v>
      </c>
      <c r="E12" s="925"/>
      <c r="F12" s="925"/>
      <c r="G12" s="925"/>
      <c r="H12" s="925"/>
      <c r="I12" s="926"/>
      <c r="J12" s="174"/>
      <c r="K12" s="952" t="s">
        <v>165</v>
      </c>
      <c r="L12" s="953"/>
      <c r="M12" s="953"/>
      <c r="N12" s="953"/>
      <c r="O12" s="953"/>
      <c r="P12" s="953"/>
      <c r="Q12" s="163"/>
      <c r="S12" s="11"/>
      <c r="Y12" s="192"/>
    </row>
    <row r="13" spans="1:25" ht="13.5" thickBot="1">
      <c r="B13" s="197" t="s">
        <v>166</v>
      </c>
      <c r="C13" s="162" t="s">
        <v>171</v>
      </c>
      <c r="D13" s="170">
        <f>OP!J19</f>
        <v>2022</v>
      </c>
      <c r="E13" s="170">
        <f>D13-1</f>
        <v>2021</v>
      </c>
      <c r="F13" s="170">
        <f>E13-1</f>
        <v>2020</v>
      </c>
      <c r="G13" s="170">
        <f>F13-1</f>
        <v>2019</v>
      </c>
      <c r="H13" s="170">
        <f>G13-1</f>
        <v>2018</v>
      </c>
      <c r="I13" s="170">
        <f>H13-1</f>
        <v>2017</v>
      </c>
      <c r="J13" s="175"/>
      <c r="K13" s="178">
        <f>OP!J19</f>
        <v>2022</v>
      </c>
      <c r="L13" s="178">
        <f t="shared" ref="L13:P13" si="4">K13-1</f>
        <v>2021</v>
      </c>
      <c r="M13" s="178">
        <f t="shared" si="4"/>
        <v>2020</v>
      </c>
      <c r="N13" s="178">
        <f t="shared" si="4"/>
        <v>2019</v>
      </c>
      <c r="O13" s="178">
        <f t="shared" si="4"/>
        <v>2018</v>
      </c>
      <c r="P13" s="203">
        <f t="shared" si="4"/>
        <v>2017</v>
      </c>
      <c r="Q13" s="722" t="s">
        <v>172</v>
      </c>
      <c r="S13" s="11"/>
      <c r="Y13" s="192"/>
    </row>
    <row r="14" spans="1:25">
      <c r="B14" s="179">
        <v>0.52</v>
      </c>
      <c r="C14" s="165" t="s">
        <v>173</v>
      </c>
      <c r="D14" s="364">
        <v>66318</v>
      </c>
      <c r="E14" s="364">
        <v>64328</v>
      </c>
      <c r="F14" s="364">
        <v>60051</v>
      </c>
      <c r="G14" s="364">
        <v>58082</v>
      </c>
      <c r="H14" s="364"/>
      <c r="I14" s="364"/>
      <c r="J14" s="176"/>
      <c r="K14" s="368">
        <f>(D14-E14)/E14</f>
        <v>3.0935207063798036E-2</v>
      </c>
      <c r="L14" s="368">
        <f t="shared" ref="L14:O19" si="5">(E14-F14)/F14</f>
        <v>7.122279395846863E-2</v>
      </c>
      <c r="M14" s="368">
        <f t="shared" si="5"/>
        <v>3.3900347784167215E-2</v>
      </c>
      <c r="N14" s="368" t="e">
        <f t="shared" si="5"/>
        <v>#DIV/0!</v>
      </c>
      <c r="O14" s="368" t="e">
        <f t="shared" si="5"/>
        <v>#DIV/0!</v>
      </c>
      <c r="P14" s="368"/>
      <c r="Q14" s="163"/>
      <c r="Y14" s="192"/>
    </row>
    <row r="15" spans="1:25">
      <c r="B15" s="179">
        <v>0.19</v>
      </c>
      <c r="C15" s="166" t="s">
        <v>174</v>
      </c>
      <c r="D15" s="364">
        <v>23406</v>
      </c>
      <c r="E15" s="364">
        <v>22780</v>
      </c>
      <c r="F15" s="364">
        <v>18936</v>
      </c>
      <c r="G15" s="364">
        <v>19947</v>
      </c>
      <c r="H15" s="364"/>
      <c r="I15" s="364"/>
      <c r="J15" s="176"/>
      <c r="K15" s="369">
        <f t="shared" ref="K15:K18" si="6">(D15-E15)/E15</f>
        <v>2.7480245829675155E-2</v>
      </c>
      <c r="L15" s="369">
        <f t="shared" si="5"/>
        <v>0.20299957752429235</v>
      </c>
      <c r="M15" s="369">
        <f t="shared" si="5"/>
        <v>-5.0684313430591064E-2</v>
      </c>
      <c r="N15" s="369" t="e">
        <f t="shared" si="5"/>
        <v>#DIV/0!</v>
      </c>
      <c r="O15" s="369" t="e">
        <f t="shared" si="5"/>
        <v>#DIV/0!</v>
      </c>
      <c r="P15" s="369"/>
      <c r="Q15" s="163"/>
      <c r="Y15" s="192"/>
    </row>
    <row r="16" spans="1:25">
      <c r="B16" s="179">
        <v>0.09</v>
      </c>
      <c r="C16" s="166" t="s">
        <v>175</v>
      </c>
      <c r="D16" s="364">
        <v>11622</v>
      </c>
      <c r="E16" s="364">
        <v>9449</v>
      </c>
      <c r="F16" s="364">
        <v>8134</v>
      </c>
      <c r="G16" s="364">
        <v>9352</v>
      </c>
      <c r="H16" s="364"/>
      <c r="I16" s="364"/>
      <c r="J16" s="176"/>
      <c r="K16" s="369">
        <f t="shared" si="6"/>
        <v>0.22997142554767699</v>
      </c>
      <c r="L16" s="369">
        <f t="shared" si="5"/>
        <v>0.16166707646914188</v>
      </c>
      <c r="M16" s="369">
        <f t="shared" si="5"/>
        <v>-0.13023952095808383</v>
      </c>
      <c r="N16" s="369" t="e">
        <f t="shared" si="5"/>
        <v>#DIV/0!</v>
      </c>
      <c r="O16" s="369" t="e">
        <f t="shared" si="5"/>
        <v>#DIV/0!</v>
      </c>
      <c r="P16" s="369"/>
      <c r="Q16" s="163"/>
      <c r="Y16" s="192"/>
    </row>
    <row r="17" spans="2:25">
      <c r="B17" s="179">
        <v>0.06</v>
      </c>
      <c r="C17" s="166" t="s">
        <v>176</v>
      </c>
      <c r="D17" s="364">
        <v>7541</v>
      </c>
      <c r="E17" s="364">
        <v>5051</v>
      </c>
      <c r="F17" s="364">
        <v>2094</v>
      </c>
      <c r="G17" s="364">
        <v>6213</v>
      </c>
      <c r="H17" s="364"/>
      <c r="I17" s="364"/>
      <c r="J17" s="176"/>
      <c r="K17" s="369">
        <f t="shared" si="6"/>
        <v>0.49297168877450009</v>
      </c>
      <c r="L17" s="369">
        <f t="shared" si="5"/>
        <v>1.412129894937918</v>
      </c>
      <c r="M17" s="369">
        <f t="shared" si="5"/>
        <v>-0.66296475132786092</v>
      </c>
      <c r="N17" s="369" t="e">
        <f t="shared" si="5"/>
        <v>#DIV/0!</v>
      </c>
      <c r="O17" s="369" t="e">
        <f t="shared" si="5"/>
        <v>#DIV/0!</v>
      </c>
      <c r="P17" s="369"/>
      <c r="Q17" s="163"/>
      <c r="Y17" s="192"/>
    </row>
    <row r="18" spans="2:25">
      <c r="B18" s="179">
        <v>0.14000000000000001</v>
      </c>
      <c r="C18" s="185" t="s">
        <v>177</v>
      </c>
      <c r="D18" s="364">
        <v>17946</v>
      </c>
      <c r="E18" s="364">
        <v>20285</v>
      </c>
      <c r="F18" s="364">
        <v>18594</v>
      </c>
      <c r="G18" s="364">
        <v>19219</v>
      </c>
      <c r="H18" s="364"/>
      <c r="I18" s="364"/>
      <c r="J18" s="176"/>
      <c r="K18" s="370">
        <f t="shared" si="6"/>
        <v>-0.11530687700271136</v>
      </c>
      <c r="L18" s="370">
        <f t="shared" si="5"/>
        <v>9.0943315047864903E-2</v>
      </c>
      <c r="M18" s="370">
        <f t="shared" si="5"/>
        <v>-3.2519902180134244E-2</v>
      </c>
      <c r="N18" s="370" t="e">
        <f t="shared" si="5"/>
        <v>#DIV/0!</v>
      </c>
      <c r="O18" s="370" t="e">
        <f t="shared" si="5"/>
        <v>#DIV/0!</v>
      </c>
      <c r="P18" s="370"/>
      <c r="Q18" s="163"/>
      <c r="Y18" s="192"/>
    </row>
    <row r="19" spans="2:25">
      <c r="B19" s="171">
        <f>SUM(B14:B18)</f>
        <v>0.99999999999999989</v>
      </c>
      <c r="C19" s="186" t="s">
        <v>170</v>
      </c>
      <c r="D19" s="167">
        <f>SUM(D14:D18)</f>
        <v>126833</v>
      </c>
      <c r="E19" s="167">
        <f t="shared" ref="E19:I19" si="7">SUM(E14:E18)</f>
        <v>121893</v>
      </c>
      <c r="F19" s="167">
        <f t="shared" si="7"/>
        <v>107809</v>
      </c>
      <c r="G19" s="167">
        <f>SUM(G14:G18)</f>
        <v>112813</v>
      </c>
      <c r="H19" s="167">
        <f t="shared" si="7"/>
        <v>0</v>
      </c>
      <c r="I19" s="167">
        <f t="shared" si="7"/>
        <v>0</v>
      </c>
      <c r="J19" s="177"/>
      <c r="K19" s="366">
        <f>(D19-E19)/E19</f>
        <v>4.0527347755818628E-2</v>
      </c>
      <c r="L19" s="367">
        <f t="shared" si="5"/>
        <v>0.130638443914701</v>
      </c>
      <c r="M19" s="367">
        <f t="shared" ref="M19" si="8">(F19-G19)/G19</f>
        <v>-4.4356590109295914E-2</v>
      </c>
      <c r="N19" s="367" t="e">
        <f t="shared" ref="N19" si="9">(G19-H19)/H19</f>
        <v>#DIV/0!</v>
      </c>
      <c r="O19" s="367" t="e">
        <f t="shared" ref="O19" si="10">(H19-I19)/I19</f>
        <v>#DIV/0!</v>
      </c>
      <c r="P19" s="367">
        <v>3.6999999999999998E-2</v>
      </c>
      <c r="Q19" s="163"/>
      <c r="Y19" s="192"/>
    </row>
    <row r="20" spans="2:25" ht="13.5" thickBot="1">
      <c r="C20" s="14"/>
      <c r="D20" s="15"/>
      <c r="E20" s="16"/>
      <c r="F20" s="15"/>
      <c r="G20" s="16"/>
      <c r="H20" s="15"/>
      <c r="I20" s="16"/>
      <c r="J20" s="44"/>
      <c r="Q20" s="163"/>
      <c r="Y20" s="192"/>
    </row>
    <row r="21" spans="2:25" ht="21" thickBot="1">
      <c r="B21" s="924" t="s">
        <v>74</v>
      </c>
      <c r="C21" s="926"/>
      <c r="D21" s="924" t="s">
        <v>178</v>
      </c>
      <c r="E21" s="925"/>
      <c r="F21" s="925"/>
      <c r="G21" s="925"/>
      <c r="H21" s="925"/>
      <c r="I21" s="955" t="s">
        <v>179</v>
      </c>
      <c r="J21" s="956"/>
      <c r="K21" s="956"/>
      <c r="L21" s="956"/>
      <c r="M21" s="956"/>
      <c r="N21" s="956"/>
      <c r="O21" s="956"/>
      <c r="P21" s="956"/>
      <c r="Q21" s="163"/>
      <c r="Y21" s="192"/>
    </row>
    <row r="22" spans="2:25" ht="62.45" customHeight="1" thickBot="1">
      <c r="B22" s="932" t="s">
        <v>173</v>
      </c>
      <c r="C22" s="933"/>
      <c r="D22" s="954" t="s">
        <v>180</v>
      </c>
      <c r="E22" s="940"/>
      <c r="F22" s="940"/>
      <c r="G22" s="940"/>
      <c r="H22" s="940"/>
      <c r="I22" s="163"/>
      <c r="Q22" s="163"/>
      <c r="X22" s="723" t="s">
        <v>181</v>
      </c>
      <c r="Y22" s="192"/>
    </row>
    <row r="23" spans="2:25" ht="47.1" customHeight="1" thickBot="1">
      <c r="B23" s="932" t="s">
        <v>174</v>
      </c>
      <c r="C23" s="933"/>
      <c r="D23" s="954" t="s">
        <v>182</v>
      </c>
      <c r="E23" s="940"/>
      <c r="F23" s="940"/>
      <c r="G23" s="940"/>
      <c r="H23" s="940"/>
      <c r="I23" s="163"/>
      <c r="Q23" s="163"/>
      <c r="Y23" s="192"/>
    </row>
    <row r="24" spans="2:25" ht="28.35" customHeight="1" thickBot="1">
      <c r="B24" s="932" t="s">
        <v>175</v>
      </c>
      <c r="C24" s="933"/>
      <c r="D24" s="939" t="s">
        <v>183</v>
      </c>
      <c r="E24" s="940"/>
      <c r="F24" s="940"/>
      <c r="G24" s="940"/>
      <c r="H24" s="940"/>
      <c r="I24" s="163"/>
      <c r="Q24" s="163"/>
      <c r="Y24" s="192"/>
    </row>
    <row r="25" spans="2:25" ht="30.6" customHeight="1" thickBot="1">
      <c r="B25" s="932" t="s">
        <v>176</v>
      </c>
      <c r="C25" s="933"/>
      <c r="D25" s="939" t="s">
        <v>184</v>
      </c>
      <c r="E25" s="940"/>
      <c r="F25" s="940"/>
      <c r="G25" s="940"/>
      <c r="H25" s="940"/>
      <c r="I25" s="163"/>
      <c r="Y25" s="192"/>
    </row>
    <row r="26" spans="2:25" ht="59.1" customHeight="1" thickBot="1">
      <c r="B26" s="932" t="s">
        <v>177</v>
      </c>
      <c r="C26" s="933"/>
      <c r="D26" s="939" t="s">
        <v>185</v>
      </c>
      <c r="E26" s="940"/>
      <c r="F26" s="940"/>
      <c r="G26" s="940"/>
      <c r="H26" s="940"/>
      <c r="I26" s="163"/>
      <c r="Q26" t="s">
        <v>186</v>
      </c>
      <c r="Y26" s="192"/>
    </row>
    <row r="27" spans="2:25" ht="28.35" hidden="1" customHeight="1">
      <c r="B27" s="932"/>
      <c r="C27" s="933"/>
      <c r="D27" s="941"/>
      <c r="E27" s="942"/>
      <c r="F27" s="942"/>
      <c r="G27" s="942"/>
      <c r="H27" s="942"/>
      <c r="I27" s="163"/>
      <c r="Q27" s="163"/>
      <c r="Y27" s="192"/>
    </row>
    <row r="28" spans="2:25" ht="56.25" customHeight="1" thickBot="1">
      <c r="I28" s="164"/>
      <c r="J28" s="193"/>
      <c r="K28" s="193"/>
      <c r="L28" s="193"/>
      <c r="M28" s="193"/>
      <c r="N28" s="193"/>
      <c r="O28" s="193"/>
      <c r="P28" s="193"/>
      <c r="Q28" s="164"/>
      <c r="R28" s="193"/>
      <c r="S28" s="193"/>
      <c r="T28" s="193"/>
      <c r="U28" s="193"/>
      <c r="V28" s="193"/>
      <c r="W28" s="193"/>
      <c r="X28" s="193"/>
      <c r="Y28" s="195"/>
    </row>
    <row r="29" spans="2:25" ht="21" thickBot="1">
      <c r="B29" s="924" t="s">
        <v>187</v>
      </c>
      <c r="C29" s="925"/>
      <c r="D29" s="925"/>
      <c r="E29" s="925"/>
      <c r="F29" s="925"/>
      <c r="G29" s="925"/>
      <c r="H29" s="925"/>
      <c r="I29" s="926"/>
      <c r="J29" s="908" t="s">
        <v>188</v>
      </c>
      <c r="K29" s="909"/>
      <c r="L29" s="909"/>
      <c r="M29" s="909"/>
      <c r="N29" s="909"/>
      <c r="O29" s="909"/>
      <c r="P29" s="909"/>
      <c r="Q29" s="910"/>
    </row>
    <row r="30" spans="2:25">
      <c r="B30" s="917" t="s">
        <v>189</v>
      </c>
      <c r="C30" s="919"/>
      <c r="D30" s="917" t="s">
        <v>178</v>
      </c>
      <c r="E30" s="918"/>
      <c r="F30" s="918"/>
      <c r="G30" s="918"/>
      <c r="H30" s="918"/>
      <c r="I30" s="919"/>
      <c r="J30" s="187"/>
      <c r="K30" s="190"/>
      <c r="L30" s="190"/>
      <c r="M30" s="190"/>
      <c r="N30" s="190"/>
      <c r="O30" s="190"/>
      <c r="P30" s="190"/>
      <c r="Q30" s="191"/>
    </row>
    <row r="31" spans="2:25" ht="24.6" customHeight="1">
      <c r="B31" s="927" t="s">
        <v>190</v>
      </c>
      <c r="C31" s="928"/>
      <c r="D31" s="936" t="s">
        <v>191</v>
      </c>
      <c r="E31" s="937"/>
      <c r="F31" s="937"/>
      <c r="G31" s="937"/>
      <c r="H31" s="937"/>
      <c r="I31" s="938"/>
      <c r="J31" s="163"/>
      <c r="Q31" s="192"/>
    </row>
    <row r="32" spans="2:25" ht="24.6" customHeight="1">
      <c r="B32" s="927" t="s">
        <v>192</v>
      </c>
      <c r="C32" s="928"/>
      <c r="D32" s="936" t="s">
        <v>193</v>
      </c>
      <c r="E32" s="937"/>
      <c r="F32" s="937"/>
      <c r="G32" s="937"/>
      <c r="H32" s="937"/>
      <c r="I32" s="938"/>
      <c r="J32" s="163"/>
      <c r="Q32" s="192"/>
    </row>
    <row r="33" spans="2:21" ht="43.35" customHeight="1">
      <c r="B33" s="927" t="s">
        <v>194</v>
      </c>
      <c r="C33" s="928"/>
      <c r="D33" s="936" t="s">
        <v>195</v>
      </c>
      <c r="E33" s="937"/>
      <c r="F33" s="937"/>
      <c r="G33" s="937"/>
      <c r="H33" s="937"/>
      <c r="I33" s="938"/>
      <c r="J33" s="163"/>
      <c r="Q33" s="192"/>
    </row>
    <row r="34" spans="2:21" ht="34.35" customHeight="1" thickBot="1">
      <c r="B34" s="934" t="s">
        <v>196</v>
      </c>
      <c r="C34" s="935"/>
      <c r="D34" s="936" t="s">
        <v>197</v>
      </c>
      <c r="E34" s="937"/>
      <c r="F34" s="937"/>
      <c r="G34" s="937"/>
      <c r="H34" s="937"/>
      <c r="I34" s="938"/>
      <c r="J34" s="163"/>
      <c r="Q34" s="192"/>
    </row>
    <row r="35" spans="2:21" ht="13.5" thickBot="1">
      <c r="B35" s="917"/>
      <c r="C35" s="918"/>
      <c r="D35" s="918"/>
      <c r="E35" s="918"/>
      <c r="F35" s="918"/>
      <c r="G35" s="918"/>
      <c r="H35" s="918"/>
      <c r="I35" s="919"/>
      <c r="J35" s="163"/>
      <c r="Q35" s="192"/>
    </row>
    <row r="36" spans="2:21" ht="13.5" customHeight="1">
      <c r="B36" s="920" t="s">
        <v>198</v>
      </c>
      <c r="C36" s="921"/>
      <c r="D36" s="943" t="s">
        <v>199</v>
      </c>
      <c r="E36" s="944"/>
      <c r="F36" s="945"/>
      <c r="G36" s="943" t="s">
        <v>200</v>
      </c>
      <c r="H36" s="944"/>
      <c r="I36" s="945"/>
      <c r="J36" s="163"/>
      <c r="Q36" s="192"/>
      <c r="T36" s="11"/>
      <c r="U36" s="11"/>
    </row>
    <row r="37" spans="2:21">
      <c r="B37" s="922" t="s">
        <v>201</v>
      </c>
      <c r="C37" s="923"/>
      <c r="D37" s="914">
        <v>0.2082</v>
      </c>
      <c r="E37" s="915"/>
      <c r="F37" s="916"/>
      <c r="G37" s="911" t="s">
        <v>202</v>
      </c>
      <c r="H37" s="912"/>
      <c r="I37" s="913"/>
      <c r="J37" s="163"/>
      <c r="Q37" s="192"/>
      <c r="T37" s="11"/>
      <c r="U37" s="11"/>
    </row>
    <row r="38" spans="2:21">
      <c r="B38" s="922" t="s">
        <v>203</v>
      </c>
      <c r="C38" s="923"/>
      <c r="D38" s="914">
        <v>5.8999999999999997E-2</v>
      </c>
      <c r="E38" s="915"/>
      <c r="F38" s="916"/>
      <c r="G38" s="911" t="s">
        <v>204</v>
      </c>
      <c r="H38" s="912"/>
      <c r="I38" s="913"/>
      <c r="J38" s="163"/>
      <c r="Q38" s="192"/>
      <c r="T38" s="11"/>
      <c r="U38" s="11"/>
    </row>
    <row r="39" spans="2:21">
      <c r="B39" s="922" t="s">
        <v>205</v>
      </c>
      <c r="C39" s="923"/>
      <c r="D39" s="914">
        <v>0.13</v>
      </c>
      <c r="E39" s="915"/>
      <c r="F39" s="916"/>
      <c r="G39" s="911" t="s">
        <v>206</v>
      </c>
      <c r="H39" s="912"/>
      <c r="I39" s="913"/>
      <c r="J39" s="163"/>
      <c r="Q39" s="192"/>
      <c r="T39" s="11"/>
      <c r="U39" s="11"/>
    </row>
    <row r="40" spans="2:21">
      <c r="B40" s="922" t="s">
        <v>207</v>
      </c>
      <c r="C40" s="923"/>
      <c r="D40" s="929">
        <v>0.105</v>
      </c>
      <c r="E40" s="930"/>
      <c r="F40" s="931"/>
      <c r="G40" s="905" t="s">
        <v>208</v>
      </c>
      <c r="H40" s="906"/>
      <c r="I40" s="907"/>
      <c r="J40" s="163"/>
      <c r="Q40" s="192"/>
      <c r="T40" s="11"/>
      <c r="U40" s="11"/>
    </row>
    <row r="41" spans="2:21" ht="20.25">
      <c r="B41" s="924" t="s">
        <v>209</v>
      </c>
      <c r="C41" s="925"/>
      <c r="D41" s="925"/>
      <c r="E41" s="925"/>
      <c r="F41" s="925"/>
      <c r="G41" s="925"/>
      <c r="H41" s="925"/>
      <c r="I41" s="926"/>
      <c r="J41" s="163"/>
      <c r="Q41" s="192"/>
      <c r="T41" s="11"/>
      <c r="U41" s="11"/>
    </row>
    <row r="42" spans="2:21">
      <c r="B42" s="372"/>
      <c r="C42" s="188"/>
      <c r="D42" s="189"/>
      <c r="E42" s="190"/>
      <c r="F42" s="190"/>
      <c r="G42" s="190"/>
      <c r="H42" s="190"/>
      <c r="I42" s="191"/>
      <c r="J42" s="163"/>
      <c r="Q42" s="192"/>
      <c r="T42" s="11"/>
      <c r="U42" s="11"/>
    </row>
    <row r="43" spans="2:21">
      <c r="B43" s="163"/>
      <c r="I43" s="192"/>
      <c r="J43" s="163"/>
      <c r="Q43" s="192"/>
      <c r="T43" s="11"/>
      <c r="U43" s="11"/>
    </row>
    <row r="44" spans="2:21" ht="12.75" customHeight="1">
      <c r="B44" s="901" t="s">
        <v>210</v>
      </c>
      <c r="C44" s="902"/>
      <c r="D44" s="902"/>
      <c r="E44" s="902"/>
      <c r="F44" s="902"/>
      <c r="G44" s="902"/>
      <c r="H44" s="902"/>
      <c r="I44" s="903"/>
      <c r="J44" s="163"/>
      <c r="Q44" s="192"/>
      <c r="T44" s="11"/>
      <c r="U44" s="11"/>
    </row>
    <row r="45" spans="2:21">
      <c r="B45" s="904"/>
      <c r="C45" s="902"/>
      <c r="D45" s="902"/>
      <c r="E45" s="902"/>
      <c r="F45" s="902"/>
      <c r="G45" s="902"/>
      <c r="H45" s="902"/>
      <c r="I45" s="903"/>
      <c r="J45" s="163"/>
      <c r="Q45" s="192"/>
      <c r="T45" s="11"/>
      <c r="U45" s="11"/>
    </row>
    <row r="46" spans="2:21">
      <c r="B46" s="904"/>
      <c r="C46" s="902"/>
      <c r="D46" s="902"/>
      <c r="E46" s="902"/>
      <c r="F46" s="902"/>
      <c r="G46" s="902"/>
      <c r="H46" s="902"/>
      <c r="I46" s="903"/>
      <c r="J46" s="163"/>
      <c r="Q46" s="192"/>
      <c r="T46" s="11"/>
      <c r="U46" s="11"/>
    </row>
    <row r="47" spans="2:21">
      <c r="B47" s="904"/>
      <c r="C47" s="902"/>
      <c r="D47" s="902"/>
      <c r="E47" s="902"/>
      <c r="F47" s="902"/>
      <c r="G47" s="902"/>
      <c r="H47" s="902"/>
      <c r="I47" s="903"/>
      <c r="J47" s="163"/>
      <c r="Q47" s="192"/>
      <c r="T47" s="11"/>
      <c r="U47" s="11"/>
    </row>
    <row r="48" spans="2:21">
      <c r="B48" s="904"/>
      <c r="C48" s="902"/>
      <c r="D48" s="902"/>
      <c r="E48" s="902"/>
      <c r="F48" s="902"/>
      <c r="G48" s="902"/>
      <c r="H48" s="902"/>
      <c r="I48" s="903"/>
      <c r="J48" s="163"/>
      <c r="Q48" s="192"/>
      <c r="T48" s="11"/>
      <c r="U48" s="11"/>
    </row>
    <row r="49" spans="2:21">
      <c r="B49" s="904"/>
      <c r="C49" s="902"/>
      <c r="D49" s="902"/>
      <c r="E49" s="902"/>
      <c r="F49" s="902"/>
      <c r="G49" s="902"/>
      <c r="H49" s="902"/>
      <c r="I49" s="903"/>
      <c r="J49" s="163"/>
      <c r="Q49" s="192"/>
      <c r="T49" s="11"/>
      <c r="U49" s="11"/>
    </row>
    <row r="50" spans="2:21">
      <c r="B50" s="904"/>
      <c r="C50" s="902"/>
      <c r="D50" s="902"/>
      <c r="E50" s="902"/>
      <c r="F50" s="902"/>
      <c r="G50" s="902"/>
      <c r="H50" s="902"/>
      <c r="I50" s="903"/>
      <c r="J50" s="163"/>
      <c r="Q50" s="192"/>
      <c r="T50" s="11"/>
      <c r="U50" s="11"/>
    </row>
    <row r="51" spans="2:21">
      <c r="B51" s="904"/>
      <c r="C51" s="902"/>
      <c r="D51" s="902"/>
      <c r="E51" s="902"/>
      <c r="F51" s="902"/>
      <c r="G51" s="902"/>
      <c r="H51" s="902"/>
      <c r="I51" s="903"/>
      <c r="J51" s="163"/>
      <c r="Q51" s="192"/>
      <c r="T51" s="11"/>
      <c r="U51" s="11"/>
    </row>
    <row r="52" spans="2:21">
      <c r="B52" s="904"/>
      <c r="C52" s="902"/>
      <c r="D52" s="902"/>
      <c r="E52" s="902"/>
      <c r="F52" s="902"/>
      <c r="G52" s="902"/>
      <c r="H52" s="902"/>
      <c r="I52" s="903"/>
      <c r="J52" s="163"/>
      <c r="Q52" s="192"/>
      <c r="T52" s="11"/>
      <c r="U52" s="11"/>
    </row>
    <row r="53" spans="2:21">
      <c r="B53" s="163"/>
      <c r="I53" s="192"/>
      <c r="J53" s="163"/>
      <c r="Q53" s="192"/>
      <c r="T53" s="11"/>
      <c r="U53" s="11"/>
    </row>
    <row r="54" spans="2:21">
      <c r="B54" s="163"/>
      <c r="I54" s="192"/>
      <c r="J54" s="163"/>
      <c r="Q54" s="192"/>
      <c r="T54" s="11"/>
      <c r="U54" s="11"/>
    </row>
    <row r="55" spans="2:21">
      <c r="B55" s="163"/>
      <c r="I55" s="192"/>
      <c r="J55" s="163"/>
      <c r="Q55" s="192"/>
      <c r="T55" s="11"/>
      <c r="U55" s="11"/>
    </row>
    <row r="56" spans="2:21">
      <c r="B56" s="164"/>
      <c r="C56" s="193"/>
      <c r="D56" s="194"/>
      <c r="E56" s="193"/>
      <c r="F56" s="193"/>
      <c r="G56" s="193"/>
      <c r="H56" s="193"/>
      <c r="I56" s="195"/>
      <c r="J56" s="163"/>
      <c r="Q56" s="192"/>
      <c r="T56" s="11"/>
      <c r="U56" s="11"/>
    </row>
    <row r="57" spans="2:21">
      <c r="J57" s="163"/>
      <c r="Q57" s="192"/>
      <c r="T57" s="11"/>
      <c r="U57" s="11"/>
    </row>
    <row r="58" spans="2:21">
      <c r="J58" s="164"/>
      <c r="K58" s="193"/>
      <c r="L58" s="193"/>
      <c r="M58" s="193"/>
      <c r="N58" s="193"/>
      <c r="O58" s="193"/>
      <c r="P58" s="193"/>
      <c r="Q58" s="195"/>
      <c r="T58" s="11"/>
      <c r="U58" s="11"/>
    </row>
    <row r="59" spans="2:21">
      <c r="T59" s="11"/>
      <c r="U59" s="11"/>
    </row>
    <row r="60" spans="2:21">
      <c r="T60" s="11"/>
      <c r="U60" s="11"/>
    </row>
    <row r="61" spans="2:21">
      <c r="T61" s="11"/>
      <c r="U61" s="11"/>
    </row>
    <row r="62" spans="2:21">
      <c r="T62" s="11"/>
      <c r="U62" s="11"/>
    </row>
    <row r="63" spans="2:21">
      <c r="O63" s="373"/>
      <c r="T63" s="11"/>
      <c r="U63" s="11"/>
    </row>
    <row r="64" spans="2:21">
      <c r="O64" s="373"/>
      <c r="T64" s="11"/>
      <c r="U64" s="11"/>
    </row>
    <row r="65" spans="15:21">
      <c r="O65" s="373"/>
      <c r="T65" s="11"/>
      <c r="U65" s="11"/>
    </row>
    <row r="66" spans="15:21">
      <c r="T66" s="11"/>
      <c r="U66" s="11"/>
    </row>
    <row r="67" spans="15:21">
      <c r="T67" s="11"/>
      <c r="U67" s="11"/>
    </row>
    <row r="68" spans="15:21">
      <c r="T68" s="11"/>
      <c r="U68" s="11"/>
    </row>
    <row r="69" spans="15:21">
      <c r="T69" s="11"/>
      <c r="U69" s="11"/>
    </row>
    <row r="70" spans="15:21">
      <c r="T70" s="11"/>
      <c r="U70" s="11"/>
    </row>
    <row r="71" spans="15:21">
      <c r="T71" s="11"/>
      <c r="U71" s="11"/>
    </row>
    <row r="72" spans="15:21">
      <c r="T72" s="11"/>
      <c r="U72" s="11"/>
    </row>
  </sheetData>
  <mergeCells count="52">
    <mergeCell ref="Q2:Y2"/>
    <mergeCell ref="K3:P3"/>
    <mergeCell ref="B2:P2"/>
    <mergeCell ref="K12:P12"/>
    <mergeCell ref="B27:C27"/>
    <mergeCell ref="B11:P11"/>
    <mergeCell ref="D12:I12"/>
    <mergeCell ref="D21:H21"/>
    <mergeCell ref="D22:H22"/>
    <mergeCell ref="D23:H23"/>
    <mergeCell ref="D24:H24"/>
    <mergeCell ref="D25:H25"/>
    <mergeCell ref="I21:P21"/>
    <mergeCell ref="D3:I3"/>
    <mergeCell ref="B22:C22"/>
    <mergeCell ref="B26:C26"/>
    <mergeCell ref="B21:C21"/>
    <mergeCell ref="B24:C24"/>
    <mergeCell ref="D30:I30"/>
    <mergeCell ref="D33:I33"/>
    <mergeCell ref="D36:F36"/>
    <mergeCell ref="G36:I36"/>
    <mergeCell ref="D40:F40"/>
    <mergeCell ref="B23:C23"/>
    <mergeCell ref="B34:C34"/>
    <mergeCell ref="B38:C38"/>
    <mergeCell ref="B39:C39"/>
    <mergeCell ref="B40:C40"/>
    <mergeCell ref="D31:I31"/>
    <mergeCell ref="D34:I34"/>
    <mergeCell ref="D26:H26"/>
    <mergeCell ref="D27:H27"/>
    <mergeCell ref="D32:I32"/>
    <mergeCell ref="B32:C32"/>
    <mergeCell ref="B33:C33"/>
    <mergeCell ref="B25:C25"/>
    <mergeCell ref="B44:I52"/>
    <mergeCell ref="G40:I40"/>
    <mergeCell ref="J29:Q29"/>
    <mergeCell ref="G38:I38"/>
    <mergeCell ref="G39:I39"/>
    <mergeCell ref="D37:F37"/>
    <mergeCell ref="D38:F38"/>
    <mergeCell ref="D39:F39"/>
    <mergeCell ref="B35:I35"/>
    <mergeCell ref="B36:C36"/>
    <mergeCell ref="B37:C37"/>
    <mergeCell ref="G37:I37"/>
    <mergeCell ref="B29:I29"/>
    <mergeCell ref="B41:I41"/>
    <mergeCell ref="B30:C30"/>
    <mergeCell ref="B31:C31"/>
  </mergeCells>
  <phoneticPr fontId="0" type="noConversion"/>
  <conditionalFormatting sqref="B5:B8">
    <cfRule type="dataBar" priority="68">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4:B18">
    <cfRule type="dataBar" priority="39">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8">
    <cfRule type="dataBar" priority="51">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4:D18">
    <cfRule type="dataBar" priority="45">
      <dataBar>
        <cfvo type="min"/>
        <cfvo type="max"/>
        <color rgb="FF63C384"/>
      </dataBar>
      <extLst>
        <ext xmlns:x14="http://schemas.microsoft.com/office/spreadsheetml/2009/9/main" uri="{B025F937-C7B1-47D3-B67F-A62EFF666E3E}">
          <x14:id>{F575A9CD-40CE-4DD0-A0EE-358DA4D46D80}</x14:id>
        </ext>
      </extLst>
    </cfRule>
  </conditionalFormatting>
  <conditionalFormatting sqref="D5:I6">
    <cfRule type="dataBar" priority="25">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4:I18">
    <cfRule type="dataBar" priority="23">
      <dataBar>
        <cfvo type="min"/>
        <cfvo type="max"/>
        <color rgb="FF63C384"/>
      </dataBar>
      <extLst>
        <ext xmlns:x14="http://schemas.microsoft.com/office/spreadsheetml/2009/9/main" uri="{B025F937-C7B1-47D3-B67F-A62EFF666E3E}">
          <x14:id>{FE64C78F-7C84-4298-8E01-F0D5B55D0F50}</x14:id>
        </ext>
      </extLst>
    </cfRule>
    <cfRule type="dataBar" priority="24">
      <dataBar>
        <cfvo type="min"/>
        <cfvo type="max"/>
        <color rgb="FF63C384"/>
      </dataBar>
      <extLst>
        <ext xmlns:x14="http://schemas.microsoft.com/office/spreadsheetml/2009/9/main" uri="{B025F937-C7B1-47D3-B67F-A62EFF666E3E}">
          <x14:id>{34CEE88D-9151-4A21-99EF-7139B3551298}</x14:id>
        </ext>
      </extLst>
    </cfRule>
  </conditionalFormatting>
  <conditionalFormatting sqref="E5:E8">
    <cfRule type="dataBar" priority="50">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4:E18">
    <cfRule type="dataBar" priority="44">
      <dataBar>
        <cfvo type="min"/>
        <cfvo type="max"/>
        <color rgb="FF63C384"/>
      </dataBar>
      <extLst>
        <ext xmlns:x14="http://schemas.microsoft.com/office/spreadsheetml/2009/9/main" uri="{B025F937-C7B1-47D3-B67F-A62EFF666E3E}">
          <x14:id>{A38B14A7-F79E-4BFC-8C5A-104694F33A4C}</x14:id>
        </ext>
      </extLst>
    </cfRule>
  </conditionalFormatting>
  <conditionalFormatting sqref="F5:F8">
    <cfRule type="dataBar" priority="49">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4:F18">
    <cfRule type="dataBar" priority="43">
      <dataBar>
        <cfvo type="min"/>
        <cfvo type="max"/>
        <color rgb="FF63C384"/>
      </dataBar>
      <extLst>
        <ext xmlns:x14="http://schemas.microsoft.com/office/spreadsheetml/2009/9/main" uri="{B025F937-C7B1-47D3-B67F-A62EFF666E3E}">
          <x14:id>{505412FE-4EAD-453D-A4BD-B1B63B0ABC2E}</x14:id>
        </ext>
      </extLst>
    </cfRule>
  </conditionalFormatting>
  <conditionalFormatting sqref="G5:G8">
    <cfRule type="dataBar" priority="48">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4:G18">
    <cfRule type="dataBar" priority="42">
      <dataBar>
        <cfvo type="min"/>
        <cfvo type="max"/>
        <color rgb="FF63C384"/>
      </dataBar>
      <extLst>
        <ext xmlns:x14="http://schemas.microsoft.com/office/spreadsheetml/2009/9/main" uri="{B025F937-C7B1-47D3-B67F-A62EFF666E3E}">
          <x14:id>{F51D7CD6-931F-4BA7-90A2-0A736BE3108D}</x14:id>
        </ext>
      </extLst>
    </cfRule>
  </conditionalFormatting>
  <conditionalFormatting sqref="H5:H8">
    <cfRule type="dataBar" priority="47">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4:H18">
    <cfRule type="dataBar" priority="41">
      <dataBar>
        <cfvo type="min"/>
        <cfvo type="max"/>
        <color rgb="FF63C384"/>
      </dataBar>
      <extLst>
        <ext xmlns:x14="http://schemas.microsoft.com/office/spreadsheetml/2009/9/main" uri="{B025F937-C7B1-47D3-B67F-A62EFF666E3E}">
          <x14:id>{454C0D39-C9D6-4F33-943E-21207557A042}</x14:id>
        </ext>
      </extLst>
    </cfRule>
  </conditionalFormatting>
  <conditionalFormatting sqref="I5:I8">
    <cfRule type="dataBar" priority="46">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4:I18">
    <cfRule type="dataBar" priority="40">
      <dataBar>
        <cfvo type="min"/>
        <cfvo type="max"/>
        <color rgb="FF63C384"/>
      </dataBar>
      <extLst>
        <ext xmlns:x14="http://schemas.microsoft.com/office/spreadsheetml/2009/9/main" uri="{B025F937-C7B1-47D3-B67F-A62EFF666E3E}">
          <x14:id>{B2C6EEDC-5358-4682-A598-0CF216F95620}</x14:id>
        </ext>
      </extLst>
    </cfRule>
  </conditionalFormatting>
  <conditionalFormatting sqref="K5:K8">
    <cfRule type="dataBar" priority="58">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4:K17">
    <cfRule type="dataBar" priority="16">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4:O17">
    <cfRule type="dataBar" priority="36">
      <dataBar>
        <cfvo type="min"/>
        <cfvo type="max"/>
        <color rgb="FF63C384"/>
      </dataBar>
      <extLst>
        <ext xmlns:x14="http://schemas.microsoft.com/office/spreadsheetml/2009/9/main" uri="{B025F937-C7B1-47D3-B67F-A62EFF666E3E}">
          <x14:id>{BE9D279A-ADD8-46F4-B26E-577DEFFA037B}</x14:id>
        </ext>
      </extLst>
    </cfRule>
  </conditionalFormatting>
  <conditionalFormatting sqref="K14:O18">
    <cfRule type="dataBar" priority="64">
      <dataBar>
        <cfvo type="min"/>
        <cfvo type="max"/>
        <color rgb="FF63C384"/>
      </dataBar>
      <extLst>
        <ext xmlns:x14="http://schemas.microsoft.com/office/spreadsheetml/2009/9/main" uri="{B025F937-C7B1-47D3-B67F-A62EFF666E3E}">
          <x14:id>{589E11FE-E342-4D21-9EB3-CB0F15AE87A6}</x14:id>
        </ext>
      </extLst>
    </cfRule>
    <cfRule type="dataBar" priority="28">
      <dataBar>
        <cfvo type="min"/>
        <cfvo type="max"/>
        <color rgb="FF63C384"/>
      </dataBar>
      <extLst>
        <ext xmlns:x14="http://schemas.microsoft.com/office/spreadsheetml/2009/9/main" uri="{B025F937-C7B1-47D3-B67F-A62EFF666E3E}">
          <x14:id>{CBC457F7-3DB8-46A0-988B-11CCF8FF31E5}</x14:id>
        </ext>
      </extLst>
    </cfRule>
  </conditionalFormatting>
  <conditionalFormatting sqref="K5:P6">
    <cfRule type="dataBar" priority="32">
      <dataBar>
        <cfvo type="min"/>
        <cfvo type="max"/>
        <color rgb="FF63C384"/>
      </dataBar>
      <extLst>
        <ext xmlns:x14="http://schemas.microsoft.com/office/spreadsheetml/2009/9/main" uri="{B025F937-C7B1-47D3-B67F-A62EFF666E3E}">
          <x14:id>{5832A442-CC22-41FC-AD17-86122538435B}</x14:id>
        </ext>
      </extLst>
    </cfRule>
    <cfRule type="dataBar" priority="31">
      <dataBar>
        <cfvo type="min"/>
        <cfvo type="max"/>
        <color rgb="FF63C384"/>
      </dataBar>
      <extLst>
        <ext xmlns:x14="http://schemas.microsoft.com/office/spreadsheetml/2009/9/main" uri="{B025F937-C7B1-47D3-B67F-A62EFF666E3E}">
          <x14:id>{1642E512-5328-4DB9-81F4-5A67EFFA2D7A}</x14:id>
        </ext>
      </extLst>
    </cfRule>
  </conditionalFormatting>
  <conditionalFormatting sqref="K14:P17">
    <cfRule type="dataBar" priority="29">
      <dataBar>
        <cfvo type="min"/>
        <cfvo type="max"/>
        <color rgb="FF63C384"/>
      </dataBar>
      <extLst>
        <ext xmlns:x14="http://schemas.microsoft.com/office/spreadsheetml/2009/9/main" uri="{B025F937-C7B1-47D3-B67F-A62EFF666E3E}">
          <x14:id>{9095667E-69EE-4811-BEDE-AFA010708C3B}</x14:id>
        </ext>
      </extLst>
    </cfRule>
    <cfRule type="dataBar" priority="10">
      <dataBar>
        <cfvo type="min"/>
        <cfvo type="max"/>
        <color rgb="FF63C384"/>
      </dataBar>
      <extLst>
        <ext xmlns:x14="http://schemas.microsoft.com/office/spreadsheetml/2009/9/main" uri="{B025F937-C7B1-47D3-B67F-A62EFF666E3E}">
          <x14:id>{A85696C3-3FD4-4347-BBC8-6CEF041D9BC2}</x14:id>
        </ext>
      </extLst>
    </cfRule>
    <cfRule type="dataBar" priority="34">
      <dataBar>
        <cfvo type="min"/>
        <cfvo type="max"/>
        <color rgb="FF63C384"/>
      </dataBar>
      <extLst>
        <ext xmlns:x14="http://schemas.microsoft.com/office/spreadsheetml/2009/9/main" uri="{B025F937-C7B1-47D3-B67F-A62EFF666E3E}">
          <x14:id>{00030478-9DDE-4C48-B970-8BFEEA7887D7}</x14:id>
        </ext>
      </extLst>
    </cfRule>
    <cfRule type="dataBar" priority="27">
      <dataBar>
        <cfvo type="min"/>
        <cfvo type="max"/>
        <color rgb="FF63C384"/>
      </dataBar>
      <extLst>
        <ext xmlns:x14="http://schemas.microsoft.com/office/spreadsheetml/2009/9/main" uri="{B025F937-C7B1-47D3-B67F-A62EFF666E3E}">
          <x14:id>{4CBCF4A4-EFBB-41F0-984E-0C4EF2D8C81C}</x14:id>
        </ext>
      </extLst>
    </cfRule>
  </conditionalFormatting>
  <conditionalFormatting sqref="K14:P18">
    <cfRule type="dataBar" priority="30">
      <dataBar>
        <cfvo type="min"/>
        <cfvo type="max"/>
        <color rgb="FF63C384"/>
      </dataBar>
      <extLst>
        <ext xmlns:x14="http://schemas.microsoft.com/office/spreadsheetml/2009/9/main" uri="{B025F937-C7B1-47D3-B67F-A62EFF666E3E}">
          <x14:id>{EC7F1560-4E75-4756-AE37-09B82982D1AB}</x14:id>
        </ext>
      </extLst>
    </cfRule>
  </conditionalFormatting>
  <conditionalFormatting sqref="K18:P18">
    <cfRule type="dataBar" priority="26">
      <dataBar>
        <cfvo type="min"/>
        <cfvo type="max"/>
        <color rgb="FF63C384"/>
      </dataBar>
      <extLst>
        <ext xmlns:x14="http://schemas.microsoft.com/office/spreadsheetml/2009/9/main" uri="{B025F937-C7B1-47D3-B67F-A62EFF666E3E}">
          <x14:id>{1C8C07B2-BD7C-4727-B188-3301C366D456}</x14:id>
        </ext>
      </extLst>
    </cfRule>
    <cfRule type="dataBar" priority="33">
      <dataBar>
        <cfvo type="min"/>
        <cfvo type="max"/>
        <color rgb="FF63C384"/>
      </dataBar>
      <extLst>
        <ext xmlns:x14="http://schemas.microsoft.com/office/spreadsheetml/2009/9/main" uri="{B025F937-C7B1-47D3-B67F-A62EFF666E3E}">
          <x14:id>{904D660B-3592-4479-B026-ACD9350A3616}</x14:id>
        </ext>
      </extLst>
    </cfRule>
    <cfRule type="dataBar" priority="35">
      <dataBar>
        <cfvo type="min"/>
        <cfvo type="max"/>
        <color rgb="FF63C384"/>
      </dataBar>
      <extLst>
        <ext xmlns:x14="http://schemas.microsoft.com/office/spreadsheetml/2009/9/main" uri="{B025F937-C7B1-47D3-B67F-A62EFF666E3E}">
          <x14:id>{FE2287FA-B40E-40F5-8AA8-262EA0BD4636}</x14:id>
        </ext>
      </extLst>
    </cfRule>
    <cfRule type="dataBar" priority="17">
      <dataBar>
        <cfvo type="min"/>
        <cfvo type="max"/>
        <color rgb="FF63C384"/>
      </dataBar>
      <extLst>
        <ext xmlns:x14="http://schemas.microsoft.com/office/spreadsheetml/2009/9/main" uri="{B025F937-C7B1-47D3-B67F-A62EFF666E3E}">
          <x14:id>{624EF9E9-FC69-4C57-8B92-4F6320D43BF6}</x14:id>
        </ext>
      </extLst>
    </cfRule>
  </conditionalFormatting>
  <conditionalFormatting sqref="L5:L8">
    <cfRule type="dataBar" priority="56">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4:L17">
    <cfRule type="dataBar" priority="15">
      <dataBar>
        <cfvo type="min"/>
        <cfvo type="max"/>
        <color rgb="FF63C384"/>
      </dataBar>
      <extLst>
        <ext xmlns:x14="http://schemas.microsoft.com/office/spreadsheetml/2009/9/main" uri="{B025F937-C7B1-47D3-B67F-A62EFF666E3E}">
          <x14:id>{4BEF7755-0998-42F9-BE2B-3DDE71DD6879}</x14:id>
        </ext>
      </extLst>
    </cfRule>
  </conditionalFormatting>
  <conditionalFormatting sqref="M7">
    <cfRule type="dataBar" priority="55">
      <dataBar>
        <cfvo type="min"/>
        <cfvo type="max"/>
        <color rgb="FF63C384"/>
      </dataBar>
      <extLst>
        <ext xmlns:x14="http://schemas.microsoft.com/office/spreadsheetml/2009/9/main" uri="{B025F937-C7B1-47D3-B67F-A62EFF666E3E}">
          <x14:id>{CF921376-951B-44A1-A35C-F489AA25CABD}</x14:id>
        </ext>
      </extLst>
    </cfRule>
  </conditionalFormatting>
  <conditionalFormatting sqref="M8">
    <cfRule type="dataBar" priority="9">
      <dataBar>
        <cfvo type="min"/>
        <cfvo type="max"/>
        <color rgb="FF63C384"/>
      </dataBar>
      <extLst>
        <ext xmlns:x14="http://schemas.microsoft.com/office/spreadsheetml/2009/9/main" uri="{B025F937-C7B1-47D3-B67F-A62EFF666E3E}">
          <x14:id>{F83FC37C-3483-40AA-A2E7-3D56CCAB2CB2}</x14:id>
        </ext>
      </extLst>
    </cfRule>
    <cfRule type="dataBar" priority="7">
      <dataBar>
        <cfvo type="min"/>
        <cfvo type="max"/>
        <color rgb="FF63C384"/>
      </dataBar>
      <extLst>
        <ext xmlns:x14="http://schemas.microsoft.com/office/spreadsheetml/2009/9/main" uri="{B025F937-C7B1-47D3-B67F-A62EFF666E3E}">
          <x14:id>{A104673C-E668-4605-A7BE-3989ECFB8F39}</x14:id>
        </ext>
      </extLst>
    </cfRule>
    <cfRule type="dataBar" priority="8">
      <dataBar>
        <cfvo type="min"/>
        <cfvo type="max"/>
        <color rgb="FF63C384"/>
      </dataBar>
      <extLst>
        <ext xmlns:x14="http://schemas.microsoft.com/office/spreadsheetml/2009/9/main" uri="{B025F937-C7B1-47D3-B67F-A62EFF666E3E}">
          <x14:id>{D233568B-3341-4FBC-9BCB-15A5C94F9B31}</x14:id>
        </ext>
      </extLst>
    </cfRule>
  </conditionalFormatting>
  <conditionalFormatting sqref="M15:M17">
    <cfRule type="dataBar" priority="14">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6">
    <cfRule type="dataBar" priority="37">
      <dataBar>
        <cfvo type="min"/>
        <cfvo type="max"/>
        <color rgb="FF63C384"/>
      </dataBar>
      <extLst>
        <ext xmlns:x14="http://schemas.microsoft.com/office/spreadsheetml/2009/9/main" uri="{B025F937-C7B1-47D3-B67F-A62EFF666E3E}">
          <x14:id>{418255D3-2B96-41A9-9582-87939D7FAE81}</x14:id>
        </ext>
      </extLst>
    </cfRule>
  </conditionalFormatting>
  <conditionalFormatting sqref="N7">
    <cfRule type="dataBar" priority="54">
      <dataBar>
        <cfvo type="min"/>
        <cfvo type="max"/>
        <color rgb="FF63C384"/>
      </dataBar>
      <extLst>
        <ext xmlns:x14="http://schemas.microsoft.com/office/spreadsheetml/2009/9/main" uri="{B025F937-C7B1-47D3-B67F-A62EFF666E3E}">
          <x14:id>{13101FF6-2EA7-4030-B4D6-DA0DA1C2F6A6}</x14:id>
        </ext>
      </extLst>
    </cfRule>
  </conditionalFormatting>
  <conditionalFormatting sqref="N8">
    <cfRule type="dataBar" priority="6">
      <dataBar>
        <cfvo type="min"/>
        <cfvo type="max"/>
        <color rgb="FF63C384"/>
      </dataBar>
      <extLst>
        <ext xmlns:x14="http://schemas.microsoft.com/office/spreadsheetml/2009/9/main" uri="{B025F937-C7B1-47D3-B67F-A62EFF666E3E}">
          <x14:id>{AED19645-4DCF-4391-A0C9-52DDB95FBE0D}</x14:id>
        </ext>
      </extLst>
    </cfRule>
    <cfRule type="dataBar" priority="5">
      <dataBar>
        <cfvo type="min"/>
        <cfvo type="max"/>
        <color rgb="FF63C384"/>
      </dataBar>
      <extLst>
        <ext xmlns:x14="http://schemas.microsoft.com/office/spreadsheetml/2009/9/main" uri="{B025F937-C7B1-47D3-B67F-A62EFF666E3E}">
          <x14:id>{7C5C4AD5-909A-45C4-A25C-2EC6A26CFE0A}</x14:id>
        </ext>
      </extLst>
    </cfRule>
    <cfRule type="dataBar" priority="4">
      <dataBar>
        <cfvo type="min"/>
        <cfvo type="max"/>
        <color rgb="FF63C384"/>
      </dataBar>
      <extLst>
        <ext xmlns:x14="http://schemas.microsoft.com/office/spreadsheetml/2009/9/main" uri="{B025F937-C7B1-47D3-B67F-A62EFF666E3E}">
          <x14:id>{F675EF02-750E-45F8-A075-AB2A6EAF0108}</x14:id>
        </ext>
      </extLst>
    </cfRule>
  </conditionalFormatting>
  <conditionalFormatting sqref="N14:N17">
    <cfRule type="dataBar" priority="13">
      <dataBar>
        <cfvo type="min"/>
        <cfvo type="max"/>
        <color rgb="FF63C384"/>
      </dataBar>
      <extLst>
        <ext xmlns:x14="http://schemas.microsoft.com/office/spreadsheetml/2009/9/main" uri="{B025F937-C7B1-47D3-B67F-A62EFF666E3E}">
          <x14:id>{E359D2BF-B4C7-4D3A-9103-4CBEE70A31B4}</x14:id>
        </ext>
      </extLst>
    </cfRule>
  </conditionalFormatting>
  <conditionalFormatting sqref="O7">
    <cfRule type="dataBar" priority="53">
      <dataBar>
        <cfvo type="min"/>
        <cfvo type="max"/>
        <color rgb="FF63C384"/>
      </dataBar>
      <extLst>
        <ext xmlns:x14="http://schemas.microsoft.com/office/spreadsheetml/2009/9/main" uri="{B025F937-C7B1-47D3-B67F-A62EFF666E3E}">
          <x14:id>{1F18C40A-A33A-4D0B-B57F-47D9D6CF0D64}</x14:id>
        </ext>
      </extLst>
    </cfRule>
  </conditionalFormatting>
  <conditionalFormatting sqref="O8">
    <cfRule type="dataBar" priority="1">
      <dataBar>
        <cfvo type="min"/>
        <cfvo type="max"/>
        <color rgb="FF63C384"/>
      </dataBar>
      <extLst>
        <ext xmlns:x14="http://schemas.microsoft.com/office/spreadsheetml/2009/9/main" uri="{B025F937-C7B1-47D3-B67F-A62EFF666E3E}">
          <x14:id>{0E71D6E4-1A1F-4BB0-84A7-98B9B6B286CE}</x14:id>
        </ext>
      </extLst>
    </cfRule>
    <cfRule type="dataBar" priority="3">
      <dataBar>
        <cfvo type="min"/>
        <cfvo type="max"/>
        <color rgb="FF63C384"/>
      </dataBar>
      <extLst>
        <ext xmlns:x14="http://schemas.microsoft.com/office/spreadsheetml/2009/9/main" uri="{B025F937-C7B1-47D3-B67F-A62EFF666E3E}">
          <x14:id>{429C7F71-83C6-4083-A20C-3887112C6D66}</x14:id>
        </ext>
      </extLst>
    </cfRule>
    <cfRule type="dataBar" priority="2">
      <dataBar>
        <cfvo type="min"/>
        <cfvo type="max"/>
        <color rgb="FF63C384"/>
      </dataBar>
      <extLst>
        <ext xmlns:x14="http://schemas.microsoft.com/office/spreadsheetml/2009/9/main" uri="{B025F937-C7B1-47D3-B67F-A62EFF666E3E}">
          <x14:id>{C95AD5E5-6662-4040-97FF-8CFD6638BBDD}</x14:id>
        </ext>
      </extLst>
    </cfRule>
  </conditionalFormatting>
  <conditionalFormatting sqref="O14:O17">
    <cfRule type="dataBar" priority="12">
      <dataBar>
        <cfvo type="min"/>
        <cfvo type="max"/>
        <color rgb="FF63C384"/>
      </dataBar>
      <extLst>
        <ext xmlns:x14="http://schemas.microsoft.com/office/spreadsheetml/2009/9/main" uri="{B025F937-C7B1-47D3-B67F-A62EFF666E3E}">
          <x14:id>{26AC0999-7FF4-4431-B91F-7A7C0E85B670}</x14:id>
        </ext>
      </extLst>
    </cfRule>
  </conditionalFormatting>
  <conditionalFormatting sqref="P7:P8">
    <cfRule type="dataBar" priority="52">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4:P17">
    <cfRule type="dataBar" priority="11">
      <dataBar>
        <cfvo type="min"/>
        <cfvo type="max"/>
        <color rgb="FF63C384"/>
      </dataBar>
      <extLst>
        <ext xmlns:x14="http://schemas.microsoft.com/office/spreadsheetml/2009/9/main" uri="{B025F937-C7B1-47D3-B67F-A62EFF666E3E}">
          <x14:id>{00154FAC-2C70-4EF2-A308-BA8404420986}</x14:id>
        </ext>
      </extLst>
    </cfRule>
  </conditionalFormatting>
  <conditionalFormatting sqref="P14:P18">
    <cfRule type="dataBar" priority="59">
      <dataBar>
        <cfvo type="min"/>
        <cfvo type="max"/>
        <color rgb="FF63C384"/>
      </dataBar>
      <extLst>
        <ext xmlns:x14="http://schemas.microsoft.com/office/spreadsheetml/2009/9/main" uri="{B025F937-C7B1-47D3-B67F-A62EFF666E3E}">
          <x14:id>{A1AE97AD-5647-4F9F-A100-6C15C1895B18}</x14:id>
        </ext>
      </extLst>
    </cfRule>
  </conditionalFormatting>
  <conditionalFormatting sqref="P18">
    <cfRule type="dataBar" priority="22">
      <dataBar>
        <cfvo type="min"/>
        <cfvo type="max"/>
        <color rgb="FF63C384"/>
      </dataBar>
      <extLst>
        <ext xmlns:x14="http://schemas.microsoft.com/office/spreadsheetml/2009/9/main" uri="{B025F937-C7B1-47D3-B67F-A62EFF666E3E}">
          <x14:id>{E25FCA19-5187-42DE-ACC0-FA124C432602}</x14:id>
        </ext>
      </extLst>
    </cfRule>
    <cfRule type="dataBar" priority="21">
      <dataBar>
        <cfvo type="min"/>
        <cfvo type="max"/>
        <color rgb="FF63C384"/>
      </dataBar>
      <extLst>
        <ext xmlns:x14="http://schemas.microsoft.com/office/spreadsheetml/2009/9/main" uri="{B025F937-C7B1-47D3-B67F-A62EFF666E3E}">
          <x14:id>{CA13E27F-6DDD-451D-9981-58C3F52DF064}</x14:id>
        </ext>
      </extLst>
    </cfRule>
    <cfRule type="dataBar" priority="20">
      <dataBar>
        <cfvo type="min"/>
        <cfvo type="max"/>
        <color rgb="FF63C384"/>
      </dataBar>
      <extLst>
        <ext xmlns:x14="http://schemas.microsoft.com/office/spreadsheetml/2009/9/main" uri="{B025F937-C7B1-47D3-B67F-A62EFF666E3E}">
          <x14:id>{ECB61C77-2C43-48F4-8A50-733EB85A1CEE}</x14:id>
        </ext>
      </extLst>
    </cfRule>
    <cfRule type="dataBar" priority="19">
      <dataBar>
        <cfvo type="min"/>
        <cfvo type="max"/>
        <color rgb="FF63C384"/>
      </dataBar>
      <extLst>
        <ext xmlns:x14="http://schemas.microsoft.com/office/spreadsheetml/2009/9/main" uri="{B025F937-C7B1-47D3-B67F-A62EFF666E3E}">
          <x14:id>{657DE2C6-03A4-4EDE-99AD-798EB4DDA82C}</x14:id>
        </ext>
      </extLst>
    </cfRule>
    <cfRule type="dataBar" priority="18">
      <dataBar>
        <cfvo type="min"/>
        <cfvo type="max"/>
        <color rgb="FF63C384"/>
      </dataBar>
      <extLst>
        <ext xmlns:x14="http://schemas.microsoft.com/office/spreadsheetml/2009/9/main" uri="{B025F937-C7B1-47D3-B67F-A62EFF666E3E}">
          <x14:id>{44059659-321E-4F16-A91E-71EB67462F51}</x14:id>
        </ext>
      </extLst>
    </cfRule>
  </conditionalFormatting>
  <hyperlinks>
    <hyperlink ref="B37" r:id="rId1" display="https://www.researchandmarkets.com/reports/5134082/online-entertainment-market-by-form-revenue?utm_code=zvlqgs&amp;utm_exec=jamu273prd" xr:uid="{65A2557F-AE26-4DB2-8D90-8E381DE42AC8}"/>
    <hyperlink ref="B39" r:id="rId2" display="https://vault.com/industries/media-and-entertainment/industry-outlook" xr:uid="{F1F54C21-CAC6-4799-9D68-E2C8B2E23DC5}"/>
    <hyperlink ref="B40" r:id="rId3" display="https://www.statista.com/outlook/dmo/app/entertainment/worldwide" xr:uid="{BDB4B417-93F3-4FD7-A3AE-8942B8096313}"/>
    <hyperlink ref="B39:C39" r:id="rId4" display="Vault" xr:uid="{ED7B7086-1AD3-47A3-BDA3-5310226E4E25}"/>
    <hyperlink ref="B40:C40" r:id="rId5" display="Statista" xr:uid="{DB21B09C-B326-478B-9D06-F2AE7F5990B1}"/>
    <hyperlink ref="B38:C38" r:id="rId6" display="Business Research Insights" xr:uid="{3165C0DB-A1D2-438E-9A92-CA2267AB6BD4}"/>
    <hyperlink ref="B38" r:id="rId7" display="https://www.businessresearchinsights.com/market-reports/media-and-entertainment-market-102952" xr:uid="{FB1F9D2B-F27D-49DE-BE41-6151F1689D03}"/>
  </hyperlinks>
  <pageMargins left="0.75" right="0.75" top="1" bottom="1" header="0" footer="0"/>
  <pageSetup orientation="landscape" r:id="rId8"/>
  <headerFooter alignWithMargins="0"/>
  <drawing r:id="rId9"/>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B5:B8</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B14:B18</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D5:D8</xm:sqref>
        </x14:conditionalFormatting>
        <x14:conditionalFormatting xmlns:xm="http://schemas.microsoft.com/office/excel/2006/main">
          <x14:cfRule type="dataBar" id="{F575A9CD-40CE-4DD0-A0EE-358DA4D46D80}">
            <x14:dataBar minLength="0" maxLength="100" gradient="0">
              <x14:cfvo type="autoMin"/>
              <x14:cfvo type="autoMax"/>
              <x14:negativeFillColor rgb="FFFF0000"/>
              <x14:axisColor rgb="FF000000"/>
            </x14:dataBar>
          </x14:cfRule>
          <xm:sqref>D14:D18</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D5:I6</xm:sqref>
        </x14:conditionalFormatting>
        <x14:conditionalFormatting xmlns:xm="http://schemas.microsoft.com/office/excel/2006/main">
          <x14:cfRule type="dataBar" id="{FE64C78F-7C84-4298-8E01-F0D5B55D0F50}">
            <x14:dataBar minLength="0" maxLength="100" gradient="0">
              <x14:cfvo type="autoMin"/>
              <x14:cfvo type="autoMax"/>
              <x14:negativeFillColor rgb="FFFF0000"/>
              <x14:axisColor rgb="FF000000"/>
            </x14:dataBar>
          </x14:cfRule>
          <x14:cfRule type="dataBar" id="{34CEE88D-9151-4A21-99EF-7139B3551298}">
            <x14:dataBar minLength="0" maxLength="100" gradient="0">
              <x14:cfvo type="autoMin"/>
              <x14:cfvo type="autoMax"/>
              <x14:negativeFillColor rgb="FFFF0000"/>
              <x14:axisColor rgb="FF000000"/>
            </x14:dataBar>
          </x14:cfRule>
          <xm:sqref>D14:I18</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E5:E8</xm:sqref>
        </x14:conditionalFormatting>
        <x14:conditionalFormatting xmlns:xm="http://schemas.microsoft.com/office/excel/2006/main">
          <x14:cfRule type="dataBar" id="{A38B14A7-F79E-4BFC-8C5A-104694F33A4C}">
            <x14:dataBar minLength="0" maxLength="100" gradient="0">
              <x14:cfvo type="autoMin"/>
              <x14:cfvo type="autoMax"/>
              <x14:negativeFillColor rgb="FFFF0000"/>
              <x14:axisColor rgb="FF000000"/>
            </x14:dataBar>
          </x14:cfRule>
          <xm:sqref>E14:E18</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505412FE-4EAD-453D-A4BD-B1B63B0ABC2E}">
            <x14:dataBar minLength="0" maxLength="100" gradient="0">
              <x14:cfvo type="autoMin"/>
              <x14:cfvo type="autoMax"/>
              <x14:negativeFillColor rgb="FFFF0000"/>
              <x14:axisColor rgb="FF000000"/>
            </x14:dataBar>
          </x14:cfRule>
          <xm:sqref>F14:F18</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F51D7CD6-931F-4BA7-90A2-0A736BE3108D}">
            <x14:dataBar minLength="0" maxLength="100" gradient="0">
              <x14:cfvo type="autoMin"/>
              <x14:cfvo type="autoMax"/>
              <x14:negativeFillColor rgb="FFFF0000"/>
              <x14:axisColor rgb="FF000000"/>
            </x14:dataBar>
          </x14:cfRule>
          <xm:sqref>G14:G18</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454C0D39-C9D6-4F33-943E-21207557A042}">
            <x14:dataBar minLength="0" maxLength="100" gradient="0">
              <x14:cfvo type="autoMin"/>
              <x14:cfvo type="autoMax"/>
              <x14:negativeFillColor rgb="FFFF0000"/>
              <x14:axisColor rgb="FF000000"/>
            </x14:dataBar>
          </x14:cfRule>
          <xm:sqref>H14:H18</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I5:I8</xm:sqref>
        </x14:conditionalFormatting>
        <x14:conditionalFormatting xmlns:xm="http://schemas.microsoft.com/office/excel/2006/main">
          <x14:cfRule type="dataBar" id="{B2C6EEDC-5358-4682-A598-0CF216F95620}">
            <x14:dataBar minLength="0" maxLength="100" gradient="0">
              <x14:cfvo type="autoMin"/>
              <x14:cfvo type="autoMax"/>
              <x14:negativeFillColor rgb="FFFF0000"/>
              <x14:axisColor rgb="FF000000"/>
            </x14:dataBar>
          </x14:cfRule>
          <xm:sqref>I14:I18</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K5:K8</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K14:K17</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m:sqref>K14:O17</xm:sqref>
        </x14:conditionalFormatting>
        <x14:conditionalFormatting xmlns:xm="http://schemas.microsoft.com/office/excel/2006/main">
          <x14:cfRule type="dataBar" id="{589E11FE-E342-4D21-9EB3-CB0F15AE87A6}">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m:sqref>K14:O18</xm:sqref>
        </x14:conditionalFormatting>
        <x14:conditionalFormatting xmlns:xm="http://schemas.microsoft.com/office/excel/2006/main">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642E512-5328-4DB9-81F4-5A67EFFA2D7A}">
            <x14:dataBar minLength="0" maxLength="100" gradient="0">
              <x14:cfvo type="autoMin"/>
              <x14:cfvo type="autoMax"/>
              <x14:negativeFillColor rgb="FFFF0000"/>
              <x14:axisColor rgb="FF000000"/>
            </x14:dataBar>
          </x14:cfRule>
          <xm:sqref>K5:P6</xm:sqref>
        </x14:conditionalFormatting>
        <x14:conditionalFormatting xmlns:xm="http://schemas.microsoft.com/office/excel/2006/main">
          <x14:cfRule type="dataBar" id="{9095667E-69EE-4811-BEDE-AFA010708C3B}">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m:sqref>K14:P17</xm:sqref>
        </x14:conditionalFormatting>
        <x14:conditionalFormatting xmlns:xm="http://schemas.microsoft.com/office/excel/2006/main">
          <x14:cfRule type="dataBar" id="{EC7F1560-4E75-4756-AE37-09B82982D1AB}">
            <x14:dataBar minLength="0" maxLength="100" gradient="0">
              <x14:cfvo type="autoMin"/>
              <x14:cfvo type="autoMax"/>
              <x14:negativeFillColor rgb="FFFF0000"/>
              <x14:axisColor rgb="FF000000"/>
            </x14:dataBar>
          </x14:cfRule>
          <xm:sqref>K14:P18</xm:sqref>
        </x14:conditionalFormatting>
        <x14:conditionalFormatting xmlns:xm="http://schemas.microsoft.com/office/excel/2006/main">
          <x14:cfRule type="dataBar" id="{1C8C07B2-BD7C-4727-B188-3301C366D456}">
            <x14:dataBar minLength="0" maxLength="100" gradient="0">
              <x14:cfvo type="autoMin"/>
              <x14:cfvo type="autoMax"/>
              <x14:negativeFill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4EF9E9-FC69-4C57-8B92-4F6320D43BF6}">
            <x14:dataBar minLength="0" maxLength="100" gradient="0">
              <x14:cfvo type="autoMin"/>
              <x14:cfvo type="autoMax"/>
              <x14:negativeFillColor rgb="FFFF0000"/>
              <x14:axisColor rgb="FF000000"/>
            </x14:dataBar>
          </x14:cfRule>
          <xm:sqref>K18:P18</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L5:L8</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L14:L17</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M7</xm:sqref>
        </x14:conditionalFormatting>
        <x14:conditionalFormatting xmlns:xm="http://schemas.microsoft.com/office/excel/2006/main">
          <x14:cfRule type="dataBar" id="{F83FC37C-3483-40AA-A2E7-3D56CCAB2CB2}">
            <x14:dataBar minLength="0" maxLength="100" gradient="0">
              <x14:cfvo type="autoMin"/>
              <x14:cfvo type="autoMax"/>
              <x14:negativeFillColor rgb="FFFF0000"/>
              <x14:axisColor rgb="FF000000"/>
            </x14:dataBar>
          </x14:cfRule>
          <x14:cfRule type="dataBar" id="{A104673C-E668-4605-A7BE-3989ECFB8F39}">
            <x14:dataBar minLength="0" maxLength="100" gradient="0">
              <x14:cfvo type="autoMin"/>
              <x14:cfvo type="autoMax"/>
              <x14:negativeFillColor rgb="FFFF0000"/>
              <x14:axisColor rgb="FF000000"/>
            </x14:dataBar>
          </x14:cfRule>
          <x14:cfRule type="dataBar" id="{D233568B-3341-4FBC-9BCB-15A5C94F9B31}">
            <x14:dataBar minLength="0" maxLength="100" border="1" negativeBarBorderColorSameAsPositive="0">
              <x14:cfvo type="autoMin"/>
              <x14:cfvo type="autoMax"/>
              <x14:borderColor rgb="FF63C384"/>
              <x14:negativeFillColor rgb="FFFF0000"/>
              <x14:negativeBorderColor rgb="FFFF0000"/>
              <x14:axisColor rgb="FF000000"/>
            </x14:dataBar>
          </x14:cfRule>
          <xm:sqref>M8</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M15:M17</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M5:P6</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N7</xm:sqref>
        </x14:conditionalFormatting>
        <x14:conditionalFormatting xmlns:xm="http://schemas.microsoft.com/office/excel/2006/main">
          <x14:cfRule type="dataBar" id="{AED19645-4DCF-4391-A0C9-52DDB95FBE0D}">
            <x14:dataBar minLength="0" maxLength="100" gradient="0">
              <x14:cfvo type="autoMin"/>
              <x14:cfvo type="autoMax"/>
              <x14:negativeFillColor rgb="FFFF0000"/>
              <x14:axisColor rgb="FF000000"/>
            </x14:dataBar>
          </x14:cfRule>
          <x14:cfRule type="dataBar" id="{7C5C4AD5-909A-45C4-A25C-2EC6A26CFE0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675EF02-750E-45F8-A075-AB2A6EAF0108}">
            <x14:dataBar minLength="0" maxLength="100" gradient="0">
              <x14:cfvo type="autoMin"/>
              <x14:cfvo type="autoMax"/>
              <x14:negativeFillColor rgb="FFFF0000"/>
              <x14:axisColor rgb="FF000000"/>
            </x14:dataBar>
          </x14:cfRule>
          <xm:sqref>N8</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N14:N17</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O7</xm:sqref>
        </x14:conditionalFormatting>
        <x14:conditionalFormatting xmlns:xm="http://schemas.microsoft.com/office/excel/2006/main">
          <x14:cfRule type="dataBar" id="{0E71D6E4-1A1F-4BB0-84A7-98B9B6B286CE}">
            <x14:dataBar minLength="0" maxLength="100" gradient="0">
              <x14:cfvo type="autoMin"/>
              <x14:cfvo type="autoMax"/>
              <x14:negativeFillColor rgb="FFFF0000"/>
              <x14:axisColor rgb="FF000000"/>
            </x14:dataBar>
          </x14:cfRule>
          <x14:cfRule type="dataBar" id="{429C7F71-83C6-4083-A20C-3887112C6D66}">
            <x14:dataBar minLength="0" maxLength="100" gradient="0">
              <x14:cfvo type="autoMin"/>
              <x14:cfvo type="autoMax"/>
              <x14:negativeFillColor rgb="FFFF0000"/>
              <x14:axisColor rgb="FF000000"/>
            </x14:dataBar>
          </x14:cfRule>
          <x14:cfRule type="dataBar" id="{C95AD5E5-6662-4040-97FF-8CFD6638BBDD}">
            <x14:dataBar minLength="0" maxLength="100" border="1" negativeBarBorderColorSameAsPositive="0">
              <x14:cfvo type="autoMin"/>
              <x14:cfvo type="autoMax"/>
              <x14:borderColor rgb="FF63C384"/>
              <x14:negativeFillColor rgb="FFFF0000"/>
              <x14:negativeBorderColor rgb="FFFF0000"/>
              <x14:axisColor rgb="FF000000"/>
            </x14:dataBar>
          </x14:cfRule>
          <xm:sqref>O8</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O14:O17</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P7:P8</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P14:P17</xm:sqref>
        </x14:conditionalFormatting>
        <x14:conditionalFormatting xmlns:xm="http://schemas.microsoft.com/office/excel/2006/main">
          <x14:cfRule type="dataBar" id="{A1AE97AD-5647-4F9F-A100-6C15C1895B18}">
            <x14:dataBar minLength="0" maxLength="100" gradient="0">
              <x14:cfvo type="autoMin"/>
              <x14:cfvo type="autoMax"/>
              <x14:negativeFillColor rgb="FFFF0000"/>
              <x14:axisColor rgb="FF000000"/>
            </x14:dataBar>
          </x14:cfRule>
          <xm:sqref>P14:P18</xm:sqref>
        </x14:conditionalFormatting>
        <x14:conditionalFormatting xmlns:xm="http://schemas.microsoft.com/office/excel/2006/main">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657DE2C6-03A4-4EDE-99AD-798EB4DDA82C}">
            <x14:dataBar minLength="0" maxLength="100" gradient="0">
              <x14:cfvo type="autoMin"/>
              <x14:cfvo type="autoMax"/>
              <x14:negativeFillColor rgb="FFFF0000"/>
              <x14:axisColor rgb="FF000000"/>
            </x14:dataBar>
          </x14:cfRule>
          <x14:cfRule type="dataBar" id="{44059659-321E-4F16-A91E-71EB67462F51}">
            <x14:dataBar minLength="0" maxLength="100" gradient="0">
              <x14:cfvo type="autoMin"/>
              <x14:cfvo type="autoMax"/>
              <x14:negativeFillColor rgb="FFFF0000"/>
              <x14:axisColor rgb="FF000000"/>
            </x14:dataBar>
          </x14:cfRule>
          <xm:sqref>P18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211</v>
      </c>
    </row>
    <row r="2" spans="1:1">
      <c r="A2" t="s">
        <v>212</v>
      </c>
    </row>
    <row r="3" spans="1:1">
      <c r="A3" t="s">
        <v>213</v>
      </c>
    </row>
    <row r="4" spans="1:1">
      <c r="A4" t="s">
        <v>214</v>
      </c>
    </row>
    <row r="5" spans="1:1">
      <c r="A5" t="s">
        <v>215</v>
      </c>
    </row>
    <row r="6" spans="1:1">
      <c r="A6" s="11" t="s">
        <v>216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Y72"/>
  <sheetViews>
    <sheetView showGridLines="0" topLeftCell="A45" zoomScale="70" zoomScaleNormal="70" workbookViewId="0">
      <selection activeCell="D78" sqref="D78"/>
    </sheetView>
  </sheetViews>
  <sheetFormatPr defaultColWidth="11.42578125" defaultRowHeight="12.75"/>
  <cols>
    <col min="1" max="1" width="0.42578125" customWidth="1"/>
    <col min="2" max="2" width="31.7109375" bestFit="1" customWidth="1"/>
    <col min="3" max="4" width="32.140625" customWidth="1"/>
    <col min="5" max="5" width="33.42578125" customWidth="1"/>
    <col min="6" max="6" width="33.85546875" customWidth="1"/>
    <col min="7" max="7" width="32.140625" customWidth="1"/>
    <col min="8" max="8" width="46.140625" customWidth="1"/>
    <col min="9" max="9" width="15.42578125" customWidth="1"/>
  </cols>
  <sheetData>
    <row r="1" spans="2:13" ht="15">
      <c r="B1" s="245" t="s">
        <v>217</v>
      </c>
      <c r="C1" s="246" t="s">
        <v>218</v>
      </c>
      <c r="D1" s="965" t="s">
        <v>178</v>
      </c>
      <c r="E1" s="965"/>
      <c r="F1" s="965"/>
      <c r="G1" s="965"/>
      <c r="H1" s="965"/>
    </row>
    <row r="2" spans="2:13" ht="91.5" customHeight="1">
      <c r="B2" s="247"/>
      <c r="C2" s="493" t="e" vm="2">
        <f>D8</f>
        <v>#VALUE!</v>
      </c>
      <c r="D2" s="962" t="str" cm="1">
        <f t="array" aca="1" ref="D2" ca="1">_FV(D8,"description")</f>
        <v>AT&amp;T Inc. is a holding company. The Company is a provider of telecommunications and technology services globally. The Company operates through two segments: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IP Voice and managed professional services, as well as traditional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c>
      <c r="E2" s="963"/>
      <c r="F2" s="963"/>
      <c r="G2" s="963"/>
      <c r="H2" s="964"/>
    </row>
    <row r="3" spans="2:13" ht="83.25" customHeight="1">
      <c r="C3" s="494" t="e" vm="3">
        <f>E8</f>
        <v>#VALUE!</v>
      </c>
      <c r="D3" s="962" t="str" cm="1">
        <f t="array" aca="1" ref="D3" ca="1">_FV(E8,"description")</f>
        <v>Paramount Global is a media, streaming and entertainment company. The Company has three segments. TV Media segment consists of its broadcast operations: CBS Television Network, CBS Stations and its international free-to-air networks; domestic premium and basic cable networks, including Paramount+ with Showtime, MTV, Comedy Central, Paramount Network, The Smithsonian Channel, Nickelodeon, BET Media Group, CBS Sports Network and international extensions of certain of these brands, and domestic and international television studio operations. Direct-to-Consumer segment includes its portfolio of domestic and international pay and free streaming services, including Paramount+, Pluto TV, BET+ and Noggin. Filmed Entertainment segment consists of Paramount Pictures, Paramount Players, Paramount Animation, Nickelodeon Studio, Awesomeness and Miramax. Filmed Entertainment segment consists of Paramount Pictures, Paramount Players, Paramount Animation, Nickelodeon Studio, Awesomeness and Miramax.</v>
      </c>
      <c r="E3" s="963"/>
      <c r="F3" s="963"/>
      <c r="G3" s="963"/>
      <c r="H3" s="964"/>
    </row>
    <row r="4" spans="2:13" ht="117" customHeight="1">
      <c r="B4" s="247"/>
      <c r="C4" s="495" t="e" vm="4">
        <f>F8</f>
        <v>#VALUE!</v>
      </c>
      <c r="D4" s="962" t="str" cm="1">
        <f t="array" aca="1" ref="D4" ca="1">_FV(F8,"description")</f>
        <v>Lumen Technologies, Inc. is a facilities-based technology and communications company. The Company provides a range of integrated products and services to its domestic and global business customers and its domestic mass markets customers. It operates through two segments: Business segment and Mass Markets segment. Its Business segment provides its products and services under four sales channels to meet the needs of its enterprise and commercial customers. Its products and services in this segment include Dark Fiber, Edge Cloud Services, Internet Protocol (IP), Managed Security Services, Software-Defined Wide Area Networks (SD WAN), Secure Access Service Edge (SASE), Optical Services, Ethernet, VPN Data Networks, Voice Services, IT Solutions and Other Legacy Services. Its Mass Markets segment provides products and services to residential and small business customers. Its products and services in this segment include Fiber Broadband, Other Broadband and Voice and Other.</v>
      </c>
      <c r="E4" s="963"/>
      <c r="F4" s="963"/>
      <c r="G4" s="963"/>
      <c r="H4" s="964"/>
    </row>
    <row r="5" spans="2:13" ht="90" customHeight="1">
      <c r="B5" s="247"/>
      <c r="C5" s="496" t="e" vm="5">
        <f>G8</f>
        <v>#VALUE!</v>
      </c>
      <c r="D5" s="962" t="str" cm="1">
        <f t="array" aca="1" ref="D5" ca="1">_FV(G8,"description")</f>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c>
      <c r="E5" s="963"/>
      <c r="F5" s="963"/>
      <c r="G5" s="963"/>
      <c r="H5" s="964"/>
    </row>
    <row r="6" spans="2:13" ht="87" customHeight="1">
      <c r="C6" s="497" t="e" vm="6">
        <f>H8</f>
        <v>#VALUE!</v>
      </c>
      <c r="D6" s="962" t="str" cm="1">
        <f t="array" aca="1" ref="D6" ca="1">_FV(H8,"Description")</f>
        <v>T-Mobile US, Inc. is a provider of mobile communications services, including voice, messaging and data, under its flagship brands, T-Mobile and Metro by T-Mobile in the United States, Puerto Rico and the United States Virgin Islands. The Company provides mobile communications services primarily using its 4G Long Term Evolution (LTE) network and its 5G technology network. It also offers a selection of wireless devices, including handsets, tablets and other mobile communication devices, and accessories for sale, as well as financing through equipment installment plans (EIP). The Company’s primary service plan offering is Go5G Plus, which includes unlimited talk, text and data on its network, 5G access at no extra cost, scam protection features and more. In addition to its mobile wireless communications services, the Company also offers high speed Internet, which includes a fixed wireless product that utilizes the excess capacity of its nationwide 5G network.</v>
      </c>
      <c r="E6" s="963"/>
      <c r="F6" s="963"/>
      <c r="G6" s="963"/>
      <c r="H6" s="964"/>
      <c r="K6" s="2"/>
    </row>
    <row r="7" spans="2:13" ht="13.5" thickBot="1">
      <c r="B7" s="11"/>
    </row>
    <row r="8" spans="2:13" ht="47.25">
      <c r="B8" s="244" t="s">
        <v>219</v>
      </c>
      <c r="C8" s="487" t="e" vm="1">
        <f>OP!E2</f>
        <v>#VALUE!</v>
      </c>
      <c r="D8" s="488" t="e" vm="2">
        <v>#VALUE!</v>
      </c>
      <c r="E8" s="489" t="e" vm="3">
        <v>#VALUE!</v>
      </c>
      <c r="F8" s="490" t="e" vm="4">
        <v>#VALUE!</v>
      </c>
      <c r="G8" s="491" t="e" vm="5">
        <v>#VALUE!</v>
      </c>
      <c r="H8" s="492" t="e" vm="6">
        <v>#VALUE!</v>
      </c>
      <c r="I8" s="223" t="s">
        <v>220</v>
      </c>
    </row>
    <row r="9" spans="2:13" ht="16.5" customHeight="1" thickBot="1">
      <c r="B9" s="221" t="s">
        <v>221</v>
      </c>
      <c r="C9" s="206"/>
      <c r="D9" s="207"/>
      <c r="E9" s="207"/>
      <c r="F9" s="207"/>
      <c r="G9" s="207"/>
      <c r="H9" s="208"/>
      <c r="I9" s="209" t="str">
        <f>IFERROR(AVERAGE(C9:H9),"")</f>
        <v/>
      </c>
    </row>
    <row r="10" spans="2:13" ht="13.5" customHeight="1" thickBot="1">
      <c r="B10" s="218" t="s">
        <v>222</v>
      </c>
      <c r="C10" s="204" cm="1">
        <f t="array" aca="1" ref="C10" ca="1">_FV(C8,"Market cap",TRUE)</f>
        <v>155326000000</v>
      </c>
      <c r="D10" s="204" cm="1">
        <f t="array" aca="1" ref="D10" ca="1">_FV(D8,"Market cap",TRUE)</f>
        <v>154447000000</v>
      </c>
      <c r="E10" s="204" cm="1">
        <f t="array" aca="1" ref="E10" ca="1">_FV(E8,"Market cap",TRUE)</f>
        <v>7396970000</v>
      </c>
      <c r="F10" s="204" cm="1">
        <f t="array" aca="1" ref="F10" ca="1">_FV(F8,"Market cap",TRUE)</f>
        <v>7015989000</v>
      </c>
      <c r="G10" s="204" cm="1">
        <f t="array" aca="1" ref="G10" ca="1">_FV(G8,"Market cap",TRUE)</f>
        <v>185408308400</v>
      </c>
      <c r="H10" s="204" cm="1">
        <f t="array" aca="1" ref="H10" ca="1">_FV(H8,"Market cap",TRUE)</f>
        <v>235071972480</v>
      </c>
      <c r="I10" s="234">
        <f ca="1">IFERROR(AVERAGE(C10:H10),"")</f>
        <v>124111039980</v>
      </c>
      <c r="K10" s="960"/>
      <c r="L10" s="902"/>
      <c r="M10" s="902"/>
    </row>
    <row r="11" spans="2:13" ht="13.5" thickBot="1">
      <c r="B11" s="220" t="s">
        <v>223</v>
      </c>
      <c r="C11" s="217">
        <f t="shared" ref="C11:D11" si="0">C53</f>
        <v>121427</v>
      </c>
      <c r="D11" s="217">
        <f t="shared" si="0"/>
        <v>120741</v>
      </c>
      <c r="E11" s="217">
        <f>E53</f>
        <v>30154</v>
      </c>
      <c r="F11" s="217">
        <f t="shared" ref="F11:H11" si="1">F53</f>
        <v>17478</v>
      </c>
      <c r="G11" s="217">
        <f t="shared" si="1"/>
        <v>136835</v>
      </c>
      <c r="H11" s="217">
        <f t="shared" si="1"/>
        <v>79571</v>
      </c>
      <c r="I11" s="235">
        <f t="shared" ref="I11:I40" si="2">IFERROR(AVERAGE(C11:H11),"")</f>
        <v>84367.666666666672</v>
      </c>
      <c r="K11" s="960"/>
      <c r="L11" s="902"/>
      <c r="M11" s="902"/>
    </row>
    <row r="12" spans="2:13" ht="16.5" customHeight="1" thickBot="1">
      <c r="B12" s="221" t="s">
        <v>224</v>
      </c>
      <c r="C12" s="233"/>
      <c r="D12" s="233"/>
      <c r="E12" s="233"/>
      <c r="F12" s="233"/>
      <c r="G12" s="233"/>
      <c r="H12" s="233"/>
      <c r="I12" s="236" t="str">
        <f t="shared" si="2"/>
        <v/>
      </c>
      <c r="K12" s="959"/>
      <c r="L12" s="961"/>
      <c r="M12" s="961"/>
    </row>
    <row r="13" spans="2:13" ht="13.5" thickBot="1">
      <c r="B13" s="218" t="s">
        <v>225</v>
      </c>
      <c r="C13" s="229">
        <f>C53/C52-1</f>
        <v>4.3321733900416826E-2</v>
      </c>
      <c r="D13" s="229">
        <f>D53/D52-1</f>
        <v>-9.9203211029707972E-2</v>
      </c>
      <c r="E13" s="229">
        <f>E53/E52-1</f>
        <v>5.4852025467011734E-2</v>
      </c>
      <c r="F13" s="229">
        <f t="shared" ref="F13:H13" si="3">F53/F52-1</f>
        <v>-0.11220602427998172</v>
      </c>
      <c r="G13" s="229">
        <f t="shared" si="3"/>
        <v>2.4114420004041515E-2</v>
      </c>
      <c r="H13" s="229">
        <f t="shared" si="3"/>
        <v>-6.8274295414263442E-3</v>
      </c>
      <c r="I13" s="237">
        <f t="shared" si="2"/>
        <v>-1.599141424660766E-2</v>
      </c>
      <c r="K13" s="959"/>
      <c r="L13" s="961"/>
      <c r="M13" s="961"/>
    </row>
    <row r="14" spans="2:13" ht="13.5" thickBot="1">
      <c r="B14" s="219" t="s">
        <v>226</v>
      </c>
      <c r="C14" s="230">
        <f>C53/C51-1</f>
        <v>0.11460226542563934</v>
      </c>
      <c r="D14" s="230">
        <f>D53/D51-1</f>
        <v>-0.33363319775046496</v>
      </c>
      <c r="E14" s="230">
        <f>E53/E51-1</f>
        <v>0.11689754796651597</v>
      </c>
      <c r="F14" s="230">
        <f t="shared" ref="F14:H14" si="4">F53/F51-1</f>
        <v>-0.21976697468862993</v>
      </c>
      <c r="G14" s="230">
        <f t="shared" si="4"/>
        <v>3.7666454333121102E-2</v>
      </c>
      <c r="H14" s="230">
        <f t="shared" si="4"/>
        <v>0.7683230365794036</v>
      </c>
      <c r="I14" s="238">
        <f t="shared" si="2"/>
        <v>8.0681521977597523E-2</v>
      </c>
      <c r="L14" s="669"/>
      <c r="M14" s="669"/>
    </row>
    <row r="15" spans="2:13" ht="13.5" thickBot="1">
      <c r="B15" s="219" t="s">
        <v>128</v>
      </c>
      <c r="C15" s="230">
        <f>C56/C53</f>
        <v>0.11563326113632058</v>
      </c>
      <c r="D15" s="230">
        <f>D56/D53</f>
        <v>0.18975327353591573</v>
      </c>
      <c r="E15" s="230">
        <f>E56/E53</f>
        <v>7.3688399548981889E-2</v>
      </c>
      <c r="F15" s="230">
        <f t="shared" ref="F15:H15" si="5">F56/F53</f>
        <v>0.18840828470076668</v>
      </c>
      <c r="G15" s="230">
        <f t="shared" si="5"/>
        <v>0.22265502247232069</v>
      </c>
      <c r="H15" s="230">
        <f t="shared" si="5"/>
        <v>0.10188385215719295</v>
      </c>
      <c r="I15" s="238">
        <f>IFERROR(AVERAGE(C15:H15),"")</f>
        <v>0.14867034892524975</v>
      </c>
      <c r="L15" s="669"/>
      <c r="M15" s="669"/>
    </row>
    <row r="16" spans="2:13" ht="13.5" thickBot="1">
      <c r="B16" s="219" t="s">
        <v>227</v>
      </c>
      <c r="C16" s="230">
        <f>C59/C53</f>
        <v>4.0559348415097139E-2</v>
      </c>
      <c r="D16" s="230">
        <f>D59/D53</f>
        <v>-5.8430856130063526E-2</v>
      </c>
      <c r="E16" s="230">
        <f>E59/E53</f>
        <v>3.661205810174438E-2</v>
      </c>
      <c r="F16" s="230">
        <f t="shared" ref="F16:H16" si="6">F59/F53</f>
        <v>-8.8568486096807411E-2</v>
      </c>
      <c r="G16" s="230">
        <f t="shared" si="6"/>
        <v>0.15534037344246721</v>
      </c>
      <c r="H16" s="230">
        <f t="shared" si="6"/>
        <v>3.2549546945495215E-2</v>
      </c>
      <c r="I16" s="238">
        <f t="shared" si="2"/>
        <v>1.9676997446322165E-2</v>
      </c>
    </row>
    <row r="17" spans="1:25" ht="13.5" thickBot="1">
      <c r="B17" s="219" t="s">
        <v>228</v>
      </c>
      <c r="C17" s="230">
        <f>C59/C70</f>
        <v>6.1679691413686004E-2</v>
      </c>
      <c r="D17" s="230">
        <f t="shared" ref="D17:H17" si="7">D59/D70</f>
        <v>-6.6270888715631665E-2</v>
      </c>
      <c r="E17" s="230">
        <f t="shared" si="7"/>
        <v>4.7697226302600884E-2</v>
      </c>
      <c r="F17" s="230">
        <f t="shared" si="7"/>
        <v>-0.14831848232250647</v>
      </c>
      <c r="G17" s="230">
        <f t="shared" si="7"/>
        <v>0.22988654921428031</v>
      </c>
      <c r="H17" s="230">
        <f t="shared" si="7"/>
        <v>3.7182726541862866E-2</v>
      </c>
      <c r="I17" s="238">
        <f t="shared" si="2"/>
        <v>2.6976137072381987E-2</v>
      </c>
    </row>
    <row r="18" spans="1:25" ht="13.5" thickBot="1">
      <c r="B18" s="220" t="s">
        <v>229</v>
      </c>
      <c r="C18" s="755">
        <f>(C59+C58)/(C69+C70)</f>
        <v>3.0616108616865908E-3</v>
      </c>
      <c r="D18" s="231">
        <f>(D59+D58)/(D69+D70)</f>
        <v>-1.2541357759941181E-2</v>
      </c>
      <c r="E18" s="231">
        <f t="shared" ref="E18:H18" si="8">(E59+E58)/(E69+E70)</f>
        <v>2.1541560227942621E-2</v>
      </c>
      <c r="F18" s="231">
        <f t="shared" si="8"/>
        <v>-4.618152300300564E-2</v>
      </c>
      <c r="G18" s="231">
        <f t="shared" si="8"/>
        <v>3.8803729456384321E-2</v>
      </c>
      <c r="H18" s="231">
        <f t="shared" si="8"/>
        <v>9.6243931522016872E-3</v>
      </c>
      <c r="I18" s="239">
        <f t="shared" si="2"/>
        <v>2.3847354892113999E-3</v>
      </c>
      <c r="S18" s="20"/>
      <c r="T18" s="20"/>
      <c r="U18" s="20"/>
      <c r="V18" s="20"/>
      <c r="W18" s="20"/>
      <c r="X18" s="20"/>
      <c r="Y18" s="20"/>
    </row>
    <row r="19" spans="1:25" ht="16.5" thickBot="1">
      <c r="B19" s="221" t="s">
        <v>230</v>
      </c>
      <c r="C19" s="233"/>
      <c r="D19" s="233"/>
      <c r="E19" s="233"/>
      <c r="F19" s="233"/>
      <c r="G19" s="233"/>
      <c r="H19" s="233"/>
      <c r="I19" s="240" t="str">
        <f t="shared" si="2"/>
        <v/>
      </c>
      <c r="S19" s="20"/>
      <c r="T19" s="20"/>
      <c r="U19" s="20"/>
      <c r="V19" s="20"/>
      <c r="W19" s="20"/>
      <c r="X19" s="20"/>
      <c r="Y19" s="20"/>
    </row>
    <row r="20" spans="1:25" ht="13.5" thickBot="1">
      <c r="B20" s="218" t="s">
        <v>73</v>
      </c>
      <c r="C20" s="482">
        <f>C69/C66</f>
        <v>0.40820911476047034</v>
      </c>
      <c r="D20" s="482">
        <f t="shared" ref="D20:H20" si="9">D69/D66</f>
        <v>0.38395891305265195</v>
      </c>
      <c r="E20" s="482">
        <f t="shared" si="9"/>
        <v>0.3008237288716113</v>
      </c>
      <c r="F20" s="482">
        <f t="shared" si="9"/>
        <v>0.77102301397512119</v>
      </c>
      <c r="G20" s="482">
        <f t="shared" si="9"/>
        <v>0.75647123893805313</v>
      </c>
      <c r="H20" s="482">
        <f t="shared" si="9"/>
        <v>0.67040475446914416</v>
      </c>
      <c r="I20" s="537">
        <f>IFERROR(AVERAGE(C20:H20),"")</f>
        <v>0.54848179401117536</v>
      </c>
      <c r="S20" s="20"/>
      <c r="T20" s="20"/>
      <c r="U20" s="20"/>
      <c r="V20" s="20"/>
      <c r="W20" s="20"/>
      <c r="X20" s="20"/>
      <c r="Y20" s="20"/>
    </row>
    <row r="21" spans="1:25" ht="13.5" thickBot="1">
      <c r="B21" s="219" t="s">
        <v>231</v>
      </c>
      <c r="C21" s="756">
        <f>(C69-C61)/C55</f>
        <v>3.4910350590119417</v>
      </c>
      <c r="D21" s="483">
        <f t="shared" ref="D21:H21" si="10">(D69-D61)/D55</f>
        <v>7.1774661278821013</v>
      </c>
      <c r="E21" s="483">
        <f>(E69-E61)/E56</f>
        <v>6.6071107110711074</v>
      </c>
      <c r="F21" s="483">
        <f t="shared" si="10"/>
        <v>9.4673184357541906</v>
      </c>
      <c r="G21" s="483">
        <f t="shared" si="10"/>
        <v>5.810424024661617</v>
      </c>
      <c r="H21" s="483">
        <f t="shared" si="10"/>
        <v>6.803977977282873</v>
      </c>
      <c r="I21" s="537">
        <f t="shared" si="2"/>
        <v>6.5595553892773042</v>
      </c>
      <c r="S21" s="20">
        <v>1000000</v>
      </c>
      <c r="T21" s="20">
        <v>1000000</v>
      </c>
      <c r="U21" s="20">
        <v>1000000</v>
      </c>
      <c r="V21" s="20">
        <v>1000000</v>
      </c>
      <c r="W21" s="20">
        <v>1000000</v>
      </c>
      <c r="X21" s="20">
        <v>1000000</v>
      </c>
      <c r="Y21" s="20"/>
    </row>
    <row r="22" spans="1:25" ht="13.5" thickBot="1">
      <c r="B22" s="220" t="s">
        <v>232</v>
      </c>
      <c r="C22" s="484">
        <f t="shared" ref="C22:H22" si="11">-C55/C57</f>
        <v>7.3724332648870634</v>
      </c>
      <c r="D22" s="484">
        <f t="shared" si="11"/>
        <v>-3.4438441388343155</v>
      </c>
      <c r="E22" s="484">
        <f>-E56/E57</f>
        <v>2.6998784933171325</v>
      </c>
      <c r="F22" s="484">
        <f t="shared" si="11"/>
        <v>2.6876876876876876</v>
      </c>
      <c r="G22" s="484">
        <f t="shared" si="11"/>
        <v>14.128353042976636</v>
      </c>
      <c r="H22" s="484">
        <f t="shared" si="11"/>
        <v>5.9931629013079668</v>
      </c>
      <c r="I22" s="538">
        <f t="shared" si="2"/>
        <v>4.9062785418903623</v>
      </c>
      <c r="S22" s="20">
        <v>1000000</v>
      </c>
      <c r="T22" s="20">
        <v>1000000</v>
      </c>
      <c r="U22" s="20">
        <v>1000000</v>
      </c>
      <c r="V22" s="20">
        <v>1000000</v>
      </c>
      <c r="W22" s="20">
        <v>1000000</v>
      </c>
      <c r="X22" s="20">
        <v>1000000</v>
      </c>
      <c r="Y22" s="20"/>
    </row>
    <row r="23" spans="1:25" ht="16.5" thickBot="1">
      <c r="B23" s="221" t="s">
        <v>233</v>
      </c>
      <c r="C23" s="233"/>
      <c r="D23" s="233"/>
      <c r="E23" s="233"/>
      <c r="F23" s="233"/>
      <c r="G23" s="233"/>
      <c r="H23" s="233"/>
      <c r="I23" s="539"/>
      <c r="S23" s="20">
        <v>1000000</v>
      </c>
      <c r="T23" s="20">
        <v>1000000</v>
      </c>
      <c r="U23" s="20">
        <v>1000000</v>
      </c>
      <c r="V23" s="20">
        <v>1000000</v>
      </c>
      <c r="W23" s="20">
        <v>1000000</v>
      </c>
      <c r="X23" s="20">
        <v>1000000</v>
      </c>
      <c r="Y23" s="20"/>
    </row>
    <row r="24" spans="1:25" ht="13.5" thickBot="1">
      <c r="B24" s="218" t="s">
        <v>234</v>
      </c>
      <c r="C24" s="482">
        <f>C64/C68</f>
        <v>0.78265858643812525</v>
      </c>
      <c r="D24" s="482">
        <f>D64/D68</f>
        <v>0.58939348085379095</v>
      </c>
      <c r="E24" s="482">
        <f t="shared" ref="E24:H24" si="12">E64/E68</f>
        <v>1.2272361719238674</v>
      </c>
      <c r="F24" s="482">
        <f t="shared" si="12"/>
        <v>1.128461378305226</v>
      </c>
      <c r="G24" s="482">
        <f>G64/G68</f>
        <v>0.75455940682864608</v>
      </c>
      <c r="H24" s="482">
        <f t="shared" si="12"/>
        <v>0.77063293185676174</v>
      </c>
      <c r="I24" s="540">
        <f t="shared" si="2"/>
        <v>0.8754903260344028</v>
      </c>
    </row>
    <row r="25" spans="1:25" ht="13.5" thickBot="1">
      <c r="B25" s="220" t="s">
        <v>235</v>
      </c>
      <c r="C25" s="483">
        <f>(C61+C62)/C68</f>
        <v>0.62466382185247604</v>
      </c>
      <c r="D25" s="483">
        <f t="shared" ref="D25:H25" si="13">(D61+D62)/D68</f>
        <v>0.27000516262261226</v>
      </c>
      <c r="E25" s="483">
        <f t="shared" si="13"/>
        <v>0.92011437762487713</v>
      </c>
      <c r="F25" s="483">
        <f t="shared" si="13"/>
        <v>0.56797834686654169</v>
      </c>
      <c r="G25" s="483">
        <f t="shared" si="13"/>
        <v>0.54037192800621869</v>
      </c>
      <c r="H25" s="483">
        <f t="shared" si="13"/>
        <v>0.36181391965079623</v>
      </c>
      <c r="I25" s="538">
        <f t="shared" si="2"/>
        <v>0.54749125943725374</v>
      </c>
    </row>
    <row r="26" spans="1:25" ht="16.5" thickBot="1">
      <c r="B26" s="221" t="s">
        <v>236</v>
      </c>
      <c r="C26" s="233"/>
      <c r="D26" s="233"/>
      <c r="E26" s="233"/>
      <c r="F26" s="233"/>
      <c r="G26" s="233"/>
      <c r="H26" s="233"/>
      <c r="I26" s="539" t="str">
        <f t="shared" si="2"/>
        <v/>
      </c>
    </row>
    <row r="27" spans="1:25" ht="13.5" thickBot="1">
      <c r="B27" s="218" t="s">
        <v>237</v>
      </c>
      <c r="C27" s="757" t="e">
        <f>C54/C63</f>
        <v>#DIV/0!</v>
      </c>
      <c r="D27" s="482">
        <f>D54/D63</f>
        <v>34.385206532180597</v>
      </c>
      <c r="E27" s="482">
        <f>E54/E63</f>
        <v>14.787630402384501</v>
      </c>
      <c r="F27" s="482">
        <f t="shared" ref="F27:H27" si="14">F54/F63</f>
        <v>46.381355932203391</v>
      </c>
      <c r="G27" s="482">
        <f t="shared" si="14"/>
        <v>37.382328308207704</v>
      </c>
      <c r="H27" s="482">
        <f t="shared" si="14"/>
        <v>19.217622080679405</v>
      </c>
      <c r="I27" s="540" t="str">
        <f t="shared" si="2"/>
        <v/>
      </c>
    </row>
    <row r="28" spans="1:25" ht="13.5" thickBot="1">
      <c r="B28" s="219" t="s">
        <v>238</v>
      </c>
      <c r="C28" s="483">
        <f>C53/C62</f>
        <v>9.5830636887380631</v>
      </c>
      <c r="D28" s="483">
        <f>D53/D62</f>
        <v>10.530350601779173</v>
      </c>
      <c r="E28" s="483">
        <f>E53/E62</f>
        <v>4.0682676740420938</v>
      </c>
      <c r="F28" s="483">
        <f t="shared" ref="F28:H28" si="15">F53/F62</f>
        <v>11.833446174678402</v>
      </c>
      <c r="G28" s="483">
        <f>G53/G62</f>
        <v>5.5837345956092381</v>
      </c>
      <c r="H28" s="483">
        <f t="shared" si="15"/>
        <v>17.901237345331833</v>
      </c>
      <c r="I28" s="537">
        <f t="shared" si="2"/>
        <v>9.9166833466964661</v>
      </c>
    </row>
    <row r="29" spans="1:25" ht="13.5" thickBot="1">
      <c r="A29" s="11" t="s">
        <v>239</v>
      </c>
      <c r="B29" s="219" t="s">
        <v>240</v>
      </c>
      <c r="C29" s="758">
        <f>C54/C67</f>
        <v>6.7747130102040813</v>
      </c>
      <c r="D29" s="483">
        <f t="shared" ref="D29:H29" si="16">D54/D67</f>
        <v>2.5181737172873091</v>
      </c>
      <c r="E29" s="483">
        <f t="shared" si="16"/>
        <v>14.144689950106914</v>
      </c>
      <c r="F29" s="483">
        <f t="shared" si="16"/>
        <v>11.522105263157895</v>
      </c>
      <c r="G29" s="483">
        <f t="shared" si="16"/>
        <v>10.202171428571429</v>
      </c>
      <c r="H29" s="483">
        <f t="shared" si="16"/>
        <v>5.0195480382642454</v>
      </c>
      <c r="I29" s="537">
        <f t="shared" si="2"/>
        <v>8.3635669012653135</v>
      </c>
    </row>
    <row r="30" spans="1:25" ht="13.5" thickBot="1">
      <c r="B30" s="219" t="s">
        <v>241</v>
      </c>
      <c r="C30" s="483">
        <f>C53/C65</f>
        <v>2.1884653509957648</v>
      </c>
      <c r="D30" s="483">
        <f>D53/D65</f>
        <v>0.94739691631684253</v>
      </c>
      <c r="E30" s="483">
        <f>E53/E65</f>
        <v>17.11350737797957</v>
      </c>
      <c r="F30" s="483">
        <f t="shared" ref="F30" si="17">F53/F65</f>
        <v>0.91192737138683089</v>
      </c>
      <c r="G30" s="483">
        <f>G53/G65</f>
        <v>1.2736656924251168</v>
      </c>
      <c r="H30" s="483">
        <f>H53/H65</f>
        <v>1075.2837837837837</v>
      </c>
      <c r="I30" s="537">
        <f t="shared" si="2"/>
        <v>182.95312441548131</v>
      </c>
    </row>
    <row r="31" spans="1:25" ht="13.5" thickBot="1">
      <c r="B31" s="220" t="s">
        <v>242</v>
      </c>
      <c r="C31" s="484">
        <f>C53/C66</f>
        <v>0.47197356913808181</v>
      </c>
      <c r="D31" s="484">
        <f>D53/D66</f>
        <v>0.29971478430097331</v>
      </c>
      <c r="E31" s="484">
        <f>E53/E66</f>
        <v>0.51639751340057882</v>
      </c>
      <c r="F31" s="484">
        <f t="shared" ref="F31:H31" si="18">F53/F66</f>
        <v>0.38344924420262827</v>
      </c>
      <c r="G31" s="484">
        <f t="shared" si="18"/>
        <v>0.360395596291614</v>
      </c>
      <c r="H31" s="484">
        <f t="shared" si="18"/>
        <v>0.376510613330305</v>
      </c>
      <c r="I31" s="537">
        <f t="shared" si="2"/>
        <v>0.40140688677736353</v>
      </c>
    </row>
    <row r="32" spans="1:25" ht="16.5" thickBot="1">
      <c r="B32" s="222" t="s">
        <v>114</v>
      </c>
      <c r="C32" s="233"/>
      <c r="D32" s="233"/>
      <c r="E32" s="233"/>
      <c r="F32" s="233"/>
      <c r="G32" s="233"/>
      <c r="H32" s="233"/>
      <c r="I32" s="241" t="str">
        <f t="shared" si="2"/>
        <v/>
      </c>
    </row>
    <row r="33" spans="2:9" ht="13.5" thickBot="1">
      <c r="B33" s="226" t="s">
        <v>243</v>
      </c>
      <c r="C33" s="760">
        <f ca="1">C10/C59/S21</f>
        <v>31.538274111675129</v>
      </c>
      <c r="D33" s="760">
        <f t="shared" ref="D33:F33" ca="1" si="19">D10/D59/T21</f>
        <v>-21.891849751948971</v>
      </c>
      <c r="E33" s="760">
        <f t="shared" ca="1" si="19"/>
        <v>6.7001539855072458</v>
      </c>
      <c r="F33" s="760">
        <f t="shared" ca="1" si="19"/>
        <v>-4.5322926356589148</v>
      </c>
      <c r="G33" s="760">
        <f ca="1">G10/G59/W21</f>
        <v>8.7226340045163724</v>
      </c>
      <c r="H33" s="760">
        <f t="shared" ref="H33" ca="1" si="20">H10/H59/X21</f>
        <v>90.761379335907336</v>
      </c>
      <c r="I33" s="540">
        <f t="shared" ca="1" si="2"/>
        <v>18.549716508333031</v>
      </c>
    </row>
    <row r="34" spans="2:9" ht="13.5" thickBot="1">
      <c r="B34" s="227" t="s">
        <v>239</v>
      </c>
      <c r="C34" s="485">
        <f ca="1">C10/C53/S22</f>
        <v>1.2791718481062697</v>
      </c>
      <c r="D34" s="485">
        <f t="shared" ref="D34:H34" ca="1" si="21">D10/D53/T22</f>
        <v>1.2791595232770971</v>
      </c>
      <c r="E34" s="485">
        <f t="shared" ca="1" si="21"/>
        <v>0.24530642700802546</v>
      </c>
      <c r="F34" s="485">
        <f t="shared" ca="1" si="21"/>
        <v>0.4014182972880192</v>
      </c>
      <c r="G34" s="485">
        <f t="shared" ca="1" si="21"/>
        <v>1.3549772236635365</v>
      </c>
      <c r="H34" s="485">
        <f t="shared" ca="1" si="21"/>
        <v>2.9542417775320153</v>
      </c>
      <c r="I34" s="537">
        <f t="shared" ca="1" si="2"/>
        <v>1.2523791828124937</v>
      </c>
    </row>
    <row r="35" spans="2:9" ht="13.5" thickBot="1">
      <c r="B35" s="227" t="s">
        <v>244</v>
      </c>
      <c r="C35" s="485">
        <f ca="1">C10/C70/S23</f>
        <v>1.9452710149283641</v>
      </c>
      <c r="D35" s="485">
        <f t="shared" ref="D35:H35" ca="1" si="22">D10/D70/T23</f>
        <v>1.4507923386907389</v>
      </c>
      <c r="E35" s="485">
        <f t="shared" ca="1" si="22"/>
        <v>0.31957876090901233</v>
      </c>
      <c r="F35" s="485">
        <f t="shared" ca="1" si="22"/>
        <v>0.67222276516240298</v>
      </c>
      <c r="G35" s="485">
        <f t="shared" ca="1" si="22"/>
        <v>2.0052162313574078</v>
      </c>
      <c r="H35" s="485">
        <f t="shared" ca="1" si="22"/>
        <v>3.3747555484093259</v>
      </c>
      <c r="I35" s="537">
        <f t="shared" ca="1" si="2"/>
        <v>1.6279727765762086</v>
      </c>
    </row>
    <row r="36" spans="2:9" ht="13.5" thickBot="1">
      <c r="B36" s="227" t="s">
        <v>245</v>
      </c>
      <c r="C36" s="485">
        <f ca="1">(C69+(C10/1000000)-C61)/C53</f>
        <v>2.1049601818376473</v>
      </c>
      <c r="D36" s="485">
        <f t="shared" ref="D36:H36" ca="1" si="23">(D69+(D10/1000000)-D61)/D53</f>
        <v>2.5295881266512619</v>
      </c>
      <c r="E36" s="485">
        <f t="shared" ca="1" si="23"/>
        <v>0.7321738409497911</v>
      </c>
      <c r="F36" s="485">
        <f t="shared" ca="1" si="23"/>
        <v>2.3405989815768393</v>
      </c>
      <c r="G36" s="485">
        <f t="shared" ca="1" si="23"/>
        <v>3.4349421449190629</v>
      </c>
      <c r="H36" s="485">
        <f t="shared" ca="1" si="23"/>
        <v>4.6781738633421721</v>
      </c>
      <c r="I36" s="537">
        <f t="shared" ca="1" si="2"/>
        <v>2.6367395232127957</v>
      </c>
    </row>
    <row r="37" spans="2:9" ht="13.5" thickBot="1">
      <c r="B37" s="225" t="s">
        <v>246</v>
      </c>
      <c r="C37" s="486">
        <f ca="1">(C69+(C10/1000000)-C61)/C55</f>
        <v>8.8987570936183538</v>
      </c>
      <c r="D37" s="486">
        <f t="shared" ref="D37:H37" ca="1" si="24">(D69+(D10/1000000)-D61)/D55</f>
        <v>14.519847872593298</v>
      </c>
      <c r="E37" s="486">
        <f t="shared" ca="1" si="24"/>
        <v>8.1921966604823755</v>
      </c>
      <c r="F37" s="486">
        <f t="shared" ca="1" si="24"/>
        <v>11.427091899441342</v>
      </c>
      <c r="G37" s="486">
        <f t="shared" ca="1" si="24"/>
        <v>9.5955802707061633</v>
      </c>
      <c r="H37" s="486">
        <f t="shared" ca="1" si="24"/>
        <v>18.463715712514261</v>
      </c>
      <c r="I37" s="538">
        <f t="shared" ca="1" si="2"/>
        <v>11.849531584892633</v>
      </c>
    </row>
    <row r="38" spans="2:9" ht="16.5" thickBot="1">
      <c r="B38" s="222" t="s">
        <v>247</v>
      </c>
      <c r="C38" s="233"/>
      <c r="D38" s="233"/>
      <c r="E38" s="233"/>
      <c r="F38" s="233"/>
      <c r="G38" s="233"/>
      <c r="H38" s="233"/>
      <c r="I38" s="242" t="str">
        <f t="shared" si="2"/>
        <v/>
      </c>
    </row>
    <row r="39" spans="2:9" ht="13.5" thickBot="1">
      <c r="B39" s="226" t="s">
        <v>47</v>
      </c>
      <c r="C39" s="679">
        <f>OP!M19</f>
        <v>0.99</v>
      </c>
      <c r="D39" s="680">
        <v>0.99099999999999999</v>
      </c>
      <c r="E39" s="680">
        <v>0.1734</v>
      </c>
      <c r="F39" s="680">
        <v>0.52690000000000003</v>
      </c>
      <c r="G39" s="680">
        <v>0.99490000000000001</v>
      </c>
      <c r="H39" s="680">
        <v>0.99639999999999995</v>
      </c>
      <c r="I39" s="237">
        <f t="shared" si="2"/>
        <v>0.7787666666666665</v>
      </c>
    </row>
    <row r="40" spans="2:9" ht="13.5" thickBot="1">
      <c r="B40" s="224" t="s">
        <v>248</v>
      </c>
      <c r="C40" s="232">
        <f>OP!M21</f>
        <v>1.05</v>
      </c>
      <c r="D40" s="294">
        <v>0.66</v>
      </c>
      <c r="E40" s="294">
        <v>0.99</v>
      </c>
      <c r="F40" s="294">
        <v>0.17</v>
      </c>
      <c r="G40" s="294">
        <v>0.55000000000000004</v>
      </c>
      <c r="H40" s="294">
        <v>0.79</v>
      </c>
      <c r="I40" s="248">
        <f t="shared" si="2"/>
        <v>0.70166666666666666</v>
      </c>
    </row>
    <row r="41" spans="2:9" ht="13.5" thickBot="1">
      <c r="B41" s="225" t="s">
        <v>249</v>
      </c>
      <c r="C41" s="759">
        <f ca="1">OP!M31</f>
        <v>3.0195414790801442E-2</v>
      </c>
      <c r="D41" s="666">
        <v>2.52E-2</v>
      </c>
      <c r="E41" s="666">
        <v>0</v>
      </c>
      <c r="F41" s="666">
        <v>2.6200000000000001E-2</v>
      </c>
      <c r="G41" s="666">
        <v>0</v>
      </c>
      <c r="H41" s="666">
        <v>1.9699999999999999E-2</v>
      </c>
      <c r="I41" s="238">
        <f ca="1">IFERROR(AVERAGE(C41:H41),"")</f>
        <v>1.6882569131800241E-2</v>
      </c>
    </row>
    <row r="42" spans="2:9" ht="16.5" thickBot="1">
      <c r="B42" s="222" t="s">
        <v>250</v>
      </c>
      <c r="C42" s="233"/>
      <c r="D42" s="233"/>
      <c r="E42" s="710"/>
      <c r="F42" s="233"/>
      <c r="G42" s="233"/>
      <c r="H42" s="233"/>
      <c r="I42" s="243"/>
    </row>
    <row r="43" spans="2:9" ht="13.5" thickBot="1">
      <c r="B43" s="226" t="s">
        <v>251</v>
      </c>
      <c r="C43" s="571">
        <f>(40.43-1)/C45</f>
        <v>0.87176652664160958</v>
      </c>
      <c r="D43" s="571">
        <f>(D45-1)/D45</f>
        <v>0.9307958477508651</v>
      </c>
      <c r="E43" s="571">
        <f>(16.06-1)/E45</f>
        <v>0.79013641133263379</v>
      </c>
      <c r="F43" s="747">
        <f>(3.4-1)/F45</f>
        <v>1.3636363636363635</v>
      </c>
      <c r="G43" s="373">
        <f>(34.03-1)/G45</f>
        <v>0.97061416397296507</v>
      </c>
      <c r="H43" s="571">
        <f>(137.22-1)/H45</f>
        <v>0.99242313856913889</v>
      </c>
      <c r="I43" s="237">
        <f>IFERROR(AVERAGE(C43:H43),"")</f>
        <v>0.9865620753172627</v>
      </c>
    </row>
    <row r="44" spans="2:9" ht="13.5" thickBot="1">
      <c r="B44" s="227" t="s">
        <v>252</v>
      </c>
      <c r="C44" s="670">
        <f>(37.17-1)/C45</f>
        <v>0.79969047092637635</v>
      </c>
      <c r="D44" s="670">
        <f>(20.41-1)/D45</f>
        <v>1.3432525951557095</v>
      </c>
      <c r="E44" s="744">
        <f>(35.28-1)/E45</f>
        <v>1.7985309548793287</v>
      </c>
      <c r="F44" s="742">
        <f>(12.07-1)/F45</f>
        <v>6.2897727272727275</v>
      </c>
      <c r="G44" s="670">
        <f>(56.99-1)/G45</f>
        <v>1.6453129591536879</v>
      </c>
      <c r="H44" s="670">
        <f>(83.9-1)/H45</f>
        <v>0.60396328136383515</v>
      </c>
      <c r="I44" s="237">
        <f t="shared" ref="I44:I47" si="25">IFERROR(AVERAGE(C44:H44),"")</f>
        <v>2.0800871647919443</v>
      </c>
    </row>
    <row r="45" spans="2:9" ht="13.5" thickBot="1">
      <c r="B45" s="227" t="s">
        <v>253</v>
      </c>
      <c r="C45" s="668">
        <v>45.23</v>
      </c>
      <c r="D45" s="741">
        <v>14.45</v>
      </c>
      <c r="E45" s="745">
        <v>19.059999999999999</v>
      </c>
      <c r="F45" s="746">
        <v>1.76</v>
      </c>
      <c r="G45" s="668">
        <v>34.03</v>
      </c>
      <c r="H45" s="739">
        <v>137.26</v>
      </c>
      <c r="I45" s="788">
        <f>IFERROR(AVERAGE(C45:H45),"")</f>
        <v>41.964999999999996</v>
      </c>
    </row>
    <row r="46" spans="2:9" ht="13.5" thickBot="1">
      <c r="B46" s="227" t="s">
        <v>254</v>
      </c>
      <c r="C46" s="677">
        <v>45.75</v>
      </c>
      <c r="D46" s="677">
        <v>17.54</v>
      </c>
      <c r="E46" s="743">
        <v>18.399999999999999</v>
      </c>
      <c r="F46" s="668">
        <v>2.89</v>
      </c>
      <c r="G46" s="677">
        <v>36.56</v>
      </c>
      <c r="H46" s="740">
        <v>179.05</v>
      </c>
      <c r="I46" s="788">
        <f t="shared" si="25"/>
        <v>50.031666666666666</v>
      </c>
    </row>
    <row r="47" spans="2:9" ht="13.5" thickBot="1">
      <c r="B47" s="228" t="s">
        <v>255</v>
      </c>
      <c r="C47" s="293">
        <f>C46/C45-1</f>
        <v>1.1496794163166069E-2</v>
      </c>
      <c r="D47" s="293">
        <f>D46/D45-1</f>
        <v>0.21384083044982694</v>
      </c>
      <c r="E47" s="293">
        <f t="shared" ref="E47:H47" si="26">E46/E45-1</f>
        <v>-3.46274921301154E-2</v>
      </c>
      <c r="F47" s="293">
        <f t="shared" si="26"/>
        <v>0.64204545454545459</v>
      </c>
      <c r="G47" s="293">
        <f t="shared" si="26"/>
        <v>7.4346165148398535E-2</v>
      </c>
      <c r="H47" s="293">
        <f t="shared" si="26"/>
        <v>0.3044586915343146</v>
      </c>
      <c r="I47" s="237">
        <f t="shared" si="25"/>
        <v>0.20192674061850754</v>
      </c>
    </row>
    <row r="48" spans="2:9" ht="13.5" thickBot="1"/>
    <row r="49" spans="2:9" ht="26.45" customHeight="1" thickBot="1">
      <c r="B49" s="682" t="s">
        <v>256</v>
      </c>
      <c r="C49" s="681" t="e" vm="1">
        <f>OP!E2</f>
        <v>#VALUE!</v>
      </c>
      <c r="D49" s="488" t="e" vm="2">
        <f>D8</f>
        <v>#VALUE!</v>
      </c>
      <c r="E49" s="489" t="e" vm="3">
        <f>E8</f>
        <v>#VALUE!</v>
      </c>
      <c r="F49" s="490" t="e" vm="4">
        <f>F8</f>
        <v>#VALUE!</v>
      </c>
      <c r="G49" s="491" t="e" vm="5">
        <f>G8</f>
        <v>#VALUE!</v>
      </c>
      <c r="H49" s="763" t="e" vm="6">
        <f>H8</f>
        <v>#VALUE!</v>
      </c>
    </row>
    <row r="50" spans="2:9" ht="13.5" thickBot="1">
      <c r="B50" s="212" t="s">
        <v>257</v>
      </c>
      <c r="C50" s="213"/>
      <c r="D50" s="726"/>
      <c r="E50" s="213"/>
      <c r="F50" s="213"/>
      <c r="G50" s="213"/>
      <c r="H50" s="214"/>
    </row>
    <row r="51" spans="2:9" ht="13.5" thickBot="1">
      <c r="B51" s="210" t="s">
        <v>258</v>
      </c>
      <c r="C51" s="249">
        <f>'Fin. Data'!E5</f>
        <v>108942</v>
      </c>
      <c r="D51" s="205">
        <v>181193</v>
      </c>
      <c r="E51" s="205">
        <v>26998</v>
      </c>
      <c r="F51" s="205">
        <v>22401</v>
      </c>
      <c r="G51" s="205">
        <v>131868</v>
      </c>
      <c r="H51" s="764">
        <v>44998</v>
      </c>
    </row>
    <row r="52" spans="2:9" ht="13.5" thickBot="1">
      <c r="B52" s="210" t="s">
        <v>259</v>
      </c>
      <c r="C52" s="249">
        <f>'Fin. Data'!C5</f>
        <v>116385</v>
      </c>
      <c r="D52" s="205">
        <v>134038</v>
      </c>
      <c r="E52" s="205">
        <v>28586</v>
      </c>
      <c r="F52" s="205">
        <v>19687</v>
      </c>
      <c r="G52" s="205">
        <v>133613</v>
      </c>
      <c r="H52" s="764">
        <v>80118</v>
      </c>
    </row>
    <row r="53" spans="2:9" ht="13.5" thickBot="1">
      <c r="B53" s="210" t="s">
        <v>223</v>
      </c>
      <c r="C53" s="249">
        <f>'Fin. Data'!B5</f>
        <v>121427</v>
      </c>
      <c r="D53" s="205">
        <v>120741</v>
      </c>
      <c r="E53" s="205">
        <v>30154</v>
      </c>
      <c r="F53" s="205">
        <v>17478</v>
      </c>
      <c r="G53" s="205">
        <v>136835</v>
      </c>
      <c r="H53" s="764">
        <v>79571</v>
      </c>
    </row>
    <row r="54" spans="2:9" ht="13.5" thickBot="1">
      <c r="B54" s="210" t="s">
        <v>260</v>
      </c>
      <c r="C54" s="249">
        <f>'Fin. Data'!B5-'Fin. Data'!B7</f>
        <v>84982</v>
      </c>
      <c r="D54" s="205">
        <v>107385</v>
      </c>
      <c r="E54" s="205">
        <v>19845</v>
      </c>
      <c r="F54" s="205">
        <f>7868+3078</f>
        <v>10946</v>
      </c>
      <c r="G54" s="205">
        <f>28637+30496+30136</f>
        <v>89269</v>
      </c>
      <c r="H54" s="764">
        <v>36206</v>
      </c>
    </row>
    <row r="55" spans="2:9" ht="13.5" thickBot="1">
      <c r="B55" s="210" t="s">
        <v>55</v>
      </c>
      <c r="C55" s="249">
        <f>'Fin. Data'!B19</f>
        <v>28723</v>
      </c>
      <c r="D55" s="205">
        <v>21035</v>
      </c>
      <c r="E55" s="205">
        <v>2695</v>
      </c>
      <c r="F55" s="205">
        <v>3580</v>
      </c>
      <c r="G55" s="205">
        <v>48983</v>
      </c>
      <c r="H55" s="765">
        <v>20161</v>
      </c>
    </row>
    <row r="56" spans="2:9" ht="13.5" thickBot="1">
      <c r="B56" s="210" t="s">
        <v>261</v>
      </c>
      <c r="C56" s="678">
        <f>'Fin. Data'!B11</f>
        <v>14041</v>
      </c>
      <c r="D56" s="205">
        <v>22911</v>
      </c>
      <c r="E56" s="205">
        <v>2222</v>
      </c>
      <c r="F56" s="205">
        <v>3293</v>
      </c>
      <c r="G56" s="205">
        <v>30467</v>
      </c>
      <c r="H56" s="766">
        <v>8107</v>
      </c>
    </row>
    <row r="57" spans="2:9" ht="13.5" thickBot="1">
      <c r="B57" s="210" t="s">
        <v>262</v>
      </c>
      <c r="C57" s="678">
        <f>'Fin. Data'!B14</f>
        <v>-3896</v>
      </c>
      <c r="D57" s="205">
        <v>6108</v>
      </c>
      <c r="E57" s="205">
        <v>-823</v>
      </c>
      <c r="F57" s="205">
        <v>-1332</v>
      </c>
      <c r="G57" s="734">
        <v>-3467</v>
      </c>
      <c r="H57" s="767">
        <v>-3364</v>
      </c>
    </row>
    <row r="58" spans="2:9" ht="13.5" thickBot="1">
      <c r="B58" s="210" t="s">
        <v>263</v>
      </c>
      <c r="C58" s="678">
        <f>'Fin. Data'!B21</f>
        <v>-4359</v>
      </c>
      <c r="D58" s="205">
        <v>3780</v>
      </c>
      <c r="E58" s="205">
        <v>-227</v>
      </c>
      <c r="F58" s="205">
        <v>-557</v>
      </c>
      <c r="G58" s="736">
        <v>-6523</v>
      </c>
      <c r="H58" s="768">
        <v>-556</v>
      </c>
    </row>
    <row r="59" spans="2:9" ht="13.5" thickBot="1">
      <c r="B59" s="210" t="s">
        <v>69</v>
      </c>
      <c r="C59" s="678">
        <f>'Fin. Data'!B23</f>
        <v>4925</v>
      </c>
      <c r="D59" s="205">
        <v>-7055</v>
      </c>
      <c r="E59" s="205">
        <v>1104</v>
      </c>
      <c r="F59" s="205">
        <v>-1548</v>
      </c>
      <c r="G59" s="736">
        <v>21256</v>
      </c>
      <c r="H59" s="768">
        <v>2590</v>
      </c>
    </row>
    <row r="60" spans="2:9" ht="13.5" thickBot="1">
      <c r="B60" s="215" t="s">
        <v>264</v>
      </c>
      <c r="C60" s="216"/>
      <c r="D60" s="724"/>
      <c r="E60" s="725"/>
      <c r="F60" s="725"/>
      <c r="G60" s="735"/>
      <c r="H60" s="769"/>
    </row>
    <row r="61" spans="2:9" ht="13.5" thickBot="1">
      <c r="B61" s="210" t="s">
        <v>265</v>
      </c>
      <c r="C61" s="249">
        <f>'Fin. Data'!B39</f>
        <v>4749</v>
      </c>
      <c r="D61" s="205">
        <v>3701</v>
      </c>
      <c r="E61" s="205">
        <v>2885</v>
      </c>
      <c r="F61" s="205">
        <v>1251</v>
      </c>
      <c r="G61" s="205">
        <v>2605</v>
      </c>
      <c r="H61" s="770">
        <v>4507</v>
      </c>
    </row>
    <row r="62" spans="2:9" ht="13.5" thickBot="1">
      <c r="B62" s="210" t="s">
        <v>266</v>
      </c>
      <c r="C62" s="249">
        <f>'Fin. Data'!B40</f>
        <v>12671</v>
      </c>
      <c r="D62" s="205">
        <v>11466</v>
      </c>
      <c r="E62" s="205">
        <v>7412</v>
      </c>
      <c r="F62" s="205">
        <v>1477</v>
      </c>
      <c r="G62" s="205">
        <v>24506</v>
      </c>
      <c r="H62" s="768">
        <v>4445</v>
      </c>
      <c r="I62" s="761"/>
    </row>
    <row r="63" spans="2:9" ht="13.5" thickBot="1">
      <c r="B63" s="210" t="s">
        <v>267</v>
      </c>
      <c r="C63" s="249">
        <f>'Fin. Data'!B41</f>
        <v>0</v>
      </c>
      <c r="D63" s="205">
        <v>3123</v>
      </c>
      <c r="E63" s="205">
        <v>1342</v>
      </c>
      <c r="F63" s="205">
        <v>236</v>
      </c>
      <c r="G63" s="737">
        <v>2388</v>
      </c>
      <c r="H63" s="768">
        <v>1884</v>
      </c>
    </row>
    <row r="64" spans="2:9" ht="13.5" thickBot="1">
      <c r="B64" s="210" t="s">
        <v>268</v>
      </c>
      <c r="C64" s="249">
        <f>Inputs!B27</f>
        <v>21826</v>
      </c>
      <c r="D64" s="205">
        <v>33108</v>
      </c>
      <c r="E64" s="205">
        <v>13734</v>
      </c>
      <c r="F64" s="205">
        <v>5420</v>
      </c>
      <c r="G64" s="738">
        <v>37857</v>
      </c>
      <c r="H64" s="768">
        <v>19067</v>
      </c>
    </row>
    <row r="65" spans="2:8" ht="13.5" thickBot="1">
      <c r="B65" s="210" t="s">
        <v>269</v>
      </c>
      <c r="C65" s="249">
        <f>'Fin. Data'!B42</f>
        <v>55485</v>
      </c>
      <c r="D65" s="205">
        <v>127445</v>
      </c>
      <c r="E65" s="205">
        <v>1762</v>
      </c>
      <c r="F65" s="205">
        <v>19166</v>
      </c>
      <c r="G65" s="204">
        <v>107434</v>
      </c>
      <c r="H65" s="771">
        <v>74</v>
      </c>
    </row>
    <row r="66" spans="2:8" ht="13.5" thickBot="1">
      <c r="B66" s="210" t="s">
        <v>43</v>
      </c>
      <c r="C66" s="249">
        <f>'Fin. Data'!B44</f>
        <v>257275</v>
      </c>
      <c r="D66" s="205">
        <v>402853</v>
      </c>
      <c r="E66" s="205">
        <v>58393</v>
      </c>
      <c r="F66" s="205">
        <v>45581</v>
      </c>
      <c r="G66" s="205">
        <v>379680</v>
      </c>
      <c r="H66" s="766">
        <v>211338</v>
      </c>
    </row>
    <row r="67" spans="2:8" ht="13.5" thickBot="1">
      <c r="B67" s="210" t="s">
        <v>270</v>
      </c>
      <c r="C67" s="249">
        <f>Inputs!B43</f>
        <v>12544</v>
      </c>
      <c r="D67" s="205">
        <v>42644</v>
      </c>
      <c r="E67" s="205">
        <v>1403</v>
      </c>
      <c r="F67" s="205">
        <v>950</v>
      </c>
      <c r="G67" s="205">
        <v>8750</v>
      </c>
      <c r="H67" s="765">
        <v>7213</v>
      </c>
    </row>
    <row r="68" spans="2:8" ht="13.5" thickBot="1">
      <c r="B68" s="210" t="s">
        <v>271</v>
      </c>
      <c r="C68" s="249">
        <f>Inputs!B42</f>
        <v>27887</v>
      </c>
      <c r="D68" s="205">
        <v>56173</v>
      </c>
      <c r="E68" s="205">
        <v>11191</v>
      </c>
      <c r="F68" s="205">
        <v>4803</v>
      </c>
      <c r="G68" s="205">
        <v>50171</v>
      </c>
      <c r="H68" s="766">
        <v>24742</v>
      </c>
    </row>
    <row r="69" spans="2:8" ht="13.5" thickBot="1">
      <c r="B69" s="210" t="s">
        <v>272</v>
      </c>
      <c r="C69" s="249">
        <f>'Fin. Data'!B58</f>
        <v>105022</v>
      </c>
      <c r="D69" s="205">
        <v>154679</v>
      </c>
      <c r="E69" s="205">
        <v>17566</v>
      </c>
      <c r="F69" s="205">
        <f>+F66-F70</f>
        <v>35144</v>
      </c>
      <c r="G69" s="737">
        <f>+G66-G70</f>
        <v>287217</v>
      </c>
      <c r="H69" s="772">
        <f>+H66-H70</f>
        <v>141682</v>
      </c>
    </row>
    <row r="70" spans="2:8" ht="13.5" thickBot="1">
      <c r="B70" s="211" t="s">
        <v>273</v>
      </c>
      <c r="C70" s="250">
        <f>'Fin. Data'!B64</f>
        <v>79848</v>
      </c>
      <c r="D70" s="773">
        <v>106457</v>
      </c>
      <c r="E70" s="773">
        <v>23146</v>
      </c>
      <c r="F70" s="773">
        <v>10437</v>
      </c>
      <c r="G70" s="774">
        <v>92463</v>
      </c>
      <c r="H70" s="775">
        <v>69656</v>
      </c>
    </row>
    <row r="71" spans="2:8">
      <c r="F71" s="762"/>
    </row>
    <row r="72" spans="2:8">
      <c r="H72" s="748"/>
    </row>
  </sheetData>
  <mergeCells count="10">
    <mergeCell ref="D4:H4"/>
    <mergeCell ref="D1:H1"/>
    <mergeCell ref="D2:H2"/>
    <mergeCell ref="D3:H3"/>
    <mergeCell ref="D5:H5"/>
    <mergeCell ref="K12:K13"/>
    <mergeCell ref="K10:K11"/>
    <mergeCell ref="L10:M11"/>
    <mergeCell ref="L12:M13"/>
    <mergeCell ref="D6:H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zoomScale="70" zoomScaleNormal="70" workbookViewId="0"/>
  </sheetViews>
  <sheetFormatPr defaultColWidth="11.42578125" defaultRowHeight="12.75"/>
  <cols>
    <col min="1" max="1" width="1.140625" style="90" customWidth="1"/>
    <col min="2" max="2" width="59.42578125" style="90" customWidth="1"/>
    <col min="3" max="4" width="13" style="90" customWidth="1"/>
    <col min="5" max="5" width="11.42578125" style="90" bestFit="1" customWidth="1"/>
    <col min="6" max="6" width="11" style="90" customWidth="1"/>
    <col min="7" max="7" width="10.42578125" style="90" customWidth="1"/>
    <col min="8" max="8" width="20.42578125" style="661" customWidth="1"/>
    <col min="9" max="9" width="22.42578125" style="661" customWidth="1"/>
    <col min="10" max="10" width="64" style="90" customWidth="1"/>
    <col min="11" max="11" width="34.7109375" style="90" bestFit="1" customWidth="1"/>
    <col min="12" max="12" width="21.28515625" style="90" customWidth="1"/>
    <col min="13" max="13" width="19.85546875" style="90" customWidth="1"/>
    <col min="14" max="14" width="20.85546875" style="90" bestFit="1" customWidth="1"/>
    <col min="15" max="15" width="28.85546875" style="90" customWidth="1"/>
    <col min="16" max="16" width="28" style="90" customWidth="1"/>
    <col min="17" max="17" width="22.42578125" style="90" bestFit="1" customWidth="1"/>
    <col min="18" max="18" width="14.85546875" style="90" bestFit="1" customWidth="1"/>
    <col min="19" max="19" width="10.42578125" style="90" customWidth="1"/>
    <col min="20" max="20" width="12.28515625" style="90" bestFit="1" customWidth="1"/>
    <col min="21" max="21" width="15.42578125" style="90" customWidth="1"/>
    <col min="22" max="22" width="18" style="90" bestFit="1" customWidth="1"/>
    <col min="23" max="23" width="18.28515625" style="90" bestFit="1" customWidth="1"/>
    <col min="24" max="24" width="17.42578125" style="90" bestFit="1" customWidth="1"/>
    <col min="25" max="30" width="11.42578125" style="90"/>
    <col min="31" max="31" width="13" style="90" bestFit="1" customWidth="1"/>
    <col min="32" max="16384" width="11.42578125" style="90"/>
  </cols>
  <sheetData>
    <row r="1" spans="1:24">
      <c r="B1" s="266" t="s">
        <v>274</v>
      </c>
      <c r="C1" s="94"/>
      <c r="D1" s="94"/>
      <c r="E1" s="94"/>
      <c r="F1" s="94"/>
      <c r="G1" s="94"/>
      <c r="H1" s="655"/>
      <c r="I1" s="655"/>
      <c r="J1" s="94"/>
      <c r="T1" s="106" t="s">
        <v>275</v>
      </c>
    </row>
    <row r="2" spans="1:24">
      <c r="B2" s="102" t="s">
        <v>276</v>
      </c>
      <c r="C2" s="267" t="s">
        <v>277</v>
      </c>
      <c r="D2" s="94"/>
      <c r="E2" s="94"/>
      <c r="F2" s="94"/>
      <c r="G2" s="94"/>
      <c r="H2" s="655"/>
      <c r="I2" s="655" t="s">
        <v>278</v>
      </c>
      <c r="J2" s="94"/>
      <c r="T2" s="106" t="s">
        <v>279</v>
      </c>
    </row>
    <row r="3" spans="1:24" ht="21" thickBot="1">
      <c r="B3" s="967" t="s">
        <v>280</v>
      </c>
      <c r="C3" s="967"/>
      <c r="D3" s="967"/>
      <c r="E3" s="967"/>
      <c r="F3" s="967"/>
      <c r="G3" s="967"/>
      <c r="H3" s="967"/>
      <c r="I3" s="967"/>
      <c r="J3" s="967"/>
      <c r="K3" s="968" t="s">
        <v>281</v>
      </c>
      <c r="L3" s="968"/>
      <c r="M3" s="968"/>
      <c r="N3" s="968"/>
      <c r="O3" s="968"/>
      <c r="P3" s="968"/>
      <c r="Q3" s="968"/>
    </row>
    <row r="4" spans="1:24" ht="32.25" thickBot="1">
      <c r="B4" s="257" t="s">
        <v>282</v>
      </c>
      <c r="C4" s="289" t="s">
        <v>283</v>
      </c>
      <c r="D4" s="289" t="s">
        <v>284</v>
      </c>
      <c r="E4" s="289" t="s">
        <v>285</v>
      </c>
      <c r="F4" s="289" t="s">
        <v>286</v>
      </c>
      <c r="G4" s="289" t="s">
        <v>287</v>
      </c>
      <c r="H4" s="258" t="s">
        <v>288</v>
      </c>
      <c r="I4" s="258" t="s">
        <v>289</v>
      </c>
      <c r="J4" s="259" t="s">
        <v>290</v>
      </c>
      <c r="K4" s="257" t="s">
        <v>282</v>
      </c>
      <c r="L4" s="292" t="s">
        <v>291</v>
      </c>
      <c r="M4" s="292" t="s">
        <v>292</v>
      </c>
      <c r="N4" s="292" t="s">
        <v>293</v>
      </c>
      <c r="O4" s="292" t="s">
        <v>294</v>
      </c>
      <c r="P4" s="292" t="s">
        <v>295</v>
      </c>
      <c r="Q4" s="292" t="s">
        <v>296</v>
      </c>
    </row>
    <row r="5" spans="1:24" ht="15.75" thickBot="1">
      <c r="B5" s="268" t="s">
        <v>297</v>
      </c>
      <c r="C5" s="269"/>
      <c r="D5" s="270"/>
      <c r="E5" s="270"/>
      <c r="F5" s="270"/>
      <c r="G5" s="270"/>
      <c r="H5" s="656"/>
      <c r="I5" s="656"/>
      <c r="J5" s="271"/>
      <c r="K5" s="268" t="s">
        <v>298</v>
      </c>
      <c r="L5" s="270"/>
      <c r="M5" s="270"/>
      <c r="N5" s="270"/>
      <c r="O5" s="270"/>
      <c r="P5" s="271"/>
      <c r="Q5" s="271"/>
    </row>
    <row r="6" spans="1:24" ht="26.25" thickBot="1">
      <c r="A6" s="90">
        <v>1</v>
      </c>
      <c r="B6" s="262" t="s">
        <v>299</v>
      </c>
      <c r="C6" s="260" t="s">
        <v>300</v>
      </c>
      <c r="D6" s="260" t="s">
        <v>275</v>
      </c>
      <c r="E6" s="260" t="s">
        <v>301</v>
      </c>
      <c r="F6" s="272"/>
      <c r="G6" s="374"/>
      <c r="H6" s="261"/>
      <c r="I6" s="261"/>
      <c r="J6" s="261" t="s">
        <v>302</v>
      </c>
      <c r="K6" s="262" t="s">
        <v>303</v>
      </c>
      <c r="L6" s="749">
        <f>L12/L$11</f>
        <v>0.15500021480431328</v>
      </c>
      <c r="M6" s="629">
        <f t="shared" ref="M6:N6" si="0">M12/M$11</f>
        <v>0.15193878601590594</v>
      </c>
      <c r="N6" s="629">
        <f t="shared" si="0"/>
        <v>7.1383334499405302E-2</v>
      </c>
      <c r="O6" s="629">
        <f>O12/O$11</f>
        <v>9.0473408848478695E-2</v>
      </c>
      <c r="P6" s="629">
        <f>P12/P$11</f>
        <v>0.11426427069222306</v>
      </c>
      <c r="Q6" s="629">
        <f t="shared" ref="P6:Q9" si="1">Q12/Q$11</f>
        <v>9.1541114356324421E-2</v>
      </c>
    </row>
    <row r="7" spans="1:24" s="94" customFormat="1" ht="18.75" thickBot="1">
      <c r="A7" s="94">
        <v>2</v>
      </c>
      <c r="B7" s="262" t="s">
        <v>304</v>
      </c>
      <c r="C7" s="260" t="str">
        <f>VLOOKUP($B$2,'Sector Impact'!$K$4:$AA$16,A7+1,FALSE)</f>
        <v>Low</v>
      </c>
      <c r="D7" s="260"/>
      <c r="E7" s="260"/>
      <c r="F7" s="272"/>
      <c r="G7" s="377"/>
      <c r="H7" s="261"/>
      <c r="I7" s="261"/>
      <c r="J7" s="261"/>
      <c r="K7" s="262" t="s">
        <v>305</v>
      </c>
      <c r="L7" s="629">
        <f t="shared" ref="L7:O9" si="2">L13/L$11</f>
        <v>0</v>
      </c>
      <c r="M7" s="629">
        <f t="shared" si="2"/>
        <v>7.5724794461272182E-5</v>
      </c>
      <c r="N7" s="629">
        <f t="shared" si="2"/>
        <v>0</v>
      </c>
      <c r="O7" s="629">
        <f t="shared" si="2"/>
        <v>2.1893652562604764E-2</v>
      </c>
      <c r="P7" s="629">
        <f t="shared" si="1"/>
        <v>1.5118289388008651E-5</v>
      </c>
      <c r="Q7" s="629">
        <f>Q13/Q$11</f>
        <v>1.3162872263411469E-2</v>
      </c>
    </row>
    <row r="8" spans="1:24" ht="65.25" thickBot="1">
      <c r="A8" s="90">
        <v>3</v>
      </c>
      <c r="B8" s="262" t="s">
        <v>306</v>
      </c>
      <c r="C8" s="260" t="str">
        <f>VLOOKUP($B$2,'Sector Impact'!$K$4:$AA$16,A8+1,FALSE)</f>
        <v>Medium</v>
      </c>
      <c r="D8" s="260" t="s">
        <v>275</v>
      </c>
      <c r="E8" s="260" t="s">
        <v>301</v>
      </c>
      <c r="F8" s="272" t="s">
        <v>275</v>
      </c>
      <c r="G8" s="374"/>
      <c r="H8" s="261"/>
      <c r="I8" s="261"/>
      <c r="J8" s="783" t="s">
        <v>307</v>
      </c>
      <c r="K8" s="262" t="s">
        <v>308</v>
      </c>
      <c r="L8" s="629">
        <f>L14/L$11</f>
        <v>0.18862853460497486</v>
      </c>
      <c r="M8" s="629">
        <f t="shared" si="2"/>
        <v>0.12682970500902729</v>
      </c>
      <c r="N8" s="629">
        <f t="shared" si="2"/>
        <v>0.22978206114881411</v>
      </c>
      <c r="O8" s="629">
        <f t="shared" si="2"/>
        <v>0.26529826789251787</v>
      </c>
      <c r="P8" s="629">
        <f t="shared" si="1"/>
        <v>4.9161009781982297E-2</v>
      </c>
      <c r="Q8" s="629">
        <f t="shared" si="1"/>
        <v>0.10020714446191867</v>
      </c>
    </row>
    <row r="9" spans="1:24" ht="18.75" thickBot="1">
      <c r="A9" s="90">
        <v>4</v>
      </c>
      <c r="B9" s="262" t="s">
        <v>309</v>
      </c>
      <c r="C9" s="260" t="str">
        <f>VLOOKUP($B$2,'Sector Impact'!$K$4:$AA$16,A9+1,FALSE)</f>
        <v>Low</v>
      </c>
      <c r="D9" s="260"/>
      <c r="E9" s="260"/>
      <c r="F9" s="272"/>
      <c r="G9" s="374"/>
      <c r="H9" s="261"/>
      <c r="I9" s="261"/>
      <c r="J9" s="263"/>
      <c r="K9" s="262" t="s">
        <v>310</v>
      </c>
      <c r="L9" s="629">
        <f t="shared" si="2"/>
        <v>0</v>
      </c>
      <c r="M9" s="629">
        <f t="shared" si="2"/>
        <v>1.4191721750548352E-3</v>
      </c>
      <c r="N9" s="629">
        <f t="shared" si="2"/>
        <v>0</v>
      </c>
      <c r="O9" s="629">
        <f t="shared" si="2"/>
        <v>1.989028292782039E-3</v>
      </c>
      <c r="P9" s="629">
        <f t="shared" si="1"/>
        <v>3.2481869279186906E-4</v>
      </c>
      <c r="Q9" s="629">
        <f t="shared" si="1"/>
        <v>1.4478644000099852E-4</v>
      </c>
    </row>
    <row r="10" spans="1:24" ht="15">
      <c r="A10" s="90">
        <v>5</v>
      </c>
      <c r="B10" s="262" t="s">
        <v>311</v>
      </c>
      <c r="C10" s="260" t="str">
        <f>VLOOKUP($B$2,'Sector Impact'!$K$4:$AA$16,A10+1,FALSE)</f>
        <v>Low</v>
      </c>
      <c r="D10" s="260"/>
      <c r="E10" s="260"/>
      <c r="F10" s="272"/>
      <c r="G10" s="374"/>
      <c r="H10" s="261"/>
      <c r="I10" s="261"/>
      <c r="J10" s="263"/>
      <c r="K10" s="268" t="s">
        <v>312</v>
      </c>
      <c r="L10" s="270"/>
      <c r="M10" s="270"/>
      <c r="N10" s="270"/>
      <c r="O10" s="270"/>
      <c r="P10" s="270"/>
      <c r="Q10" s="271"/>
      <c r="S10"/>
      <c r="V10" s="94"/>
      <c r="W10" s="94"/>
      <c r="X10" s="94"/>
    </row>
    <row r="11" spans="1:24" ht="15.75" thickBot="1">
      <c r="B11" s="268" t="s">
        <v>313</v>
      </c>
      <c r="C11" s="265"/>
      <c r="D11" s="265"/>
      <c r="E11" s="274"/>
      <c r="F11" s="274"/>
      <c r="G11" s="275"/>
      <c r="H11" s="657"/>
      <c r="I11" s="657"/>
      <c r="J11" s="276"/>
      <c r="K11" s="262" t="s">
        <v>314</v>
      </c>
      <c r="L11" s="630">
        <f>Peers!C52</f>
        <v>116385</v>
      </c>
      <c r="M11" s="630">
        <f>Peers!D52</f>
        <v>134038</v>
      </c>
      <c r="N11" s="630">
        <f>Peers!E52</f>
        <v>28586</v>
      </c>
      <c r="O11" s="630">
        <f>Peers!F52</f>
        <v>19687</v>
      </c>
      <c r="P11" s="630">
        <f>Peers!G52</f>
        <v>133613</v>
      </c>
      <c r="Q11" s="630">
        <f>Peers!H52</f>
        <v>80118</v>
      </c>
      <c r="S11"/>
    </row>
    <row r="12" spans="1:24" ht="13.5" thickBot="1">
      <c r="A12" s="90">
        <v>6</v>
      </c>
      <c r="B12" s="262" t="s">
        <v>315</v>
      </c>
      <c r="C12" s="260" t="str">
        <f>VLOOKUP($B$2,'Sector Impact'!$K$4:$AA$16,A12+1,FALSE)</f>
        <v>Medium</v>
      </c>
      <c r="D12" s="260" t="s">
        <v>279</v>
      </c>
      <c r="E12" s="260" t="s">
        <v>316</v>
      </c>
      <c r="F12" s="272" t="s">
        <v>279</v>
      </c>
      <c r="G12" s="379"/>
      <c r="H12" s="261"/>
      <c r="I12" s="261"/>
      <c r="J12" s="261"/>
      <c r="K12" s="262" t="s">
        <v>317</v>
      </c>
      <c r="L12" s="776">
        <v>18039.7</v>
      </c>
      <c r="M12" s="291">
        <v>20365.571</v>
      </c>
      <c r="N12" s="291">
        <v>2040.5640000000001</v>
      </c>
      <c r="O12" s="90">
        <v>1781.15</v>
      </c>
      <c r="P12" s="291">
        <v>15267.191999999999</v>
      </c>
      <c r="Q12" s="291">
        <v>7334.0910000000003</v>
      </c>
      <c r="S12"/>
    </row>
    <row r="13" spans="1:24" ht="13.5" thickBot="1">
      <c r="A13" s="90">
        <v>7</v>
      </c>
      <c r="B13" s="262" t="s">
        <v>318</v>
      </c>
      <c r="C13" s="260" t="str">
        <f>VLOOKUP($B$2,'Sector Impact'!$K$4:$AA$16,A13+1,FALSE)</f>
        <v>Medium</v>
      </c>
      <c r="D13" s="260" t="s">
        <v>279</v>
      </c>
      <c r="E13" s="260" t="s">
        <v>316</v>
      </c>
      <c r="F13" s="278" t="s">
        <v>279</v>
      </c>
      <c r="G13" s="380"/>
      <c r="H13" s="261"/>
      <c r="I13" s="261"/>
      <c r="J13" s="261"/>
      <c r="K13" s="262" t="s">
        <v>319</v>
      </c>
      <c r="L13" s="291">
        <v>0</v>
      </c>
      <c r="M13" s="291">
        <v>10.15</v>
      </c>
      <c r="N13" s="291">
        <v>0</v>
      </c>
      <c r="O13" s="291">
        <v>431.02033799999998</v>
      </c>
      <c r="P13" s="291">
        <v>2.02</v>
      </c>
      <c r="Q13" s="291">
        <v>1054.5830000000001</v>
      </c>
      <c r="S13"/>
    </row>
    <row r="14" spans="1:24">
      <c r="A14" s="90">
        <v>8</v>
      </c>
      <c r="B14" s="280" t="s">
        <v>320</v>
      </c>
      <c r="C14" s="260" t="str">
        <f>VLOOKUP($B$2,'Sector Impact'!$K$4:$AA$16,A14+1,FALSE)</f>
        <v>Low</v>
      </c>
      <c r="D14" s="260"/>
      <c r="E14" s="260"/>
      <c r="F14" s="272"/>
      <c r="G14" s="683"/>
      <c r="H14" s="261"/>
      <c r="I14" s="261"/>
      <c r="J14" s="279"/>
      <c r="K14" s="262" t="s">
        <v>321</v>
      </c>
      <c r="L14" s="291">
        <v>21953.531999999999</v>
      </c>
      <c r="M14" s="291">
        <v>17000</v>
      </c>
      <c r="N14" s="291">
        <v>6568.55</v>
      </c>
      <c r="O14" s="291">
        <v>5222.9269999999997</v>
      </c>
      <c r="P14" s="291">
        <v>6568.55</v>
      </c>
      <c r="Q14" s="291">
        <v>8028.3959999999997</v>
      </c>
      <c r="S14"/>
    </row>
    <row r="15" spans="1:24" ht="13.5" thickBot="1">
      <c r="A15" s="90">
        <v>9</v>
      </c>
      <c r="B15" s="280" t="s">
        <v>322</v>
      </c>
      <c r="C15" s="260" t="str">
        <f>VLOOKUP($B$2,'Sector Impact'!$K$4:$AA$16,A15+1,FALSE)</f>
        <v>Low</v>
      </c>
      <c r="D15" s="260"/>
      <c r="E15" s="260"/>
      <c r="F15" s="272" t="s">
        <v>275</v>
      </c>
      <c r="G15" s="273"/>
      <c r="H15" s="658"/>
      <c r="I15" s="658"/>
      <c r="J15" s="279"/>
      <c r="K15" s="262" t="s">
        <v>323</v>
      </c>
      <c r="L15" s="291">
        <v>0</v>
      </c>
      <c r="M15" s="291">
        <v>190.22300000000001</v>
      </c>
      <c r="N15" s="291">
        <v>0</v>
      </c>
      <c r="O15" s="291">
        <v>39.158000000000001</v>
      </c>
      <c r="P15" s="291">
        <v>43.4</v>
      </c>
      <c r="Q15" s="291">
        <v>11.6</v>
      </c>
      <c r="S15"/>
    </row>
    <row r="16" spans="1:24" ht="42" customHeight="1" thickBot="1">
      <c r="A16" s="90">
        <v>10</v>
      </c>
      <c r="B16" s="262" t="s">
        <v>324</v>
      </c>
      <c r="C16" s="260" t="str">
        <f>VLOOKUP($B$2,'Sector Impact'!$K$4:$AA$16,A16+1,FALSE)</f>
        <v>High</v>
      </c>
      <c r="D16" s="260" t="s">
        <v>275</v>
      </c>
      <c r="E16" s="260" t="s">
        <v>316</v>
      </c>
      <c r="F16" s="272" t="s">
        <v>275</v>
      </c>
      <c r="G16" s="684"/>
      <c r="H16" s="261"/>
      <c r="I16" s="659" t="s">
        <v>325</v>
      </c>
      <c r="J16" s="782" t="s">
        <v>326</v>
      </c>
      <c r="K16" s="268" t="s">
        <v>327</v>
      </c>
      <c r="L16" s="270"/>
      <c r="M16" s="270"/>
      <c r="N16" s="270"/>
      <c r="O16" s="270"/>
      <c r="P16" s="271"/>
      <c r="Q16" s="271"/>
      <c r="S16"/>
    </row>
    <row r="17" spans="1:19" ht="13.5" thickBot="1">
      <c r="A17" s="90">
        <v>11</v>
      </c>
      <c r="B17" s="262" t="s">
        <v>328</v>
      </c>
      <c r="C17" s="260" t="str">
        <f>VLOOKUP($B$2,'Sector Impact'!$K$4:$AA$16,A17+1,FALSE)</f>
        <v>Low</v>
      </c>
      <c r="D17" s="281"/>
      <c r="E17" s="281"/>
      <c r="F17" s="281"/>
      <c r="G17" s="374"/>
      <c r="H17" s="261"/>
      <c r="I17" s="659" t="s">
        <v>325</v>
      </c>
      <c r="J17" s="279"/>
      <c r="K17" s="262" t="s">
        <v>329</v>
      </c>
      <c r="L17" s="290" t="s">
        <v>330</v>
      </c>
      <c r="M17" s="290" t="s">
        <v>331</v>
      </c>
      <c r="N17" s="290" t="s">
        <v>332</v>
      </c>
      <c r="O17" s="290"/>
      <c r="P17" s="290" t="s">
        <v>333</v>
      </c>
      <c r="Q17" s="290" t="s">
        <v>334</v>
      </c>
      <c r="S17"/>
    </row>
    <row r="18" spans="1:19">
      <c r="A18" s="90">
        <v>12</v>
      </c>
      <c r="B18" s="262" t="s">
        <v>335</v>
      </c>
      <c r="C18" s="260" t="str">
        <f>VLOOKUP($B$2,'Sector Impact'!$K$4:$AA$16,A18+1,FALSE)</f>
        <v>Low</v>
      </c>
      <c r="D18" s="260"/>
      <c r="E18" s="260"/>
      <c r="F18" s="272"/>
      <c r="G18" s="273"/>
      <c r="H18" s="658"/>
      <c r="I18" s="658"/>
      <c r="J18" s="282"/>
      <c r="K18" s="262" t="s">
        <v>336</v>
      </c>
      <c r="L18" s="290" t="s">
        <v>337</v>
      </c>
      <c r="M18" s="290" t="s">
        <v>338</v>
      </c>
      <c r="N18" s="290" t="s">
        <v>339</v>
      </c>
      <c r="O18" s="290" t="s">
        <v>340</v>
      </c>
      <c r="P18" s="290" t="s">
        <v>341</v>
      </c>
      <c r="Q18" s="290" t="s">
        <v>342</v>
      </c>
    </row>
    <row r="19" spans="1:19">
      <c r="A19" s="90">
        <v>13</v>
      </c>
      <c r="B19" s="262" t="s">
        <v>343</v>
      </c>
      <c r="C19" s="260" t="str">
        <f>VLOOKUP($B$2,'Sector Impact'!$K$4:$AA$16,A19+1,FALSE)</f>
        <v>Low</v>
      </c>
      <c r="D19" s="260"/>
      <c r="E19" s="260"/>
      <c r="F19" s="272"/>
      <c r="G19" s="378"/>
      <c r="H19" s="261"/>
      <c r="I19" s="659" t="s">
        <v>325</v>
      </c>
      <c r="J19" s="279"/>
      <c r="K19" s="262" t="s">
        <v>344</v>
      </c>
      <c r="L19" s="291"/>
      <c r="M19" s="291"/>
      <c r="N19" s="291"/>
      <c r="O19" s="291"/>
      <c r="P19" s="291"/>
      <c r="Q19" s="291"/>
    </row>
    <row r="20" spans="1:19">
      <c r="A20" s="90">
        <v>14</v>
      </c>
      <c r="B20" s="262" t="s">
        <v>345</v>
      </c>
      <c r="C20" s="260" t="str">
        <f>VLOOKUP($B$2,'Sector Impact'!$K$4:$AA$16,A20+1,FALSE)</f>
        <v>Low</v>
      </c>
      <c r="D20" s="260"/>
      <c r="E20" s="260"/>
      <c r="F20" s="272"/>
      <c r="G20" s="273"/>
      <c r="H20" s="658"/>
      <c r="I20" s="658"/>
      <c r="J20" s="279"/>
      <c r="K20" s="262" t="s">
        <v>346</v>
      </c>
      <c r="L20" s="290" t="s">
        <v>347</v>
      </c>
      <c r="M20" s="290" t="s">
        <v>348</v>
      </c>
      <c r="N20" s="290" t="s">
        <v>347</v>
      </c>
      <c r="O20" s="290" t="s">
        <v>347</v>
      </c>
      <c r="P20" s="290" t="s">
        <v>347</v>
      </c>
      <c r="Q20" s="290" t="s">
        <v>62</v>
      </c>
    </row>
    <row r="21" spans="1:19" ht="13.5" thickBot="1">
      <c r="A21" s="90">
        <v>15</v>
      </c>
      <c r="B21" s="262" t="s">
        <v>349</v>
      </c>
      <c r="C21" s="260" t="str">
        <f>VLOOKUP($B$2,'Sector Impact'!$K$4:$AA$16,A21+1,FALSE)</f>
        <v>Low</v>
      </c>
      <c r="D21" s="260"/>
      <c r="E21" s="260"/>
      <c r="F21" s="272"/>
      <c r="G21" s="374"/>
      <c r="H21" s="261"/>
      <c r="I21" s="659" t="s">
        <v>325</v>
      </c>
      <c r="J21" s="279"/>
    </row>
    <row r="22" spans="1:19" ht="13.5" thickBot="1">
      <c r="A22" s="90">
        <v>16</v>
      </c>
      <c r="B22" s="262" t="s">
        <v>350</v>
      </c>
      <c r="C22" s="264" t="str">
        <f>VLOOKUP($B$2,'Sector Impact'!$K$4:$AA$16,A22+1,FALSE)</f>
        <v>Medium</v>
      </c>
      <c r="D22" s="260" t="s">
        <v>275</v>
      </c>
      <c r="E22" s="260" t="s">
        <v>301</v>
      </c>
      <c r="F22" s="272" t="s">
        <v>279</v>
      </c>
      <c r="G22" s="374"/>
      <c r="H22" s="272" t="s">
        <v>275</v>
      </c>
      <c r="I22" s="272" t="s">
        <v>325</v>
      </c>
      <c r="J22" s="263" t="s">
        <v>351</v>
      </c>
    </row>
    <row r="23" spans="1:19" ht="15.75" thickBot="1">
      <c r="B23" s="268" t="s">
        <v>352</v>
      </c>
      <c r="C23" s="283"/>
      <c r="D23" s="265"/>
      <c r="E23" s="274"/>
      <c r="F23" s="274"/>
      <c r="G23" s="275"/>
      <c r="H23" s="657"/>
      <c r="I23" s="657"/>
      <c r="J23" s="276"/>
      <c r="K23" s="317" t="s">
        <v>353</v>
      </c>
      <c r="L23" s="295"/>
      <c r="M23" s="296"/>
    </row>
    <row r="24" spans="1:19" ht="51.75" thickBot="1">
      <c r="A24" s="90">
        <v>17</v>
      </c>
      <c r="B24" s="262" t="s">
        <v>354</v>
      </c>
      <c r="C24" s="284"/>
      <c r="D24" s="285"/>
      <c r="E24" s="278" t="s">
        <v>301</v>
      </c>
      <c r="F24" s="278" t="s">
        <v>275</v>
      </c>
      <c r="G24" s="378"/>
      <c r="H24" s="261"/>
      <c r="I24" s="778" t="s">
        <v>355</v>
      </c>
      <c r="J24" s="286" t="s">
        <v>356</v>
      </c>
      <c r="K24" s="321" t="s">
        <v>357</v>
      </c>
      <c r="L24" s="91" t="s">
        <v>358</v>
      </c>
      <c r="M24" s="92" t="s">
        <v>359</v>
      </c>
    </row>
    <row r="25" spans="1:19" ht="25.5" customHeight="1" thickBot="1">
      <c r="A25" s="90">
        <v>18</v>
      </c>
      <c r="B25" s="262" t="s">
        <v>360</v>
      </c>
      <c r="C25" s="284"/>
      <c r="D25" s="285"/>
      <c r="E25" s="278" t="s">
        <v>316</v>
      </c>
      <c r="F25" s="278" t="s">
        <v>279</v>
      </c>
      <c r="G25" s="374"/>
      <c r="H25" s="261"/>
      <c r="I25" s="659" t="s">
        <v>325</v>
      </c>
      <c r="J25" s="279" t="s">
        <v>361</v>
      </c>
      <c r="K25" s="251" t="s">
        <v>362</v>
      </c>
      <c r="L25" s="252" t="s">
        <v>363</v>
      </c>
      <c r="M25" s="318" t="s">
        <v>364</v>
      </c>
    </row>
    <row r="26" spans="1:19" ht="44.25" customHeight="1" thickBot="1">
      <c r="A26" s="90">
        <v>19</v>
      </c>
      <c r="B26" s="262" t="s">
        <v>365</v>
      </c>
      <c r="C26" s="284"/>
      <c r="D26" s="285"/>
      <c r="E26" s="278" t="s">
        <v>316</v>
      </c>
      <c r="F26" s="278" t="s">
        <v>279</v>
      </c>
      <c r="G26" s="374"/>
      <c r="H26" s="261"/>
      <c r="I26" s="659" t="s">
        <v>325</v>
      </c>
      <c r="J26" s="286" t="s">
        <v>366</v>
      </c>
      <c r="K26" s="251" t="s">
        <v>301</v>
      </c>
      <c r="L26" s="252" t="s">
        <v>316</v>
      </c>
      <c r="M26" s="319"/>
      <c r="O26" s="777"/>
    </row>
    <row r="27" spans="1:19" ht="26.25" thickBot="1">
      <c r="A27" s="90">
        <v>20</v>
      </c>
      <c r="B27" s="262" t="s">
        <v>367</v>
      </c>
      <c r="C27" s="284"/>
      <c r="D27" s="285"/>
      <c r="E27" s="278" t="s">
        <v>316</v>
      </c>
      <c r="F27" s="278" t="s">
        <v>279</v>
      </c>
      <c r="G27" s="374"/>
      <c r="H27" s="261"/>
      <c r="I27" s="659" t="s">
        <v>325</v>
      </c>
      <c r="J27" s="286" t="s">
        <v>368</v>
      </c>
      <c r="K27" s="253" t="s">
        <v>369</v>
      </c>
      <c r="L27" s="254" t="s">
        <v>301</v>
      </c>
      <c r="M27" s="319"/>
      <c r="O27" s="376"/>
    </row>
    <row r="28" spans="1:19" ht="26.25" thickBot="1">
      <c r="A28" s="90">
        <v>21</v>
      </c>
      <c r="B28" s="262" t="s">
        <v>370</v>
      </c>
      <c r="C28" s="284"/>
      <c r="D28" s="285"/>
      <c r="E28" s="278" t="s">
        <v>301</v>
      </c>
      <c r="F28" s="278" t="s">
        <v>279</v>
      </c>
      <c r="G28" s="374"/>
      <c r="H28" s="261"/>
      <c r="I28" s="659" t="s">
        <v>325</v>
      </c>
      <c r="J28" s="279" t="s">
        <v>371</v>
      </c>
      <c r="K28" s="255" t="s">
        <v>372</v>
      </c>
      <c r="L28" s="256" t="s">
        <v>373</v>
      </c>
      <c r="M28" s="320"/>
      <c r="O28" s="663"/>
    </row>
    <row r="29" spans="1:19" ht="26.25" thickBot="1">
      <c r="A29" s="90">
        <v>22</v>
      </c>
      <c r="B29" s="262" t="s">
        <v>374</v>
      </c>
      <c r="C29" s="284"/>
      <c r="D29" s="285"/>
      <c r="E29" s="278" t="s">
        <v>316</v>
      </c>
      <c r="F29" s="278" t="s">
        <v>279</v>
      </c>
      <c r="G29" s="378"/>
      <c r="H29" s="261"/>
      <c r="I29" s="659" t="s">
        <v>325</v>
      </c>
      <c r="J29" s="279" t="s">
        <v>375</v>
      </c>
      <c r="O29" s="777"/>
    </row>
    <row r="30" spans="1:19" ht="26.1" customHeight="1" thickBot="1">
      <c r="A30" s="90">
        <v>23</v>
      </c>
      <c r="B30" s="262" t="s">
        <v>376</v>
      </c>
      <c r="C30" s="284"/>
      <c r="D30" s="285"/>
      <c r="E30" s="278" t="s">
        <v>316</v>
      </c>
      <c r="F30" s="278" t="s">
        <v>279</v>
      </c>
      <c r="G30" s="378"/>
      <c r="H30" s="261"/>
      <c r="I30" s="659" t="s">
        <v>325</v>
      </c>
      <c r="J30" s="286" t="s">
        <v>377</v>
      </c>
      <c r="L30" s="100"/>
      <c r="O30" s="376"/>
    </row>
    <row r="31" spans="1:19" ht="26.25" thickBot="1">
      <c r="A31" s="90">
        <v>24</v>
      </c>
      <c r="B31" s="287" t="s">
        <v>378</v>
      </c>
      <c r="C31" s="284"/>
      <c r="D31" s="285"/>
      <c r="E31" s="278" t="s">
        <v>301</v>
      </c>
      <c r="F31" s="278" t="s">
        <v>279</v>
      </c>
      <c r="G31" s="378"/>
      <c r="H31" s="261"/>
      <c r="I31" s="659" t="s">
        <v>325</v>
      </c>
      <c r="J31" s="277" t="s">
        <v>379</v>
      </c>
      <c r="L31" s="120"/>
    </row>
    <row r="32" spans="1:19" ht="13.5" thickBot="1">
      <c r="A32" s="90">
        <v>25</v>
      </c>
      <c r="B32" s="262" t="s">
        <v>380</v>
      </c>
      <c r="C32" s="284"/>
      <c r="D32" s="278" t="s">
        <v>275</v>
      </c>
      <c r="E32" s="278" t="s">
        <v>301</v>
      </c>
      <c r="F32" s="278" t="s">
        <v>279</v>
      </c>
      <c r="G32" s="374"/>
      <c r="H32" s="261"/>
      <c r="I32" s="659"/>
      <c r="J32" s="784" t="s">
        <v>381</v>
      </c>
      <c r="L32" s="101"/>
    </row>
    <row r="33" spans="1:27" ht="13.5" thickBot="1">
      <c r="A33" s="90">
        <v>26</v>
      </c>
      <c r="B33" s="262" t="s">
        <v>382</v>
      </c>
      <c r="C33" s="284"/>
      <c r="D33" s="278" t="s">
        <v>279</v>
      </c>
      <c r="E33" s="278" t="s">
        <v>301</v>
      </c>
      <c r="F33" s="278" t="s">
        <v>279</v>
      </c>
      <c r="G33" s="378"/>
      <c r="H33" s="261"/>
      <c r="I33" s="659" t="s">
        <v>325</v>
      </c>
      <c r="J33" s="279" t="s">
        <v>325</v>
      </c>
      <c r="N33" s="375"/>
    </row>
    <row r="34" spans="1:27" ht="26.25" thickBot="1">
      <c r="A34" s="90">
        <v>27</v>
      </c>
      <c r="B34" s="262" t="s">
        <v>383</v>
      </c>
      <c r="C34" s="284"/>
      <c r="D34" s="288" t="s">
        <v>275</v>
      </c>
      <c r="E34" s="278" t="s">
        <v>316</v>
      </c>
      <c r="F34" s="278" t="s">
        <v>279</v>
      </c>
      <c r="G34" s="378"/>
      <c r="H34" s="261"/>
      <c r="I34" s="659" t="s">
        <v>325</v>
      </c>
      <c r="J34" s="279" t="s">
        <v>384</v>
      </c>
      <c r="N34" s="376"/>
    </row>
    <row r="35" spans="1:27">
      <c r="B35" s="97"/>
      <c r="C35" s="97"/>
      <c r="D35" s="97"/>
      <c r="E35" s="97"/>
      <c r="F35" s="97"/>
      <c r="G35" s="97"/>
      <c r="H35" s="660"/>
      <c r="I35" s="660"/>
      <c r="J35" s="780"/>
      <c r="T35" s="98"/>
    </row>
    <row r="36" spans="1:27" ht="18">
      <c r="B36" s="99"/>
      <c r="J36" s="781"/>
      <c r="T36" s="98"/>
    </row>
    <row r="37" spans="1:27">
      <c r="K37"/>
      <c r="T37" s="98"/>
    </row>
    <row r="38" spans="1:27">
      <c r="C38"/>
      <c r="D38"/>
      <c r="E38"/>
      <c r="F38"/>
      <c r="G38"/>
      <c r="H38" s="662"/>
      <c r="I38" s="662"/>
      <c r="J38"/>
      <c r="K38"/>
      <c r="L38"/>
      <c r="M38"/>
      <c r="N38"/>
      <c r="O38"/>
      <c r="P38"/>
      <c r="Q38"/>
      <c r="R38"/>
      <c r="S38"/>
      <c r="T38"/>
      <c r="U38"/>
      <c r="V38"/>
      <c r="W38"/>
      <c r="X38"/>
      <c r="Y38"/>
      <c r="Z38"/>
      <c r="AA38"/>
    </row>
    <row r="39" spans="1:27">
      <c r="C39"/>
      <c r="D39"/>
      <c r="E39"/>
      <c r="F39"/>
      <c r="G39"/>
      <c r="H39" s="662"/>
      <c r="I39" s="662"/>
      <c r="J39"/>
      <c r="M39"/>
      <c r="N39"/>
      <c r="O39"/>
      <c r="P39"/>
      <c r="Q39"/>
      <c r="R39"/>
      <c r="S39"/>
      <c r="T39"/>
      <c r="U39"/>
      <c r="V39"/>
      <c r="W39"/>
      <c r="X39"/>
      <c r="Y39"/>
      <c r="Z39"/>
      <c r="AA39"/>
    </row>
    <row r="54" spans="14:19">
      <c r="N54" s="969"/>
      <c r="O54" s="969"/>
      <c r="P54" s="969"/>
      <c r="Q54" s="969"/>
      <c r="R54" s="969"/>
      <c r="S54" s="969"/>
    </row>
    <row r="55" spans="14:19">
      <c r="O55" s="663"/>
      <c r="P55" s="663"/>
      <c r="Q55" s="663"/>
      <c r="R55" s="663"/>
      <c r="S55" s="663"/>
    </row>
    <row r="56" spans="14:19">
      <c r="N56" s="664"/>
      <c r="O56" s="664"/>
      <c r="P56" s="664"/>
      <c r="Q56" s="664"/>
      <c r="R56" s="664"/>
      <c r="S56" s="664"/>
    </row>
    <row r="57" spans="14:19">
      <c r="N57" s="664"/>
      <c r="O57" s="664"/>
      <c r="P57" s="664"/>
      <c r="Q57" s="664"/>
      <c r="R57" s="664"/>
      <c r="S57" s="664"/>
    </row>
    <row r="58" spans="14:19">
      <c r="N58" s="664"/>
      <c r="O58" s="664"/>
      <c r="P58" s="664"/>
      <c r="Q58" s="664"/>
      <c r="R58" s="664"/>
      <c r="S58" s="664"/>
    </row>
    <row r="59" spans="14:19">
      <c r="N59" s="664"/>
      <c r="O59" s="664"/>
      <c r="P59" s="664"/>
      <c r="Q59" s="664"/>
      <c r="R59" s="664"/>
      <c r="S59" s="664"/>
    </row>
    <row r="60" spans="14:19">
      <c r="N60" s="664"/>
      <c r="O60" s="664"/>
      <c r="P60" s="664"/>
      <c r="Q60" s="664"/>
      <c r="R60" s="664"/>
      <c r="S60" s="664"/>
    </row>
    <row r="61" spans="14:19">
      <c r="N61" s="664"/>
      <c r="O61" s="664"/>
      <c r="P61" s="664"/>
      <c r="Q61" s="664"/>
      <c r="R61" s="664"/>
      <c r="S61" s="664"/>
    </row>
    <row r="62" spans="14:19">
      <c r="N62" s="664"/>
      <c r="O62" s="664"/>
      <c r="P62" s="664"/>
      <c r="Q62" s="664"/>
      <c r="R62" s="664"/>
      <c r="S62" s="664"/>
    </row>
    <row r="63" spans="14:19">
      <c r="N63" s="664"/>
      <c r="O63" s="664"/>
      <c r="P63" s="664"/>
      <c r="Q63" s="664"/>
      <c r="R63" s="664"/>
      <c r="S63" s="664"/>
    </row>
    <row r="64" spans="14:19">
      <c r="N64" s="664"/>
      <c r="O64" s="664"/>
      <c r="P64" s="664"/>
      <c r="Q64" s="664"/>
      <c r="R64" s="664"/>
      <c r="S64" s="664"/>
    </row>
    <row r="65" spans="14:19">
      <c r="N65" s="664"/>
      <c r="O65" s="664"/>
      <c r="P65" s="664"/>
      <c r="Q65" s="664"/>
      <c r="R65" s="664"/>
      <c r="S65" s="664"/>
    </row>
    <row r="66" spans="14:19">
      <c r="N66" s="966"/>
      <c r="O66" s="966"/>
      <c r="P66" s="966"/>
      <c r="Q66" s="966"/>
      <c r="R66" s="966"/>
      <c r="S66" s="966"/>
    </row>
    <row r="67" spans="14:19">
      <c r="N67" s="664"/>
      <c r="O67" s="664"/>
      <c r="P67" s="664"/>
      <c r="Q67" s="664"/>
      <c r="R67" s="664"/>
      <c r="S67" s="664"/>
    </row>
    <row r="68" spans="14:19">
      <c r="N68" s="664"/>
      <c r="O68" s="664"/>
      <c r="P68" s="664"/>
      <c r="Q68" s="664"/>
      <c r="R68" s="664"/>
      <c r="S68" s="664"/>
    </row>
    <row r="69" spans="14:19">
      <c r="N69" s="664"/>
      <c r="O69" s="664"/>
      <c r="P69" s="664"/>
      <c r="Q69" s="664"/>
      <c r="R69" s="664"/>
      <c r="S69" s="664"/>
    </row>
    <row r="70" spans="14:19">
      <c r="N70" s="664"/>
      <c r="O70" s="664"/>
      <c r="P70" s="664"/>
      <c r="Q70" s="664"/>
      <c r="R70" s="664"/>
      <c r="S70" s="664"/>
    </row>
    <row r="71" spans="14:19">
      <c r="N71" s="664"/>
      <c r="O71" s="664"/>
      <c r="P71" s="664"/>
      <c r="Q71" s="664"/>
      <c r="R71" s="664"/>
      <c r="S71" s="664"/>
    </row>
    <row r="72" spans="14:19">
      <c r="N72" s="664"/>
      <c r="O72" s="664"/>
      <c r="P72" s="664"/>
      <c r="Q72" s="664"/>
      <c r="R72" s="664"/>
      <c r="S72" s="664"/>
    </row>
    <row r="73" spans="14:19">
      <c r="N73" s="664"/>
      <c r="O73" s="664"/>
      <c r="P73" s="664"/>
      <c r="Q73" s="664"/>
      <c r="R73" s="664"/>
      <c r="S73" s="664"/>
    </row>
    <row r="74" spans="14:19">
      <c r="N74" s="665"/>
      <c r="O74" s="664"/>
      <c r="P74" s="664"/>
      <c r="Q74" s="664"/>
      <c r="R74" s="664"/>
      <c r="S74" s="664"/>
    </row>
    <row r="75" spans="14:19">
      <c r="N75" s="665"/>
      <c r="O75" s="664"/>
      <c r="P75" s="664"/>
      <c r="Q75" s="664"/>
      <c r="R75" s="664"/>
      <c r="S75" s="664"/>
    </row>
    <row r="76" spans="14:19">
      <c r="N76" s="665"/>
      <c r="O76" s="664"/>
      <c r="P76" s="664"/>
      <c r="Q76" s="664"/>
      <c r="R76" s="664"/>
      <c r="S76" s="664"/>
    </row>
    <row r="77" spans="14:19">
      <c r="N77" s="664"/>
      <c r="O77" s="664"/>
      <c r="P77" s="664"/>
      <c r="Q77" s="664"/>
      <c r="R77" s="664"/>
      <c r="S77" s="664"/>
    </row>
    <row r="78" spans="14:19">
      <c r="N78" s="966"/>
      <c r="O78" s="966"/>
      <c r="P78" s="966"/>
      <c r="Q78" s="966"/>
      <c r="R78" s="966"/>
      <c r="S78" s="966"/>
    </row>
    <row r="79" spans="14:19">
      <c r="N79" s="664"/>
      <c r="O79" s="664"/>
      <c r="P79" s="664"/>
      <c r="Q79" s="664"/>
      <c r="R79" s="664"/>
      <c r="S79" s="664"/>
    </row>
    <row r="80" spans="14:19">
      <c r="N80" s="664"/>
      <c r="O80" s="664"/>
      <c r="P80" s="664"/>
      <c r="Q80" s="664"/>
      <c r="R80" s="664"/>
      <c r="S80" s="664"/>
    </row>
    <row r="81" spans="14:19">
      <c r="N81" s="664"/>
      <c r="O81" s="664"/>
      <c r="P81" s="664"/>
      <c r="Q81" s="664"/>
      <c r="R81" s="664"/>
      <c r="S81" s="664"/>
    </row>
    <row r="82" spans="14:19">
      <c r="N82" s="664"/>
      <c r="O82" s="664"/>
      <c r="P82" s="664"/>
      <c r="Q82" s="664"/>
      <c r="R82" s="664"/>
      <c r="S82" s="664"/>
    </row>
    <row r="83" spans="14:19">
      <c r="N83" s="664"/>
      <c r="O83" s="664"/>
      <c r="P83" s="664"/>
      <c r="Q83" s="664"/>
      <c r="R83" s="664"/>
      <c r="S83" s="664"/>
    </row>
    <row r="84" spans="14:19">
      <c r="N84" s="664"/>
      <c r="O84" s="664"/>
      <c r="P84" s="664"/>
      <c r="Q84" s="664"/>
      <c r="R84" s="664"/>
      <c r="S84" s="664"/>
    </row>
    <row r="85" spans="14:19">
      <c r="N85" s="664"/>
      <c r="O85" s="664"/>
      <c r="P85" s="664"/>
      <c r="Q85" s="664"/>
      <c r="R85" s="664"/>
      <c r="S85" s="664"/>
    </row>
    <row r="86" spans="14:19">
      <c r="N86" s="665"/>
      <c r="O86" s="664"/>
      <c r="P86" s="664"/>
      <c r="Q86" s="664"/>
      <c r="R86" s="664"/>
      <c r="S86" s="664"/>
    </row>
    <row r="87" spans="14:19">
      <c r="N87" s="665"/>
      <c r="O87" s="664"/>
      <c r="P87" s="664"/>
      <c r="Q87" s="664"/>
      <c r="R87" s="664"/>
      <c r="S87" s="664"/>
    </row>
    <row r="88" spans="14:19">
      <c r="N88" s="665"/>
      <c r="O88" s="664"/>
      <c r="P88" s="664"/>
      <c r="Q88" s="664"/>
      <c r="R88" s="664"/>
      <c r="S88" s="664"/>
    </row>
    <row r="89" spans="14:19">
      <c r="N89" s="664"/>
      <c r="O89" s="664"/>
      <c r="P89" s="664"/>
      <c r="Q89" s="664"/>
      <c r="R89" s="664"/>
      <c r="S89" s="664"/>
    </row>
    <row r="90" spans="14:19">
      <c r="N90" s="966"/>
      <c r="O90" s="966"/>
      <c r="P90" s="966"/>
      <c r="Q90" s="966"/>
      <c r="R90" s="966"/>
      <c r="S90" s="966"/>
    </row>
    <row r="91" spans="14:19">
      <c r="N91" s="664"/>
      <c r="O91" s="664"/>
      <c r="P91" s="664"/>
      <c r="Q91" s="664"/>
      <c r="R91" s="664"/>
      <c r="S91" s="664"/>
    </row>
    <row r="92" spans="14:19">
      <c r="N92" s="665"/>
      <c r="O92" s="664"/>
      <c r="P92" s="664"/>
      <c r="Q92" s="664"/>
      <c r="R92" s="664"/>
      <c r="S92" s="664"/>
    </row>
    <row r="93" spans="14:19">
      <c r="N93" s="665"/>
      <c r="O93" s="664"/>
      <c r="P93" s="664"/>
      <c r="Q93" s="664"/>
      <c r="R93" s="664"/>
      <c r="S93" s="664"/>
    </row>
    <row r="94" spans="14:19">
      <c r="N94" s="665"/>
      <c r="O94" s="664"/>
      <c r="P94" s="664"/>
      <c r="Q94" s="664"/>
      <c r="R94" s="664"/>
      <c r="S94" s="664"/>
    </row>
    <row r="95" spans="14:19">
      <c r="N95" s="665"/>
      <c r="O95" s="664"/>
      <c r="P95" s="664"/>
      <c r="Q95" s="664"/>
      <c r="R95" s="664"/>
      <c r="S95" s="664"/>
    </row>
    <row r="96" spans="14:19">
      <c r="N96" s="665"/>
      <c r="O96" s="664"/>
      <c r="P96" s="664"/>
      <c r="Q96" s="664"/>
      <c r="R96" s="664"/>
      <c r="S96" s="664"/>
    </row>
    <row r="97" spans="14:19">
      <c r="N97" s="665"/>
      <c r="O97" s="664"/>
      <c r="P97" s="664"/>
      <c r="Q97" s="664"/>
      <c r="R97" s="664"/>
      <c r="S97" s="664"/>
    </row>
    <row r="98" spans="14:19">
      <c r="N98" s="665"/>
      <c r="O98" s="664"/>
      <c r="P98" s="664"/>
      <c r="Q98" s="664"/>
      <c r="R98" s="664"/>
      <c r="S98" s="664"/>
    </row>
    <row r="99" spans="14:19">
      <c r="N99" s="665"/>
      <c r="O99" s="664"/>
      <c r="P99" s="664"/>
      <c r="Q99" s="664"/>
      <c r="R99" s="664"/>
      <c r="S99" s="664"/>
    </row>
    <row r="100" spans="14:19">
      <c r="N100" s="665"/>
      <c r="O100" s="664"/>
      <c r="P100" s="664"/>
      <c r="Q100" s="664"/>
      <c r="R100" s="664"/>
      <c r="S100" s="664"/>
    </row>
  </sheetData>
  <mergeCells count="6">
    <mergeCell ref="N90:S90"/>
    <mergeCell ref="B3:J3"/>
    <mergeCell ref="K3:Q3"/>
    <mergeCell ref="N54:S54"/>
    <mergeCell ref="N66:S66"/>
    <mergeCell ref="N78:S78"/>
  </mergeCells>
  <conditionalFormatting sqref="C10:G10">
    <cfRule type="expression" dxfId="30" priority="20">
      <formula>$C$10="Low"</formula>
    </cfRule>
  </conditionalFormatting>
  <conditionalFormatting sqref="D6:F6 H6:J6">
    <cfRule type="expression" dxfId="29" priority="37">
      <formula>$C$6="Low"</formula>
    </cfRule>
  </conditionalFormatting>
  <conditionalFormatting sqref="D7:G7 J7">
    <cfRule type="expression" dxfId="28" priority="36">
      <formula>$C$7="Low"</formula>
    </cfRule>
  </conditionalFormatting>
  <conditionalFormatting sqref="D8:G8 J8">
    <cfRule type="expression" dxfId="27" priority="35">
      <formula>$C$8="Low"</formula>
    </cfRule>
  </conditionalFormatting>
  <conditionalFormatting sqref="D9:G9 J9:J10">
    <cfRule type="expression" dxfId="26" priority="34">
      <formula>$C$9="Low"</formula>
    </cfRule>
  </conditionalFormatting>
  <conditionalFormatting sqref="D12:G12">
    <cfRule type="expression" dxfId="25" priority="32">
      <formula>$C$12="Low"</formula>
    </cfRule>
  </conditionalFormatting>
  <conditionalFormatting sqref="D13:G13">
    <cfRule type="expression" dxfId="24" priority="31">
      <formula>$C$13="Low"</formula>
    </cfRule>
  </conditionalFormatting>
  <conditionalFormatting sqref="D14:G14 J14">
    <cfRule type="expression" dxfId="23" priority="30">
      <formula>$C$14="Low"</formula>
    </cfRule>
  </conditionalFormatting>
  <conditionalFormatting sqref="D16:G16">
    <cfRule type="expression" dxfId="22" priority="28">
      <formula>$C$16="Low"</formula>
    </cfRule>
  </conditionalFormatting>
  <conditionalFormatting sqref="D17:G17 J17">
    <cfRule type="expression" dxfId="21" priority="27">
      <formula>$C$17="Low"</formula>
    </cfRule>
  </conditionalFormatting>
  <conditionalFormatting sqref="D19:G19 J20">
    <cfRule type="expression" dxfId="20" priority="25">
      <formula>$C$19="Low"</formula>
    </cfRule>
  </conditionalFormatting>
  <conditionalFormatting sqref="D21:G21 J21">
    <cfRule type="expression" dxfId="19" priority="23">
      <formula>$C$21="Low"</formula>
    </cfRule>
  </conditionalFormatting>
  <conditionalFormatting sqref="D15:J15">
    <cfRule type="expression" dxfId="18" priority="29">
      <formula>$C$15="Low"</formula>
    </cfRule>
  </conditionalFormatting>
  <conditionalFormatting sqref="D18:J18">
    <cfRule type="expression" dxfId="17" priority="26">
      <formula>$C$18="Low"</formula>
    </cfRule>
  </conditionalFormatting>
  <conditionalFormatting sqref="D20:J20">
    <cfRule type="expression" dxfId="16" priority="24">
      <formula>$C$20="Low"</formula>
    </cfRule>
  </conditionalFormatting>
  <conditionalFormatting sqref="D22:J22">
    <cfRule type="expression" dxfId="15" priority="22">
      <formula>$C$22="Low"</formula>
    </cfRule>
  </conditionalFormatting>
  <conditionalFormatting sqref="G6">
    <cfRule type="expression" dxfId="14" priority="18">
      <formula>$C$7="Low"</formula>
    </cfRule>
  </conditionalFormatting>
  <conditionalFormatting sqref="H16:H17">
    <cfRule type="expression" dxfId="13" priority="7">
      <formula>$C$6="Low"</formula>
    </cfRule>
  </conditionalFormatting>
  <conditionalFormatting sqref="H19">
    <cfRule type="expression" dxfId="12" priority="6">
      <formula>$C$6="Low"</formula>
    </cfRule>
  </conditionalFormatting>
  <conditionalFormatting sqref="H21">
    <cfRule type="expression" dxfId="11" priority="5">
      <formula>$C$6="Low"</formula>
    </cfRule>
  </conditionalFormatting>
  <conditionalFormatting sqref="H24:H34">
    <cfRule type="expression" dxfId="10" priority="4">
      <formula>$C$6="Low"</formula>
    </cfRule>
  </conditionalFormatting>
  <conditionalFormatting sqref="H7:I10">
    <cfRule type="expression" dxfId="9" priority="15">
      <formula>$C$6="Low"</formula>
    </cfRule>
  </conditionalFormatting>
  <conditionalFormatting sqref="H12:I14">
    <cfRule type="expression" dxfId="8" priority="8">
      <formula>$C$6="Low"</formula>
    </cfRule>
  </conditionalFormatting>
  <conditionalFormatting sqref="I16:I17">
    <cfRule type="expression" dxfId="7" priority="12">
      <formula>$C$16="Low"</formula>
    </cfRule>
  </conditionalFormatting>
  <conditionalFormatting sqref="I19">
    <cfRule type="expression" dxfId="6" priority="11">
      <formula>$C$16="Low"</formula>
    </cfRule>
  </conditionalFormatting>
  <conditionalFormatting sqref="I21">
    <cfRule type="expression" dxfId="5" priority="10">
      <formula>$C$16="Low"</formula>
    </cfRule>
  </conditionalFormatting>
  <conditionalFormatting sqref="I25:I34">
    <cfRule type="expression" dxfId="4" priority="9">
      <formula>$C$16="Low"</formula>
    </cfRule>
  </conditionalFormatting>
  <conditionalFormatting sqref="J12:J13">
    <cfRule type="expression" dxfId="3" priority="1">
      <formula>$C$6="Low"</formula>
    </cfRule>
  </conditionalFormatting>
  <conditionalFormatting sqref="J19">
    <cfRule type="expression" dxfId="2" priority="3">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abSelected="1" topLeftCell="A52" zoomScale="85" zoomScaleNormal="85" workbookViewId="0">
      <selection activeCell="F73" sqref="F73"/>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42578125" customWidth="1"/>
    <col min="7" max="7" width="14.140625" style="2" customWidth="1"/>
    <col min="8" max="11" width="11" style="2" customWidth="1"/>
    <col min="12" max="12" width="19" style="2" customWidth="1"/>
    <col min="13" max="14" width="24.28515625" style="2" bestFit="1" customWidth="1"/>
    <col min="15" max="15" width="23" style="2" bestFit="1" customWidth="1"/>
    <col min="16" max="25" width="24.28515625" style="2" bestFit="1" customWidth="1"/>
    <col min="26" max="28" width="23" style="2" bestFit="1" customWidth="1"/>
    <col min="29" max="30" width="24.28515625" style="2" bestFit="1" customWidth="1"/>
    <col min="31" max="32" width="23" style="2" bestFit="1" customWidth="1"/>
    <col min="33" max="33" width="14.42578125" customWidth="1"/>
  </cols>
  <sheetData>
    <row r="1" spans="1:40" ht="21" customHeight="1">
      <c r="A1" s="977" t="s">
        <v>385</v>
      </c>
      <c r="B1" s="977"/>
      <c r="C1" s="977"/>
      <c r="D1" s="977"/>
      <c r="E1" s="977"/>
      <c r="F1" s="977"/>
      <c r="G1" s="977"/>
      <c r="H1" s="977"/>
      <c r="I1" s="977"/>
      <c r="J1" s="977"/>
      <c r="K1" s="977"/>
      <c r="L1" s="977"/>
      <c r="M1" s="977"/>
      <c r="N1" s="977"/>
      <c r="O1" s="977"/>
      <c r="P1" s="977"/>
      <c r="Q1" s="977"/>
      <c r="R1" s="977"/>
      <c r="S1" s="977"/>
      <c r="T1" s="977"/>
      <c r="U1" s="977"/>
      <c r="V1" s="977"/>
      <c r="W1" s="977"/>
      <c r="X1" s="977"/>
      <c r="Y1" s="977"/>
      <c r="Z1" s="977"/>
      <c r="AA1" s="977"/>
      <c r="AB1" s="977"/>
      <c r="AC1" s="977"/>
      <c r="AD1" s="977"/>
      <c r="AE1" s="977"/>
      <c r="AF1" s="977"/>
      <c r="AG1" s="11"/>
      <c r="AH1" s="11"/>
      <c r="AI1" s="11"/>
      <c r="AJ1" s="11"/>
      <c r="AK1" s="11"/>
      <c r="AL1" s="11"/>
      <c r="AM1" s="11"/>
      <c r="AN1" s="11"/>
    </row>
    <row r="2" spans="1:40" ht="3.75" customHeight="1" thickBot="1">
      <c r="A2" s="978"/>
      <c r="B2" s="978"/>
      <c r="C2" s="978"/>
      <c r="D2" s="978"/>
      <c r="E2" s="978"/>
      <c r="F2" s="978"/>
      <c r="G2" s="978"/>
      <c r="H2" s="978"/>
      <c r="I2" s="978"/>
      <c r="J2" s="978"/>
      <c r="K2" s="978"/>
      <c r="L2" s="978"/>
      <c r="M2" s="978"/>
      <c r="N2" s="978"/>
      <c r="O2" s="978"/>
      <c r="P2" s="978"/>
      <c r="Q2" s="978"/>
      <c r="R2" s="978"/>
      <c r="S2" s="978"/>
      <c r="T2" s="978"/>
      <c r="U2" s="978"/>
      <c r="V2" s="978"/>
      <c r="W2" s="978"/>
      <c r="X2" s="978"/>
      <c r="Y2" s="978"/>
      <c r="Z2" s="978"/>
      <c r="AA2" s="978"/>
      <c r="AB2" s="978"/>
      <c r="AC2" s="978"/>
      <c r="AD2" s="978"/>
      <c r="AE2" s="978"/>
      <c r="AF2" s="978"/>
      <c r="AG2" s="671"/>
      <c r="AH2" s="11"/>
      <c r="AI2" s="11"/>
      <c r="AJ2" s="11"/>
      <c r="AK2" s="11"/>
      <c r="AL2" s="11"/>
      <c r="AM2" s="11"/>
      <c r="AN2" s="11"/>
    </row>
    <row r="3" spans="1:40" ht="19.5" thickBot="1">
      <c r="A3" s="297"/>
      <c r="B3" s="297"/>
      <c r="C3" s="297"/>
      <c r="D3" s="297"/>
      <c r="E3" s="297"/>
      <c r="F3" s="297"/>
      <c r="G3" s="986" t="s">
        <v>386</v>
      </c>
      <c r="H3" s="987"/>
      <c r="I3" s="987"/>
      <c r="J3" s="987"/>
      <c r="K3" s="986" t="s">
        <v>387</v>
      </c>
      <c r="L3" s="987"/>
      <c r="M3" s="987"/>
      <c r="N3" s="987"/>
      <c r="O3" s="987"/>
      <c r="P3" s="987"/>
      <c r="Q3" s="987"/>
      <c r="R3" s="987"/>
      <c r="S3" s="987"/>
      <c r="T3" s="987"/>
      <c r="U3" s="987"/>
      <c r="V3" s="987"/>
      <c r="W3" s="987"/>
      <c r="X3" s="987"/>
      <c r="Y3" s="987"/>
      <c r="Z3" s="987"/>
      <c r="AA3" s="987"/>
      <c r="AB3" s="987"/>
      <c r="AC3" s="987"/>
      <c r="AD3" s="987"/>
      <c r="AE3" s="987"/>
      <c r="AF3" s="988"/>
      <c r="AG3" s="671"/>
      <c r="AH3" s="11"/>
      <c r="AI3" s="11"/>
      <c r="AJ3" s="11"/>
      <c r="AK3" s="11"/>
      <c r="AL3" s="11"/>
      <c r="AM3" s="11"/>
      <c r="AN3" s="11"/>
    </row>
    <row r="4" spans="1:40" ht="15.75" thickBot="1">
      <c r="A4" s="325" t="s">
        <v>388</v>
      </c>
      <c r="B4" s="328" t="s">
        <v>389</v>
      </c>
      <c r="C4" s="329" t="s">
        <v>390</v>
      </c>
      <c r="D4" s="338" t="s">
        <v>391</v>
      </c>
      <c r="E4" s="338" t="s">
        <v>392</v>
      </c>
      <c r="F4" s="339" t="s">
        <v>393</v>
      </c>
      <c r="G4" s="338">
        <v>2023</v>
      </c>
      <c r="H4" s="338">
        <f>G4+1</f>
        <v>2024</v>
      </c>
      <c r="I4" s="338">
        <f t="shared" ref="I4:AF4" si="0">H4+1</f>
        <v>2025</v>
      </c>
      <c r="J4" s="339">
        <f t="shared" si="0"/>
        <v>2026</v>
      </c>
      <c r="K4" s="340">
        <f t="shared" si="0"/>
        <v>2027</v>
      </c>
      <c r="L4" s="340">
        <f t="shared" si="0"/>
        <v>2028</v>
      </c>
      <c r="M4" s="340">
        <f t="shared" si="0"/>
        <v>2029</v>
      </c>
      <c r="N4" s="340">
        <f t="shared" si="0"/>
        <v>2030</v>
      </c>
      <c r="O4" s="340">
        <f t="shared" si="0"/>
        <v>2031</v>
      </c>
      <c r="P4" s="340">
        <f t="shared" si="0"/>
        <v>2032</v>
      </c>
      <c r="Q4" s="340">
        <f t="shared" si="0"/>
        <v>2033</v>
      </c>
      <c r="R4" s="340">
        <f t="shared" si="0"/>
        <v>2034</v>
      </c>
      <c r="S4" s="340">
        <f t="shared" si="0"/>
        <v>2035</v>
      </c>
      <c r="T4" s="340">
        <f t="shared" si="0"/>
        <v>2036</v>
      </c>
      <c r="U4" s="340">
        <f t="shared" si="0"/>
        <v>2037</v>
      </c>
      <c r="V4" s="340">
        <f t="shared" si="0"/>
        <v>2038</v>
      </c>
      <c r="W4" s="340">
        <f t="shared" si="0"/>
        <v>2039</v>
      </c>
      <c r="X4" s="340">
        <f t="shared" si="0"/>
        <v>2040</v>
      </c>
      <c r="Y4" s="340">
        <f t="shared" si="0"/>
        <v>2041</v>
      </c>
      <c r="Z4" s="340">
        <f t="shared" si="0"/>
        <v>2042</v>
      </c>
      <c r="AA4" s="340">
        <f t="shared" si="0"/>
        <v>2043</v>
      </c>
      <c r="AB4" s="340">
        <f t="shared" si="0"/>
        <v>2044</v>
      </c>
      <c r="AC4" s="340">
        <f t="shared" si="0"/>
        <v>2045</v>
      </c>
      <c r="AD4" s="340">
        <f t="shared" si="0"/>
        <v>2046</v>
      </c>
      <c r="AE4" s="340">
        <f t="shared" si="0"/>
        <v>2047</v>
      </c>
      <c r="AF4" s="341">
        <f t="shared" si="0"/>
        <v>2048</v>
      </c>
      <c r="AG4" s="671"/>
      <c r="AH4" s="11"/>
      <c r="AI4" s="11"/>
      <c r="AJ4" s="11"/>
      <c r="AK4" s="11"/>
      <c r="AL4" s="11"/>
      <c r="AM4" s="11"/>
      <c r="AN4" s="11"/>
    </row>
    <row r="5" spans="1:40">
      <c r="A5" s="982" t="s">
        <v>394</v>
      </c>
      <c r="B5" s="330">
        <v>1</v>
      </c>
      <c r="C5" s="336" t="s">
        <v>395</v>
      </c>
      <c r="D5" s="347">
        <f>'Fin. Data'!D6</f>
        <v>-4.9365717537772413E-2</v>
      </c>
      <c r="E5" s="351">
        <f>+E6/D6-1</f>
        <v>0.12379784481093825</v>
      </c>
      <c r="F5" s="402">
        <f t="shared" ref="F5:AF5" si="1">+F6/E6-1</f>
        <v>4.3321733900416826E-2</v>
      </c>
      <c r="G5" s="418">
        <f>+G6/F6-1</f>
        <v>3.499999999999992E-2</v>
      </c>
      <c r="H5" s="419">
        <f>+H6/G6-1</f>
        <v>3.6428571428571477E-2</v>
      </c>
      <c r="I5" s="419">
        <f>+I6/H6-1</f>
        <v>3.8095238095238182E-2</v>
      </c>
      <c r="J5" s="420">
        <f>+J6/I6-1</f>
        <v>3.9761904761904665E-2</v>
      </c>
      <c r="K5" s="418">
        <f t="shared" si="1"/>
        <v>4.142857142857137E-2</v>
      </c>
      <c r="L5" s="419">
        <f t="shared" si="1"/>
        <v>4.3095238095238075E-2</v>
      </c>
      <c r="M5" s="419">
        <f t="shared" si="1"/>
        <v>4.4761904761904781E-2</v>
      </c>
      <c r="N5" s="419">
        <f t="shared" si="1"/>
        <v>4.4999999999999929E-2</v>
      </c>
      <c r="O5" s="419">
        <f t="shared" si="1"/>
        <v>4.0000000000000036E-2</v>
      </c>
      <c r="P5" s="419">
        <f t="shared" si="1"/>
        <v>3.499999999999992E-2</v>
      </c>
      <c r="Q5" s="419">
        <f t="shared" si="1"/>
        <v>3.0000000000000027E-2</v>
      </c>
      <c r="R5" s="419">
        <f t="shared" si="1"/>
        <v>2.4999999999999911E-2</v>
      </c>
      <c r="S5" s="419">
        <f t="shared" si="1"/>
        <v>2.0000000000000018E-2</v>
      </c>
      <c r="T5" s="419">
        <f t="shared" si="1"/>
        <v>2.0000000000000018E-2</v>
      </c>
      <c r="U5" s="419">
        <f t="shared" si="1"/>
        <v>2.0000000000000018E-2</v>
      </c>
      <c r="V5" s="419">
        <f t="shared" si="1"/>
        <v>2.0000000000000018E-2</v>
      </c>
      <c r="W5" s="419">
        <f t="shared" si="1"/>
        <v>2.0000000000000018E-2</v>
      </c>
      <c r="X5" s="419">
        <f t="shared" si="1"/>
        <v>2.0000000000000018E-2</v>
      </c>
      <c r="Y5" s="419">
        <f t="shared" si="1"/>
        <v>2.0000000000000018E-2</v>
      </c>
      <c r="Z5" s="419">
        <f t="shared" si="1"/>
        <v>2.0000000000000018E-2</v>
      </c>
      <c r="AA5" s="419">
        <f t="shared" si="1"/>
        <v>2.0000000000000018E-2</v>
      </c>
      <c r="AB5" s="419">
        <f t="shared" si="1"/>
        <v>2.0000000000000018E-2</v>
      </c>
      <c r="AC5" s="419">
        <f t="shared" si="1"/>
        <v>2.0000000000000018E-2</v>
      </c>
      <c r="AD5" s="419">
        <f t="shared" si="1"/>
        <v>2.0000000000000018E-2</v>
      </c>
      <c r="AE5" s="419">
        <f t="shared" si="1"/>
        <v>2.0000000000000018E-2</v>
      </c>
      <c r="AF5" s="420">
        <f t="shared" si="1"/>
        <v>2.0000000000000018E-2</v>
      </c>
      <c r="AG5" s="511"/>
      <c r="AH5" s="11"/>
      <c r="AI5" s="11"/>
      <c r="AJ5" s="11"/>
      <c r="AK5" s="11"/>
      <c r="AL5" s="11"/>
      <c r="AM5" s="11"/>
      <c r="AN5" s="11"/>
    </row>
    <row r="6" spans="1:40" ht="15">
      <c r="A6" s="982"/>
      <c r="B6" s="330">
        <v>2</v>
      </c>
      <c r="C6" s="324" t="s">
        <v>396</v>
      </c>
      <c r="D6" s="352">
        <v>103564</v>
      </c>
      <c r="E6" s="348">
        <v>116385</v>
      </c>
      <c r="F6" s="403">
        <v>121427</v>
      </c>
      <c r="G6" s="411">
        <f>Assum.!I8</f>
        <v>125676.94499999999</v>
      </c>
      <c r="H6" s="411">
        <f>Assum.!J8</f>
        <v>130255.17656785714</v>
      </c>
      <c r="I6" s="411">
        <f>Assum.!K8</f>
        <v>135217.27853234694</v>
      </c>
      <c r="J6" s="411">
        <f>Assum.!L8</f>
        <v>140593.77508351405</v>
      </c>
      <c r="K6" s="411">
        <f>Assum.!M8</f>
        <v>146418.37433697391</v>
      </c>
      <c r="L6" s="411">
        <f>Assum.!N8</f>
        <v>152728.30904054351</v>
      </c>
      <c r="M6" s="411">
        <f>Assum.!O8</f>
        <v>159564.71906426307</v>
      </c>
      <c r="N6" s="411">
        <f>Assum.!P8</f>
        <v>166745.1314221549</v>
      </c>
      <c r="O6" s="411">
        <f>Assum.!Q8</f>
        <v>173414.9366790411</v>
      </c>
      <c r="P6" s="411">
        <f>Assum.!R8</f>
        <v>179484.45946280751</v>
      </c>
      <c r="Q6" s="411">
        <f>Assum.!S8</f>
        <v>184868.99324669174</v>
      </c>
      <c r="R6" s="411">
        <f>Assum.!T8</f>
        <v>189490.71807785903</v>
      </c>
      <c r="S6" s="411">
        <f>Assum.!U8</f>
        <v>193280.53243941622</v>
      </c>
      <c r="T6" s="411">
        <f>Assum.!V8</f>
        <v>197146.14308820455</v>
      </c>
      <c r="U6" s="411">
        <f>Assum.!W8</f>
        <v>201089.06594996864</v>
      </c>
      <c r="V6" s="411">
        <f>Assum.!X8</f>
        <v>205110.84726896803</v>
      </c>
      <c r="W6" s="411">
        <f>Assum.!Y8</f>
        <v>209213.0642143474</v>
      </c>
      <c r="X6" s="411">
        <f>Assum.!Z8</f>
        <v>213397.32549863434</v>
      </c>
      <c r="Y6" s="411">
        <f>Assum.!AA8</f>
        <v>217665.27200860702</v>
      </c>
      <c r="Z6" s="411">
        <f>Assum.!AB8</f>
        <v>222018.57744877916</v>
      </c>
      <c r="AA6" s="411">
        <f>Assum.!AC8</f>
        <v>226458.94899775475</v>
      </c>
      <c r="AB6" s="411">
        <f>Assum.!AD8</f>
        <v>230988.12797770984</v>
      </c>
      <c r="AC6" s="411">
        <f>Assum.!AE8</f>
        <v>235607.89053726403</v>
      </c>
      <c r="AD6" s="411">
        <f>Assum.!AF8</f>
        <v>240320.04834800932</v>
      </c>
      <c r="AE6" s="411">
        <f>Assum.!AG8</f>
        <v>245126.4493149695</v>
      </c>
      <c r="AF6" s="411">
        <f>Assum.!AH8</f>
        <v>250028.97830126889</v>
      </c>
      <c r="AG6" s="672"/>
      <c r="AH6" s="11"/>
      <c r="AI6" s="11"/>
      <c r="AJ6" s="11"/>
      <c r="AK6" s="11"/>
      <c r="AL6" s="11"/>
      <c r="AM6" s="11"/>
      <c r="AN6" s="11"/>
    </row>
    <row r="7" spans="1:40">
      <c r="A7" s="982"/>
      <c r="B7" s="330">
        <v>3</v>
      </c>
      <c r="C7" s="107" t="s">
        <v>397</v>
      </c>
      <c r="D7" s="397">
        <f>D8/D6</f>
        <v>0.16891004596191728</v>
      </c>
      <c r="E7" s="394">
        <f t="shared" ref="E7:F7" si="2">E8/E6</f>
        <v>0.17886325557417193</v>
      </c>
      <c r="F7" s="404">
        <f t="shared" si="2"/>
        <v>0.11563326113632058</v>
      </c>
      <c r="G7" s="421">
        <f>0.126</f>
        <v>0.126</v>
      </c>
      <c r="H7" s="422">
        <f>+G7*(1+H5)</f>
        <v>0.13059000000000001</v>
      </c>
      <c r="I7" s="422">
        <f>+$G$7*(1+I5)</f>
        <v>0.1308</v>
      </c>
      <c r="J7" s="694">
        <f>+$G$7*(1+J5)</f>
        <v>0.13100999999999999</v>
      </c>
      <c r="K7" s="694">
        <f t="shared" ref="K7:AF7" si="3">+$G$7*(1+K5)</f>
        <v>0.13122</v>
      </c>
      <c r="L7" s="422">
        <f t="shared" si="3"/>
        <v>0.13142999999999999</v>
      </c>
      <c r="M7" s="422">
        <f t="shared" si="3"/>
        <v>0.13164000000000001</v>
      </c>
      <c r="N7" s="422">
        <f t="shared" si="3"/>
        <v>0.13166999999999998</v>
      </c>
      <c r="O7" s="422">
        <f t="shared" si="3"/>
        <v>0.13104000000000002</v>
      </c>
      <c r="P7" s="422">
        <f t="shared" si="3"/>
        <v>0.13041</v>
      </c>
      <c r="Q7" s="422">
        <f t="shared" si="3"/>
        <v>0.12978000000000001</v>
      </c>
      <c r="R7" s="422">
        <f t="shared" si="3"/>
        <v>0.12914999999999999</v>
      </c>
      <c r="S7" s="422">
        <f t="shared" si="3"/>
        <v>0.12852</v>
      </c>
      <c r="T7" s="422">
        <f t="shared" si="3"/>
        <v>0.12852</v>
      </c>
      <c r="U7" s="422">
        <f t="shared" si="3"/>
        <v>0.12852</v>
      </c>
      <c r="V7" s="422">
        <f t="shared" si="3"/>
        <v>0.12852</v>
      </c>
      <c r="W7" s="422">
        <f t="shared" si="3"/>
        <v>0.12852</v>
      </c>
      <c r="X7" s="422">
        <f t="shared" si="3"/>
        <v>0.12852</v>
      </c>
      <c r="Y7" s="422">
        <f t="shared" si="3"/>
        <v>0.12852</v>
      </c>
      <c r="Z7" s="422">
        <f t="shared" si="3"/>
        <v>0.12852</v>
      </c>
      <c r="AA7" s="422">
        <f t="shared" si="3"/>
        <v>0.12852</v>
      </c>
      <c r="AB7" s="422">
        <f t="shared" si="3"/>
        <v>0.12852</v>
      </c>
      <c r="AC7" s="422">
        <f t="shared" si="3"/>
        <v>0.12852</v>
      </c>
      <c r="AD7" s="422">
        <f t="shared" si="3"/>
        <v>0.12852</v>
      </c>
      <c r="AE7" s="422">
        <f t="shared" si="3"/>
        <v>0.12852</v>
      </c>
      <c r="AF7" s="694">
        <f t="shared" si="3"/>
        <v>0.12852</v>
      </c>
      <c r="AG7" s="511"/>
      <c r="AH7" s="11"/>
      <c r="AI7" s="11"/>
      <c r="AJ7" s="11"/>
      <c r="AK7" s="11"/>
      <c r="AL7" s="11"/>
      <c r="AM7" s="11"/>
      <c r="AN7" s="11"/>
    </row>
    <row r="8" spans="1:40" ht="15">
      <c r="A8" s="982"/>
      <c r="B8" s="330">
        <v>4</v>
      </c>
      <c r="C8" s="307" t="s">
        <v>65</v>
      </c>
      <c r="D8" s="398">
        <f>'Fin. Data'!D11</f>
        <v>17493</v>
      </c>
      <c r="E8" s="395">
        <f>'Fin. Data'!C11</f>
        <v>20817</v>
      </c>
      <c r="F8" s="405">
        <f>'Fin. Data'!B11</f>
        <v>14041</v>
      </c>
      <c r="G8" s="411">
        <f>G7*G6</f>
        <v>15835.295069999998</v>
      </c>
      <c r="H8" s="409">
        <f>H7*H6</f>
        <v>17010.023507996466</v>
      </c>
      <c r="I8" s="409">
        <f t="shared" ref="I8:AF8" si="4">I7*I6</f>
        <v>17686.420032030979</v>
      </c>
      <c r="J8" s="412">
        <f t="shared" si="4"/>
        <v>18419.190473691175</v>
      </c>
      <c r="K8" s="411">
        <f t="shared" si="4"/>
        <v>19213.019080497717</v>
      </c>
      <c r="L8" s="409">
        <f t="shared" si="4"/>
        <v>20073.081657198632</v>
      </c>
      <c r="M8" s="409">
        <f t="shared" si="4"/>
        <v>21005.099617619591</v>
      </c>
      <c r="N8" s="409">
        <f t="shared" si="4"/>
        <v>21955.331454355131</v>
      </c>
      <c r="O8" s="409">
        <f t="shared" si="4"/>
        <v>22724.293302421549</v>
      </c>
      <c r="P8" s="409">
        <f t="shared" si="4"/>
        <v>23406.568358544726</v>
      </c>
      <c r="Q8" s="409">
        <f t="shared" si="4"/>
        <v>23992.297943555655</v>
      </c>
      <c r="R8" s="409">
        <f t="shared" si="4"/>
        <v>24472.726239755491</v>
      </c>
      <c r="S8" s="409">
        <f t="shared" si="4"/>
        <v>24840.41402911377</v>
      </c>
      <c r="T8" s="409">
        <f t="shared" si="4"/>
        <v>25337.222309696048</v>
      </c>
      <c r="U8" s="409">
        <f t="shared" si="4"/>
        <v>25843.966755889971</v>
      </c>
      <c r="V8" s="409">
        <f t="shared" si="4"/>
        <v>26360.84609100777</v>
      </c>
      <c r="W8" s="409">
        <f t="shared" si="4"/>
        <v>26888.063012827926</v>
      </c>
      <c r="X8" s="409">
        <f t="shared" si="4"/>
        <v>27425.824273084483</v>
      </c>
      <c r="Y8" s="409">
        <f t="shared" si="4"/>
        <v>27974.340758546172</v>
      </c>
      <c r="Z8" s="409">
        <f t="shared" si="4"/>
        <v>28533.827573717099</v>
      </c>
      <c r="AA8" s="409">
        <f t="shared" si="4"/>
        <v>29104.504125191441</v>
      </c>
      <c r="AB8" s="409">
        <f t="shared" si="4"/>
        <v>29686.594207695267</v>
      </c>
      <c r="AC8" s="409">
        <f t="shared" si="4"/>
        <v>30280.326091849172</v>
      </c>
      <c r="AD8" s="409">
        <f t="shared" si="4"/>
        <v>30885.932613686156</v>
      </c>
      <c r="AE8" s="409">
        <f t="shared" si="4"/>
        <v>31503.651265959881</v>
      </c>
      <c r="AF8" s="412">
        <f t="shared" si="4"/>
        <v>32133.724291279075</v>
      </c>
      <c r="AG8" s="652"/>
      <c r="AH8" s="7"/>
      <c r="AI8" s="7"/>
      <c r="AJ8" s="7"/>
      <c r="AK8" s="11"/>
      <c r="AL8" s="11"/>
      <c r="AM8" s="11"/>
      <c r="AN8" s="11"/>
    </row>
    <row r="9" spans="1:40" ht="15">
      <c r="A9" s="982"/>
      <c r="B9" s="330" t="s">
        <v>398</v>
      </c>
      <c r="C9" s="324" t="s">
        <v>399</v>
      </c>
      <c r="D9" s="638">
        <v>-8320</v>
      </c>
      <c r="E9" s="639">
        <v>-8628</v>
      </c>
      <c r="F9" s="640">
        <v>-8724</v>
      </c>
      <c r="G9" s="641">
        <f>$D$53*DCF!F40</f>
        <v>-8886.8919960591011</v>
      </c>
      <c r="H9" s="642">
        <f>$D$53*DCF!G40</f>
        <v>-10520.904628366519</v>
      </c>
      <c r="I9" s="642">
        <f>$D$53*DCF!H40</f>
        <v>-12214.442006565141</v>
      </c>
      <c r="J9" s="643">
        <f>$D$53*DCF!I40</f>
        <v>-13972.495094409422</v>
      </c>
      <c r="K9" s="644">
        <f>$E$53*DCF!J40</f>
        <v>-15303.67109736446</v>
      </c>
      <c r="L9" s="645">
        <f>$E$53*DCF!K40</f>
        <v>-17147.503722742447</v>
      </c>
      <c r="M9" s="645">
        <f>$E$53*DCF!L40</f>
        <v>-19070.796754118866</v>
      </c>
      <c r="N9" s="645">
        <f>$E$53*DCF!M40</f>
        <v>-21080.180044994991</v>
      </c>
      <c r="O9" s="645">
        <f>$E$53*DCF!N40</f>
        <v>-23179.985583960541</v>
      </c>
      <c r="P9" s="645">
        <f>$E$53*DCF!O40</f>
        <v>-25363.783344484713</v>
      </c>
      <c r="Q9" s="645">
        <f>$E$53*DCF!P40</f>
        <v>-27624.014026627232</v>
      </c>
      <c r="R9" s="645">
        <f>$E$53*DCF!Q40</f>
        <v>-29952.051629234025</v>
      </c>
      <c r="S9" s="645">
        <f>$E$53*DCF!R40</f>
        <v>-32338.290171905992</v>
      </c>
      <c r="T9" s="645">
        <f>$E$53*DCF!S40</f>
        <v>-34772.253485431393</v>
      </c>
      <c r="U9" s="645">
        <f>$E$53*DCF!T40</f>
        <v>-37254.896065227302</v>
      </c>
      <c r="V9" s="645">
        <f>$E$53*DCF!U40</f>
        <v>-39787.191496619133</v>
      </c>
      <c r="W9" s="645">
        <f>$E$53*DCF!V40</f>
        <v>-42370.132836638797</v>
      </c>
      <c r="X9" s="645">
        <f>$E$53*DCF!W40</f>
        <v>-45004.733003458859</v>
      </c>
      <c r="Y9" s="645">
        <f>$E$53*DCF!X40</f>
        <v>-47692.025173615315</v>
      </c>
      <c r="Z9" s="645">
        <f>$E$53*DCF!Y40</f>
        <v>-50433.063187174906</v>
      </c>
      <c r="AA9" s="645">
        <f>$E$53*DCF!Z40</f>
        <v>-53228.92196100569</v>
      </c>
      <c r="AB9" s="645">
        <f>$E$53*DCF!AA40</f>
        <v>-56080.697910313087</v>
      </c>
      <c r="AC9" s="645">
        <f>$E$53*DCF!AB40</f>
        <v>-58989.509378606635</v>
      </c>
      <c r="AD9" s="645">
        <f>$E$53*DCF!AC40</f>
        <v>-61956.497076266052</v>
      </c>
      <c r="AE9" s="645">
        <f>$E$53*DCF!AD40</f>
        <v>-64982.824527878664</v>
      </c>
      <c r="AF9" s="646">
        <f>$E$53*DCF!AE40</f>
        <v>-68069.678528523524</v>
      </c>
      <c r="AG9" s="653">
        <f>SUM(D9:AF9)</f>
        <v>-942949.43473159289</v>
      </c>
      <c r="AH9" s="7"/>
      <c r="AI9" s="7"/>
      <c r="AJ9" s="7"/>
      <c r="AK9" s="11"/>
      <c r="AL9" s="11"/>
      <c r="AM9" s="11"/>
      <c r="AN9" s="11"/>
    </row>
    <row r="10" spans="1:40" ht="15">
      <c r="A10" s="982"/>
      <c r="B10" s="330" t="s">
        <v>400</v>
      </c>
      <c r="C10" s="324" t="s">
        <v>401</v>
      </c>
      <c r="D10" s="638">
        <v>-4780</v>
      </c>
      <c r="E10" s="639">
        <v>-5176</v>
      </c>
      <c r="F10" s="640">
        <v>-5097</v>
      </c>
      <c r="G10" s="641">
        <f>F38*$D$54</f>
        <v>-4833.5105353370045</v>
      </c>
      <c r="H10" s="647">
        <f t="shared" ref="H10:J10" si="5">G38*$D$54</f>
        <v>-5097.1992948766638</v>
      </c>
      <c r="I10" s="647">
        <f t="shared" si="5"/>
        <v>-5375.2734087874842</v>
      </c>
      <c r="J10" s="648">
        <f t="shared" si="5"/>
        <v>-5668.5176599352399</v>
      </c>
      <c r="K10" s="644">
        <f t="shared" ref="K10:AF10" si="6">J38*$E$54</f>
        <v>-4382.9800359574556</v>
      </c>
      <c r="L10" s="645">
        <f t="shared" si="6"/>
        <v>-4558.2992373957541</v>
      </c>
      <c r="M10" s="645">
        <f t="shared" si="6"/>
        <v>-4740.631206891584</v>
      </c>
      <c r="N10" s="645">
        <f t="shared" si="6"/>
        <v>-4930.2564551672476</v>
      </c>
      <c r="O10" s="645">
        <f t="shared" si="6"/>
        <v>-5127.4667133739367</v>
      </c>
      <c r="P10" s="645">
        <f t="shared" si="6"/>
        <v>-5332.5653819088939</v>
      </c>
      <c r="Q10" s="645">
        <f t="shared" si="6"/>
        <v>-5545.8679971852507</v>
      </c>
      <c r="R10" s="645">
        <f t="shared" si="6"/>
        <v>-5767.7027170726597</v>
      </c>
      <c r="S10" s="645">
        <f t="shared" si="6"/>
        <v>-5998.4108257555663</v>
      </c>
      <c r="T10" s="645">
        <f t="shared" si="6"/>
        <v>-6238.3472587857887</v>
      </c>
      <c r="U10" s="645">
        <f t="shared" si="6"/>
        <v>-6487.8811491372207</v>
      </c>
      <c r="V10" s="645">
        <f t="shared" si="6"/>
        <v>-6747.396395102709</v>
      </c>
      <c r="W10" s="645">
        <f t="shared" si="6"/>
        <v>-7017.2922509068167</v>
      </c>
      <c r="X10" s="645">
        <f t="shared" si="6"/>
        <v>-7297.9839409430897</v>
      </c>
      <c r="Y10" s="645">
        <f t="shared" si="6"/>
        <v>-7589.9032985808135</v>
      </c>
      <c r="Z10" s="645">
        <f t="shared" si="6"/>
        <v>-7893.4994305240461</v>
      </c>
      <c r="AA10" s="645">
        <f t="shared" si="6"/>
        <v>-8209.2394077450081</v>
      </c>
      <c r="AB10" s="645">
        <f t="shared" si="6"/>
        <v>-8537.6089840548084</v>
      </c>
      <c r="AC10" s="645">
        <f t="shared" si="6"/>
        <v>-8879.1133434170006</v>
      </c>
      <c r="AD10" s="645">
        <f t="shared" si="6"/>
        <v>-9234.2778771536796</v>
      </c>
      <c r="AE10" s="645">
        <f t="shared" si="6"/>
        <v>-9603.6489922398268</v>
      </c>
      <c r="AF10" s="646">
        <f t="shared" si="6"/>
        <v>-9987.7949519294198</v>
      </c>
      <c r="AG10" s="652"/>
      <c r="AH10" s="7"/>
      <c r="AI10" s="7"/>
      <c r="AJ10" s="7"/>
      <c r="AK10" s="11"/>
      <c r="AL10" s="11"/>
      <c r="AM10" s="11"/>
      <c r="AN10" s="11"/>
    </row>
    <row r="11" spans="1:40" ht="15">
      <c r="A11" s="982"/>
      <c r="B11" s="330" t="s">
        <v>402</v>
      </c>
      <c r="C11" s="324" t="s">
        <v>403</v>
      </c>
      <c r="D11" s="638">
        <f>D20</f>
        <v>-1193</v>
      </c>
      <c r="E11" s="639">
        <f>E20</f>
        <v>-1315</v>
      </c>
      <c r="F11" s="640">
        <f>F20</f>
        <v>-1336</v>
      </c>
      <c r="G11" s="641">
        <f>G6*$D$55</f>
        <v>-1305.3486624224886</v>
      </c>
      <c r="H11" s="647">
        <f t="shared" ref="H11:AF11" si="7">H6*$D$55</f>
        <v>-1352.9006494107364</v>
      </c>
      <c r="I11" s="647">
        <f t="shared" si="7"/>
        <v>-1404.4397217692408</v>
      </c>
      <c r="J11" s="648">
        <f t="shared" si="7"/>
        <v>-1460.282920230065</v>
      </c>
      <c r="K11" s="641">
        <f t="shared" si="7"/>
        <v>-1520.780355496739</v>
      </c>
      <c r="L11" s="647">
        <f t="shared" si="7"/>
        <v>-1586.318747007432</v>
      </c>
      <c r="M11" s="647">
        <f t="shared" si="7"/>
        <v>-1657.3253956830029</v>
      </c>
      <c r="N11" s="647">
        <f t="shared" si="7"/>
        <v>-1731.9050384887378</v>
      </c>
      <c r="O11" s="647">
        <f t="shared" si="7"/>
        <v>-1801.1812400282872</v>
      </c>
      <c r="P11" s="647">
        <f t="shared" si="7"/>
        <v>-1864.2225834292772</v>
      </c>
      <c r="Q11" s="647">
        <f t="shared" si="7"/>
        <v>-1920.1492609321554</v>
      </c>
      <c r="R11" s="647">
        <f t="shared" si="7"/>
        <v>-1968.1529924554593</v>
      </c>
      <c r="S11" s="647">
        <f t="shared" si="7"/>
        <v>-2007.5160523045686</v>
      </c>
      <c r="T11" s="647">
        <f t="shared" si="7"/>
        <v>-2047.66637335066</v>
      </c>
      <c r="U11" s="647">
        <f t="shared" si="7"/>
        <v>-2088.6197008176732</v>
      </c>
      <c r="V11" s="647">
        <f t="shared" si="7"/>
        <v>-2130.3920948340269</v>
      </c>
      <c r="W11" s="647">
        <f t="shared" si="7"/>
        <v>-2172.9999367307073</v>
      </c>
      <c r="X11" s="647">
        <f t="shared" si="7"/>
        <v>-2216.4599354653215</v>
      </c>
      <c r="Y11" s="647">
        <f t="shared" si="7"/>
        <v>-2260.7891341746281</v>
      </c>
      <c r="Z11" s="647">
        <f t="shared" si="7"/>
        <v>-2306.0049168581204</v>
      </c>
      <c r="AA11" s="647">
        <f t="shared" si="7"/>
        <v>-2352.1250151952831</v>
      </c>
      <c r="AB11" s="647">
        <f t="shared" si="7"/>
        <v>-2399.1675154991885</v>
      </c>
      <c r="AC11" s="647">
        <f t="shared" si="7"/>
        <v>-2447.150865809172</v>
      </c>
      <c r="AD11" s="647">
        <f t="shared" si="7"/>
        <v>-2496.0938831253557</v>
      </c>
      <c r="AE11" s="647">
        <f t="shared" si="7"/>
        <v>-2546.0157607878627</v>
      </c>
      <c r="AF11" s="648">
        <f t="shared" si="7"/>
        <v>-2596.9360760036202</v>
      </c>
      <c r="AG11" s="652"/>
      <c r="AH11" s="7"/>
      <c r="AI11" s="7"/>
      <c r="AJ11" s="7"/>
      <c r="AK11" s="11"/>
      <c r="AL11" s="11"/>
      <c r="AM11" s="11"/>
      <c r="AN11" s="11"/>
    </row>
    <row r="12" spans="1:40" ht="15">
      <c r="A12" s="982"/>
      <c r="B12" s="330">
        <v>6</v>
      </c>
      <c r="C12" s="307" t="s">
        <v>404</v>
      </c>
      <c r="D12" s="359">
        <f t="shared" ref="D12:AF12" si="8">D8-D9-D10</f>
        <v>30593</v>
      </c>
      <c r="E12" s="360">
        <f t="shared" si="8"/>
        <v>34621</v>
      </c>
      <c r="F12" s="406">
        <f t="shared" si="8"/>
        <v>27862</v>
      </c>
      <c r="G12" s="423">
        <f>G8-G9-G10</f>
        <v>29555.697601396107</v>
      </c>
      <c r="H12" s="424">
        <f>H8-H9-H10</f>
        <v>32628.127431239649</v>
      </c>
      <c r="I12" s="424">
        <f t="shared" si="8"/>
        <v>35276.135447383604</v>
      </c>
      <c r="J12" s="425">
        <f t="shared" si="8"/>
        <v>38060.20322803584</v>
      </c>
      <c r="K12" s="423">
        <f t="shared" si="8"/>
        <v>38899.670213819634</v>
      </c>
      <c r="L12" s="424">
        <f t="shared" si="8"/>
        <v>41778.884617336837</v>
      </c>
      <c r="M12" s="424">
        <f>M8-M9-M10</f>
        <v>44816.527578630048</v>
      </c>
      <c r="N12" s="424">
        <f t="shared" si="8"/>
        <v>47965.767954517367</v>
      </c>
      <c r="O12" s="424">
        <f t="shared" si="8"/>
        <v>51031.745599756025</v>
      </c>
      <c r="P12" s="424">
        <f t="shared" si="8"/>
        <v>54102.91708493833</v>
      </c>
      <c r="Q12" s="424">
        <f t="shared" si="8"/>
        <v>57162.179967368138</v>
      </c>
      <c r="R12" s="424">
        <f t="shared" si="8"/>
        <v>60192.480586062178</v>
      </c>
      <c r="S12" s="424">
        <f t="shared" si="8"/>
        <v>63177.115026775326</v>
      </c>
      <c r="T12" s="424">
        <f t="shared" si="8"/>
        <v>66347.82305391322</v>
      </c>
      <c r="U12" s="424">
        <f t="shared" si="8"/>
        <v>69586.743970254494</v>
      </c>
      <c r="V12" s="424">
        <f t="shared" si="8"/>
        <v>72895.433982729606</v>
      </c>
      <c r="W12" s="424">
        <f t="shared" si="8"/>
        <v>76275.488100373535</v>
      </c>
      <c r="X12" s="424">
        <f t="shared" si="8"/>
        <v>79728.541217486432</v>
      </c>
      <c r="Y12" s="424">
        <f t="shared" si="8"/>
        <v>83256.269230742299</v>
      </c>
      <c r="Z12" s="424">
        <f t="shared" si="8"/>
        <v>86860.390191416052</v>
      </c>
      <c r="AA12" s="424">
        <f t="shared" si="8"/>
        <v>90542.665493942128</v>
      </c>
      <c r="AB12" s="424">
        <f t="shared" si="8"/>
        <v>94304.901102063159</v>
      </c>
      <c r="AC12" s="424">
        <f t="shared" si="8"/>
        <v>98148.948813872819</v>
      </c>
      <c r="AD12" s="424">
        <f t="shared" si="8"/>
        <v>102076.70756710588</v>
      </c>
      <c r="AE12" s="424">
        <f t="shared" si="8"/>
        <v>106090.12478607838</v>
      </c>
      <c r="AF12" s="425">
        <f t="shared" si="8"/>
        <v>110191.19777173203</v>
      </c>
      <c r="AG12" s="386"/>
      <c r="AH12" s="7"/>
      <c r="AI12" s="7"/>
      <c r="AJ12" s="7"/>
      <c r="AK12" s="11"/>
      <c r="AL12" s="11"/>
      <c r="AM12" s="11"/>
      <c r="AN12" s="11"/>
    </row>
    <row r="13" spans="1:40" ht="15">
      <c r="A13" s="982"/>
      <c r="B13" s="330">
        <v>7</v>
      </c>
      <c r="C13" s="324" t="s">
        <v>405</v>
      </c>
      <c r="D13" s="635">
        <f>'Fin. Data'!D14</f>
        <v>-4588</v>
      </c>
      <c r="E13" s="636">
        <f>'Fin. Data'!C14</f>
        <v>-4281</v>
      </c>
      <c r="F13" s="637">
        <f>'Fin. Data'!B14</f>
        <v>-3896</v>
      </c>
      <c r="G13" s="645">
        <f>F43*$D$58-F44*$D$57</f>
        <v>-3897.379896819989</v>
      </c>
      <c r="H13" s="645">
        <f>G43*$D$58-G44*$D$57</f>
        <v>-3807.0092120283834</v>
      </c>
      <c r="I13" s="645">
        <f t="shared" ref="I13" si="9">H43*$D$58-H44*$D$57</f>
        <v>-3628.1915811476506</v>
      </c>
      <c r="J13" s="646">
        <f>I43*$D$58-I44*$D$57</f>
        <v>-3389.5501501336753</v>
      </c>
      <c r="K13" s="644">
        <f>J43*$E$58-J44*$E$57</f>
        <v>-4007.1143254871427</v>
      </c>
      <c r="L13" s="645">
        <f t="shared" ref="L13:AF13" si="10">K43*$E$58-K44*$E$57</f>
        <v>-3704.551281275124</v>
      </c>
      <c r="M13" s="645">
        <f t="shared" si="10"/>
        <v>-3575.0123991125224</v>
      </c>
      <c r="N13" s="645">
        <f t="shared" si="10"/>
        <v>-3521.5207565501937</v>
      </c>
      <c r="O13" s="645">
        <f t="shared" si="10"/>
        <v>-3426.3003661647817</v>
      </c>
      <c r="P13" s="645">
        <f t="shared" si="10"/>
        <v>-3275.9099414414168</v>
      </c>
      <c r="Q13" s="645">
        <f t="shared" si="10"/>
        <v>-3070.7373898087053</v>
      </c>
      <c r="R13" s="645">
        <f t="shared" si="10"/>
        <v>-2806.3796593088182</v>
      </c>
      <c r="S13" s="645">
        <f t="shared" si="10"/>
        <v>-2478.7874245682251</v>
      </c>
      <c r="T13" s="645">
        <f t="shared" si="10"/>
        <v>-2084.0754781844676</v>
      </c>
      <c r="U13" s="645">
        <f t="shared" si="10"/>
        <v>-1629.0535850610786</v>
      </c>
      <c r="V13" s="645">
        <f t="shared" si="10"/>
        <v>-1107.9233999813721</v>
      </c>
      <c r="W13" s="645">
        <f t="shared" si="10"/>
        <v>-518.62809900949719</v>
      </c>
      <c r="X13" s="645">
        <f t="shared" si="10"/>
        <v>140.89146707982854</v>
      </c>
      <c r="Y13" s="645">
        <f t="shared" si="10"/>
        <v>872.79330052148748</v>
      </c>
      <c r="Z13" s="645">
        <f t="shared" si="10"/>
        <v>1679.2841678133268</v>
      </c>
      <c r="AA13" s="645">
        <f t="shared" si="10"/>
        <v>2562.6239437207796</v>
      </c>
      <c r="AB13" s="645">
        <f t="shared" si="10"/>
        <v>3525.1429462583392</v>
      </c>
      <c r="AC13" s="645">
        <f t="shared" si="10"/>
        <v>4569.2323485938359</v>
      </c>
      <c r="AD13" s="645">
        <f t="shared" si="10"/>
        <v>5413.1188891232505</v>
      </c>
      <c r="AE13" s="645">
        <f t="shared" si="10"/>
        <v>6318.9197205804212</v>
      </c>
      <c r="AF13" s="646">
        <f t="shared" si="10"/>
        <v>7288.3211380852044</v>
      </c>
      <c r="AG13" s="652"/>
      <c r="AH13" s="7"/>
      <c r="AI13" s="7"/>
      <c r="AJ13" s="7"/>
      <c r="AK13" s="11"/>
      <c r="AL13" s="11"/>
      <c r="AM13" s="11"/>
      <c r="AN13" s="11"/>
    </row>
    <row r="14" spans="1:40" ht="15">
      <c r="A14" s="982"/>
      <c r="B14" s="330">
        <v>8</v>
      </c>
      <c r="C14" s="324" t="s">
        <v>406</v>
      </c>
      <c r="D14" s="399">
        <f>'Fin. Data'!D15</f>
        <v>1160</v>
      </c>
      <c r="E14" s="396">
        <f>'Fin. Data'!C15</f>
        <v>2556</v>
      </c>
      <c r="F14" s="407">
        <f>'Fin. Data'!B15</f>
        <v>-861</v>
      </c>
      <c r="G14" s="411">
        <f>AVERAGE(D14:F14)*(1+G5)</f>
        <v>984.97499999999991</v>
      </c>
      <c r="H14" s="409">
        <f t="shared" ref="H14:AF14" si="11">AVERAGE(E14:G14)*(1+H5)</f>
        <v>925.86755357142852</v>
      </c>
      <c r="I14" s="409">
        <f t="shared" si="11"/>
        <v>363.27885187074833</v>
      </c>
      <c r="J14" s="412">
        <f t="shared" si="11"/>
        <v>788.18160139412566</v>
      </c>
      <c r="K14" s="411">
        <f t="shared" si="11"/>
        <v>721.12957951603062</v>
      </c>
      <c r="L14" s="409">
        <f t="shared" si="11"/>
        <v>651.09658203278923</v>
      </c>
      <c r="M14" s="409">
        <f t="shared" si="11"/>
        <v>752.37057649155929</v>
      </c>
      <c r="N14" s="409">
        <f t="shared" si="11"/>
        <v>740.06786375073193</v>
      </c>
      <c r="O14" s="409">
        <f t="shared" si="11"/>
        <v>743.09214105536114</v>
      </c>
      <c r="P14" s="409">
        <f t="shared" si="11"/>
        <v>771.25805054768989</v>
      </c>
      <c r="Q14" s="409">
        <f t="shared" si="11"/>
        <v>774.01686567146555</v>
      </c>
      <c r="R14" s="409">
        <f t="shared" si="11"/>
        <v>781.85874456879299</v>
      </c>
      <c r="S14" s="409">
        <f t="shared" si="11"/>
        <v>791.22544466790248</v>
      </c>
      <c r="T14" s="409">
        <f t="shared" si="11"/>
        <v>798.01435866877478</v>
      </c>
      <c r="U14" s="409">
        <f t="shared" si="11"/>
        <v>806.17350628785994</v>
      </c>
      <c r="V14" s="409">
        <f t="shared" si="11"/>
        <v>814.4405252723426</v>
      </c>
      <c r="W14" s="409">
        <f t="shared" si="11"/>
        <v>822.33365267785234</v>
      </c>
      <c r="X14" s="409">
        <f t="shared" si="11"/>
        <v>830.60221264093855</v>
      </c>
      <c r="Y14" s="409">
        <f t="shared" si="11"/>
        <v>838.90797280098536</v>
      </c>
      <c r="Z14" s="409">
        <f t="shared" si="11"/>
        <v>847.22690496072403</v>
      </c>
      <c r="AA14" s="409">
        <f t="shared" si="11"/>
        <v>855.69061073690034</v>
      </c>
      <c r="AB14" s="409">
        <f t="shared" si="11"/>
        <v>864.22066608952741</v>
      </c>
      <c r="AC14" s="409">
        <f t="shared" si="11"/>
        <v>872.82698180763157</v>
      </c>
      <c r="AD14" s="409">
        <f t="shared" si="11"/>
        <v>881.53100793558008</v>
      </c>
      <c r="AE14" s="409">
        <f t="shared" si="11"/>
        <v>890.31674298313135</v>
      </c>
      <c r="AF14" s="412">
        <f t="shared" si="11"/>
        <v>899.18940912695655</v>
      </c>
      <c r="AG14" s="652"/>
      <c r="AH14" s="7"/>
      <c r="AI14" s="7"/>
      <c r="AJ14" s="7"/>
      <c r="AK14" s="11"/>
      <c r="AL14" s="11"/>
      <c r="AM14" s="11"/>
      <c r="AN14" s="11"/>
    </row>
    <row r="15" spans="1:40" ht="15">
      <c r="A15" s="982"/>
      <c r="B15" s="330">
        <v>9</v>
      </c>
      <c r="C15" s="307" t="s">
        <v>407</v>
      </c>
      <c r="D15" s="359">
        <f t="shared" ref="D15:AF15" si="12">D8+D13+D14</f>
        <v>14065</v>
      </c>
      <c r="E15" s="360">
        <f t="shared" si="12"/>
        <v>19092</v>
      </c>
      <c r="F15" s="405">
        <f>F8+F13+F14</f>
        <v>9284</v>
      </c>
      <c r="G15" s="423">
        <f>G8+G13+G14</f>
        <v>12922.890173180009</v>
      </c>
      <c r="H15" s="424">
        <f t="shared" si="12"/>
        <v>14128.88184953951</v>
      </c>
      <c r="I15" s="424">
        <f t="shared" si="12"/>
        <v>14421.507302754077</v>
      </c>
      <c r="J15" s="425">
        <f t="shared" si="12"/>
        <v>15817.821924951626</v>
      </c>
      <c r="K15" s="423">
        <f t="shared" si="12"/>
        <v>15927.034334526606</v>
      </c>
      <c r="L15" s="424">
        <f t="shared" si="12"/>
        <v>17019.626957956298</v>
      </c>
      <c r="M15" s="424">
        <f t="shared" si="12"/>
        <v>18182.457794998627</v>
      </c>
      <c r="N15" s="424">
        <f t="shared" si="12"/>
        <v>19173.87856155567</v>
      </c>
      <c r="O15" s="424">
        <f t="shared" si="12"/>
        <v>20041.085077312127</v>
      </c>
      <c r="P15" s="424">
        <f t="shared" si="12"/>
        <v>20901.916467651001</v>
      </c>
      <c r="Q15" s="424">
        <f t="shared" si="12"/>
        <v>21695.577419418416</v>
      </c>
      <c r="R15" s="424">
        <f t="shared" si="12"/>
        <v>22448.205325015464</v>
      </c>
      <c r="S15" s="424">
        <f t="shared" si="12"/>
        <v>23152.852049213448</v>
      </c>
      <c r="T15" s="424">
        <f t="shared" si="12"/>
        <v>24051.161190180355</v>
      </c>
      <c r="U15" s="424">
        <f t="shared" si="12"/>
        <v>25021.086677116753</v>
      </c>
      <c r="V15" s="424">
        <f t="shared" si="12"/>
        <v>26067.363216298738</v>
      </c>
      <c r="W15" s="424">
        <f t="shared" si="12"/>
        <v>27191.768566496281</v>
      </c>
      <c r="X15" s="424">
        <f t="shared" si="12"/>
        <v>28397.31795280525</v>
      </c>
      <c r="Y15" s="424">
        <f t="shared" si="12"/>
        <v>29686.042031868645</v>
      </c>
      <c r="Z15" s="424">
        <f t="shared" si="12"/>
        <v>31060.338646491149</v>
      </c>
      <c r="AA15" s="424">
        <f t="shared" si="12"/>
        <v>32522.818679649121</v>
      </c>
      <c r="AB15" s="424">
        <f t="shared" si="12"/>
        <v>34075.957820043128</v>
      </c>
      <c r="AC15" s="424">
        <f t="shared" si="12"/>
        <v>35722.385422250642</v>
      </c>
      <c r="AD15" s="424">
        <f t="shared" si="12"/>
        <v>37180.582510744985</v>
      </c>
      <c r="AE15" s="424">
        <f t="shared" si="12"/>
        <v>38712.887729523434</v>
      </c>
      <c r="AF15" s="425">
        <f t="shared" si="12"/>
        <v>40321.23483849124</v>
      </c>
      <c r="AG15" s="652"/>
      <c r="AH15" s="7"/>
      <c r="AI15" s="7"/>
      <c r="AJ15" s="7"/>
      <c r="AK15" s="11"/>
      <c r="AL15" s="11"/>
      <c r="AM15" s="11"/>
      <c r="AN15" s="11"/>
    </row>
    <row r="16" spans="1:40" ht="15">
      <c r="A16" s="982"/>
      <c r="B16" s="330">
        <v>10</v>
      </c>
      <c r="C16" s="324" t="s">
        <v>408</v>
      </c>
      <c r="D16" s="632">
        <f>'Fin. Data'!D21</f>
        <v>-3364</v>
      </c>
      <c r="E16" s="633">
        <f>'Fin. Data'!C21</f>
        <v>-5259</v>
      </c>
      <c r="F16" s="634">
        <f>'Fin. Data'!B21</f>
        <v>-4359</v>
      </c>
      <c r="G16" s="607">
        <f>-(1*$D$56)*G15</f>
        <v>-3077.6862726126815</v>
      </c>
      <c r="H16" s="705">
        <f>-(1*$D$56)*H15</f>
        <v>-3364.9025204857717</v>
      </c>
      <c r="I16" s="542">
        <f t="shared" ref="I16:J16" si="13">-(1*$D$56)*I15</f>
        <v>-3434.5935360640556</v>
      </c>
      <c r="J16" s="543">
        <f t="shared" si="13"/>
        <v>-3767.136665920917</v>
      </c>
      <c r="K16" s="541">
        <f>-(1*$E$56)*K15</f>
        <v>-4300.2992703221844</v>
      </c>
      <c r="L16" s="542">
        <f t="shared" ref="L16:AF16" si="14">-(1*$E$56)*L15</f>
        <v>-4595.2992786482009</v>
      </c>
      <c r="M16" s="542">
        <f t="shared" si="14"/>
        <v>-4909.26360464963</v>
      </c>
      <c r="N16" s="542">
        <f t="shared" si="14"/>
        <v>-5176.9472116200313</v>
      </c>
      <c r="O16" s="542">
        <f t="shared" si="14"/>
        <v>-5411.0929708742751</v>
      </c>
      <c r="P16" s="542">
        <f t="shared" si="14"/>
        <v>-5643.5174462657706</v>
      </c>
      <c r="Q16" s="542">
        <f t="shared" si="14"/>
        <v>-5857.8059032429728</v>
      </c>
      <c r="R16" s="542">
        <f t="shared" si="14"/>
        <v>-6061.0154377541758</v>
      </c>
      <c r="S16" s="542">
        <f t="shared" si="14"/>
        <v>-6251.2700532876315</v>
      </c>
      <c r="T16" s="542">
        <f t="shared" si="14"/>
        <v>-6493.8135213486967</v>
      </c>
      <c r="U16" s="542">
        <f t="shared" si="14"/>
        <v>-6755.6934028215237</v>
      </c>
      <c r="V16" s="542">
        <f t="shared" si="14"/>
        <v>-7038.1880684006601</v>
      </c>
      <c r="W16" s="542">
        <f t="shared" si="14"/>
        <v>-7341.7775129539959</v>
      </c>
      <c r="X16" s="542">
        <f t="shared" si="14"/>
        <v>-7667.2758472574178</v>
      </c>
      <c r="Y16" s="542">
        <f t="shared" si="14"/>
        <v>-8015.231348604535</v>
      </c>
      <c r="Z16" s="542">
        <f t="shared" si="14"/>
        <v>-8386.2914345526115</v>
      </c>
      <c r="AA16" s="542">
        <f t="shared" si="14"/>
        <v>-8781.1610435052626</v>
      </c>
      <c r="AB16" s="542">
        <f t="shared" si="14"/>
        <v>-9200.5086114116457</v>
      </c>
      <c r="AC16" s="542">
        <f t="shared" si="14"/>
        <v>-9645.044064007674</v>
      </c>
      <c r="AD16" s="542">
        <f t="shared" si="14"/>
        <v>-10038.757277901146</v>
      </c>
      <c r="AE16" s="542">
        <f t="shared" si="14"/>
        <v>-10452.479686971328</v>
      </c>
      <c r="AF16" s="543">
        <f t="shared" si="14"/>
        <v>-10886.733406392636</v>
      </c>
      <c r="AG16" s="652"/>
      <c r="AH16" s="7"/>
      <c r="AI16" s="7"/>
      <c r="AJ16" s="7"/>
      <c r="AK16" s="11"/>
      <c r="AL16" s="11"/>
      <c r="AM16" s="11"/>
      <c r="AN16" s="11"/>
    </row>
    <row r="17" spans="1:40" ht="15.75" thickBot="1">
      <c r="A17" s="982"/>
      <c r="B17" s="331">
        <v>11</v>
      </c>
      <c r="C17" s="337" t="s">
        <v>409</v>
      </c>
      <c r="D17" s="400">
        <f>'Fin. Data'!D23</f>
        <v>10701</v>
      </c>
      <c r="E17" s="401">
        <f>'Fin. Data'!C23</f>
        <v>13833</v>
      </c>
      <c r="F17" s="408">
        <f>'Fin. Data'!B23</f>
        <v>4925</v>
      </c>
      <c r="G17" s="415">
        <f t="shared" ref="G17:AF17" si="15">G16+G15</f>
        <v>9845.2039005673269</v>
      </c>
      <c r="H17" s="416">
        <f t="shared" si="15"/>
        <v>10763.979329053738</v>
      </c>
      <c r="I17" s="416">
        <f t="shared" si="15"/>
        <v>10986.913766690021</v>
      </c>
      <c r="J17" s="417">
        <f t="shared" si="15"/>
        <v>12050.68525903071</v>
      </c>
      <c r="K17" s="415">
        <f t="shared" si="15"/>
        <v>11626.735064204422</v>
      </c>
      <c r="L17" s="416">
        <f t="shared" si="15"/>
        <v>12424.327679308097</v>
      </c>
      <c r="M17" s="416">
        <f t="shared" si="15"/>
        <v>13273.194190348997</v>
      </c>
      <c r="N17" s="416">
        <f t="shared" si="15"/>
        <v>13996.931349935639</v>
      </c>
      <c r="O17" s="416">
        <f t="shared" si="15"/>
        <v>14629.992106437852</v>
      </c>
      <c r="P17" s="416">
        <f t="shared" si="15"/>
        <v>15258.39902138523</v>
      </c>
      <c r="Q17" s="416">
        <f t="shared" si="15"/>
        <v>15837.771516175442</v>
      </c>
      <c r="R17" s="416">
        <f t="shared" si="15"/>
        <v>16387.189887261287</v>
      </c>
      <c r="S17" s="416">
        <f t="shared" si="15"/>
        <v>16901.581995925815</v>
      </c>
      <c r="T17" s="416">
        <f t="shared" si="15"/>
        <v>17557.347668831659</v>
      </c>
      <c r="U17" s="416">
        <f t="shared" si="15"/>
        <v>18265.393274295231</v>
      </c>
      <c r="V17" s="416">
        <f t="shared" si="15"/>
        <v>19029.175147898077</v>
      </c>
      <c r="W17" s="416">
        <f t="shared" si="15"/>
        <v>19849.991053542286</v>
      </c>
      <c r="X17" s="416">
        <f t="shared" si="15"/>
        <v>20730.042105547833</v>
      </c>
      <c r="Y17" s="416">
        <f t="shared" si="15"/>
        <v>21670.81068326411</v>
      </c>
      <c r="Z17" s="416">
        <f t="shared" si="15"/>
        <v>22674.047211938538</v>
      </c>
      <c r="AA17" s="416">
        <f t="shared" si="15"/>
        <v>23741.657636143857</v>
      </c>
      <c r="AB17" s="416">
        <f t="shared" si="15"/>
        <v>24875.449208631482</v>
      </c>
      <c r="AC17" s="416">
        <f t="shared" si="15"/>
        <v>26077.341358242968</v>
      </c>
      <c r="AD17" s="416">
        <f t="shared" si="15"/>
        <v>27141.825232843839</v>
      </c>
      <c r="AE17" s="416">
        <f t="shared" si="15"/>
        <v>28260.408042552106</v>
      </c>
      <c r="AF17" s="417">
        <f t="shared" si="15"/>
        <v>29434.501432098605</v>
      </c>
      <c r="AG17" s="652"/>
      <c r="AH17" s="7"/>
      <c r="AI17" s="7"/>
      <c r="AJ17" s="7"/>
      <c r="AK17" s="11"/>
      <c r="AL17" s="11"/>
      <c r="AM17" s="11"/>
      <c r="AN17" s="11"/>
    </row>
    <row r="18" spans="1:40" ht="15.75" thickBot="1">
      <c r="A18" s="311"/>
      <c r="B18" s="326"/>
      <c r="C18" s="327" t="s">
        <v>410</v>
      </c>
      <c r="D18" s="335" t="s">
        <v>410</v>
      </c>
      <c r="E18" s="335" t="s">
        <v>410</v>
      </c>
      <c r="F18" s="335" t="s">
        <v>410</v>
      </c>
      <c r="G18" s="332" t="s">
        <v>410</v>
      </c>
      <c r="H18" s="332" t="s">
        <v>410</v>
      </c>
      <c r="I18" s="332" t="s">
        <v>410</v>
      </c>
      <c r="J18" s="332" t="s">
        <v>410</v>
      </c>
      <c r="K18" s="332" t="s">
        <v>410</v>
      </c>
      <c r="L18" s="332" t="s">
        <v>410</v>
      </c>
      <c r="M18" s="332" t="s">
        <v>410</v>
      </c>
      <c r="N18" s="332" t="s">
        <v>410</v>
      </c>
      <c r="O18" s="332" t="s">
        <v>410</v>
      </c>
      <c r="P18" s="332" t="s">
        <v>410</v>
      </c>
      <c r="Q18" s="332" t="s">
        <v>410</v>
      </c>
      <c r="R18" s="332" t="s">
        <v>410</v>
      </c>
      <c r="S18" s="332" t="s">
        <v>410</v>
      </c>
      <c r="T18" s="332" t="s">
        <v>410</v>
      </c>
      <c r="U18" s="332" t="s">
        <v>410</v>
      </c>
      <c r="V18" s="332" t="s">
        <v>410</v>
      </c>
      <c r="W18" s="332" t="s">
        <v>410</v>
      </c>
      <c r="X18" s="332" t="s">
        <v>410</v>
      </c>
      <c r="Y18" s="332" t="s">
        <v>410</v>
      </c>
      <c r="Z18" s="332" t="s">
        <v>410</v>
      </c>
      <c r="AA18" s="332" t="s">
        <v>410</v>
      </c>
      <c r="AB18" s="332" t="s">
        <v>410</v>
      </c>
      <c r="AC18" s="332" t="s">
        <v>410</v>
      </c>
      <c r="AD18" s="332" t="s">
        <v>410</v>
      </c>
      <c r="AE18" s="332" t="s">
        <v>410</v>
      </c>
      <c r="AF18" s="342" t="s">
        <v>410</v>
      </c>
      <c r="AG18" s="652"/>
      <c r="AH18" s="7"/>
      <c r="AI18" s="7"/>
      <c r="AJ18" s="7"/>
      <c r="AK18" s="11"/>
      <c r="AL18" s="11"/>
      <c r="AM18" s="11"/>
      <c r="AN18" s="11"/>
    </row>
    <row r="19" spans="1:40" ht="15">
      <c r="A19" s="983" t="s">
        <v>411</v>
      </c>
      <c r="B19" s="300">
        <v>12</v>
      </c>
      <c r="C19" s="560" t="s">
        <v>412</v>
      </c>
      <c r="D19" s="426">
        <f>D17-D9-D10-550-D11+24737-23073</f>
        <v>26108</v>
      </c>
      <c r="E19" s="426">
        <f>E17-E9-E10+1892-E11+29146-28030</f>
        <v>31960</v>
      </c>
      <c r="F19" s="426">
        <f>F17-F9-F10-F11+8583+2090</f>
        <v>30755</v>
      </c>
      <c r="G19" s="628">
        <f>G17-G10-G9-G11</f>
        <v>24870.955094385921</v>
      </c>
      <c r="H19" s="649">
        <f t="shared" ref="H19:AE19" si="16">H17-H10-H9-H11</f>
        <v>27734.983901707659</v>
      </c>
      <c r="I19" s="649">
        <f t="shared" si="16"/>
        <v>29981.068903811891</v>
      </c>
      <c r="J19" s="650">
        <f>J17-J10-J9-J11</f>
        <v>33151.980933605439</v>
      </c>
      <c r="K19" s="628">
        <f t="shared" si="16"/>
        <v>32834.166553023075</v>
      </c>
      <c r="L19" s="649">
        <f t="shared" si="16"/>
        <v>35716.449386453736</v>
      </c>
      <c r="M19" s="649">
        <f t="shared" si="16"/>
        <v>38741.947547042451</v>
      </c>
      <c r="N19" s="649">
        <f t="shared" si="16"/>
        <v>41739.272888586616</v>
      </c>
      <c r="O19" s="649">
        <f t="shared" si="16"/>
        <v>44738.625643800617</v>
      </c>
      <c r="P19" s="649">
        <f t="shared" si="16"/>
        <v>47818.970331208111</v>
      </c>
      <c r="Q19" s="649">
        <f t="shared" si="16"/>
        <v>50927.802800920079</v>
      </c>
      <c r="R19" s="649">
        <f t="shared" si="16"/>
        <v>54075.097226023427</v>
      </c>
      <c r="S19" s="649">
        <f t="shared" si="16"/>
        <v>57245.799045891945</v>
      </c>
      <c r="T19" s="649">
        <f t="shared" si="16"/>
        <v>60615.614786399499</v>
      </c>
      <c r="U19" s="649">
        <f t="shared" si="16"/>
        <v>64096.790189477433</v>
      </c>
      <c r="V19" s="649">
        <f t="shared" si="16"/>
        <v>67694.155134453948</v>
      </c>
      <c r="W19" s="649">
        <f t="shared" si="16"/>
        <v>71410.416077818605</v>
      </c>
      <c r="X19" s="649">
        <f t="shared" si="16"/>
        <v>75249.218985415107</v>
      </c>
      <c r="Y19" s="649">
        <f t="shared" si="16"/>
        <v>79213.528289634865</v>
      </c>
      <c r="Z19" s="649">
        <f t="shared" si="16"/>
        <v>83306.614746495601</v>
      </c>
      <c r="AA19" s="649">
        <f t="shared" si="16"/>
        <v>87531.944020089839</v>
      </c>
      <c r="AB19" s="649">
        <f t="shared" si="16"/>
        <v>91892.923618498564</v>
      </c>
      <c r="AC19" s="649">
        <f t="shared" si="16"/>
        <v>96393.114946075773</v>
      </c>
      <c r="AD19" s="649">
        <f t="shared" si="16"/>
        <v>100828.69406938893</v>
      </c>
      <c r="AE19" s="649">
        <f t="shared" si="16"/>
        <v>105392.89732345847</v>
      </c>
      <c r="AF19" s="651">
        <f>AF17-AF10-AF9-AF11</f>
        <v>110088.91098855517</v>
      </c>
      <c r="AG19" s="652"/>
      <c r="AH19" s="7"/>
      <c r="AI19" s="7"/>
      <c r="AJ19" s="7"/>
      <c r="AK19" s="11"/>
      <c r="AL19" s="11"/>
      <c r="AM19" s="11"/>
      <c r="AN19" s="11"/>
    </row>
    <row r="20" spans="1:40" ht="15">
      <c r="A20" s="984"/>
      <c r="B20" s="300">
        <v>13</v>
      </c>
      <c r="C20" s="324" t="s">
        <v>413</v>
      </c>
      <c r="D20" s="353">
        <v>-1193</v>
      </c>
      <c r="E20" s="354">
        <v>-1315</v>
      </c>
      <c r="F20" s="427">
        <v>-1336</v>
      </c>
      <c r="G20" s="628">
        <f>G11</f>
        <v>-1305.3486624224886</v>
      </c>
      <c r="H20" s="649">
        <f t="shared" ref="H20:AF20" si="17">H11</f>
        <v>-1352.9006494107364</v>
      </c>
      <c r="I20" s="649">
        <f t="shared" si="17"/>
        <v>-1404.4397217692408</v>
      </c>
      <c r="J20" s="650">
        <f t="shared" si="17"/>
        <v>-1460.282920230065</v>
      </c>
      <c r="K20" s="628">
        <f t="shared" si="17"/>
        <v>-1520.780355496739</v>
      </c>
      <c r="L20" s="649">
        <f t="shared" si="17"/>
        <v>-1586.318747007432</v>
      </c>
      <c r="M20" s="649">
        <f t="shared" si="17"/>
        <v>-1657.3253956830029</v>
      </c>
      <c r="N20" s="649">
        <f t="shared" si="17"/>
        <v>-1731.9050384887378</v>
      </c>
      <c r="O20" s="649">
        <f t="shared" si="17"/>
        <v>-1801.1812400282872</v>
      </c>
      <c r="P20" s="649">
        <f t="shared" si="17"/>
        <v>-1864.2225834292772</v>
      </c>
      <c r="Q20" s="649">
        <f t="shared" si="17"/>
        <v>-1920.1492609321554</v>
      </c>
      <c r="R20" s="649">
        <f t="shared" si="17"/>
        <v>-1968.1529924554593</v>
      </c>
      <c r="S20" s="649">
        <f t="shared" si="17"/>
        <v>-2007.5160523045686</v>
      </c>
      <c r="T20" s="649">
        <f t="shared" si="17"/>
        <v>-2047.66637335066</v>
      </c>
      <c r="U20" s="649">
        <f t="shared" si="17"/>
        <v>-2088.6197008176732</v>
      </c>
      <c r="V20" s="649">
        <f t="shared" si="17"/>
        <v>-2130.3920948340269</v>
      </c>
      <c r="W20" s="649">
        <f t="shared" si="17"/>
        <v>-2172.9999367307073</v>
      </c>
      <c r="X20" s="649">
        <f t="shared" si="17"/>
        <v>-2216.4599354653215</v>
      </c>
      <c r="Y20" s="649">
        <f t="shared" si="17"/>
        <v>-2260.7891341746281</v>
      </c>
      <c r="Z20" s="649">
        <f t="shared" si="17"/>
        <v>-2306.0049168581204</v>
      </c>
      <c r="AA20" s="649">
        <f t="shared" si="17"/>
        <v>-2352.1250151952831</v>
      </c>
      <c r="AB20" s="649">
        <f t="shared" si="17"/>
        <v>-2399.1675154991885</v>
      </c>
      <c r="AC20" s="649">
        <f t="shared" si="17"/>
        <v>-2447.150865809172</v>
      </c>
      <c r="AD20" s="649">
        <f t="shared" si="17"/>
        <v>-2496.0938831253557</v>
      </c>
      <c r="AE20" s="649">
        <f t="shared" si="17"/>
        <v>-2546.0157607878627</v>
      </c>
      <c r="AF20" s="651">
        <f t="shared" si="17"/>
        <v>-2596.9360760036202</v>
      </c>
      <c r="AG20" s="652"/>
      <c r="AH20" s="7"/>
      <c r="AI20" s="7"/>
      <c r="AJ20" s="7"/>
      <c r="AK20" s="11"/>
      <c r="AL20" s="11"/>
      <c r="AM20" s="11"/>
      <c r="AN20" s="11"/>
    </row>
    <row r="21" spans="1:40" ht="15">
      <c r="A21" s="984"/>
      <c r="B21" s="300">
        <v>14</v>
      </c>
      <c r="C21" s="324" t="s">
        <v>414</v>
      </c>
      <c r="D21" s="358">
        <f>Inputs!D62</f>
        <v>-178</v>
      </c>
      <c r="E21" s="357">
        <f>Inputs!C62</f>
        <v>-1499</v>
      </c>
      <c r="F21" s="430">
        <f>Inputs!B62</f>
        <v>-3006</v>
      </c>
      <c r="G21" s="466">
        <f>$D$60*(G6-F6)</f>
        <v>-573.28206119864842</v>
      </c>
      <c r="H21" s="586">
        <f t="shared" ref="H21:J21" si="18">$D$60*(H6-G6)</f>
        <v>-617.56517551777017</v>
      </c>
      <c r="I21" s="586">
        <f t="shared" si="18"/>
        <v>-669.34608379180975</v>
      </c>
      <c r="J21" s="587">
        <f t="shared" si="18"/>
        <v>-725.24445019418067</v>
      </c>
      <c r="K21" s="413">
        <f t="shared" ref="K21:AF21" si="19">$E$60*(K6-J6)</f>
        <v>-785.6897596744393</v>
      </c>
      <c r="L21" s="410">
        <f t="shared" si="19"/>
        <v>-851.1574556591363</v>
      </c>
      <c r="M21" s="410">
        <f t="shared" si="19"/>
        <v>-922.17457628206046</v>
      </c>
      <c r="N21" s="410">
        <f t="shared" si="19"/>
        <v>-968.57761613114496</v>
      </c>
      <c r="O21" s="410">
        <f t="shared" si="19"/>
        <v>-899.700985650711</v>
      </c>
      <c r="P21" s="410">
        <f t="shared" si="19"/>
        <v>-818.72789694214259</v>
      </c>
      <c r="Q21" s="410">
        <f t="shared" si="19"/>
        <v>-726.32860571581784</v>
      </c>
      <c r="R21" s="410">
        <f t="shared" si="19"/>
        <v>-623.43205323940981</v>
      </c>
      <c r="S21" s="410">
        <f t="shared" si="19"/>
        <v>-511.21428365631783</v>
      </c>
      <c r="T21" s="410">
        <f t="shared" si="19"/>
        <v>-521.43856932944459</v>
      </c>
      <c r="U21" s="410">
        <f t="shared" si="19"/>
        <v>-531.86734071603178</v>
      </c>
      <c r="V21" s="410">
        <f t="shared" si="19"/>
        <v>-542.50468753035477</v>
      </c>
      <c r="W21" s="410">
        <f t="shared" si="19"/>
        <v>-553.35478128095963</v>
      </c>
      <c r="X21" s="410">
        <f t="shared" si="19"/>
        <v>-564.42187690657795</v>
      </c>
      <c r="Y21" s="410">
        <f t="shared" si="19"/>
        <v>-575.71031444470941</v>
      </c>
      <c r="Z21" s="410">
        <f t="shared" si="19"/>
        <v>-587.22452073360523</v>
      </c>
      <c r="AA21" s="410">
        <f t="shared" si="19"/>
        <v>-598.96901114827676</v>
      </c>
      <c r="AB21" s="410">
        <f t="shared" si="19"/>
        <v>-610.94839137124143</v>
      </c>
      <c r="AC21" s="410">
        <f t="shared" si="19"/>
        <v>-623.16735919866608</v>
      </c>
      <c r="AD21" s="410">
        <f t="shared" si="19"/>
        <v>-635.63070638264219</v>
      </c>
      <c r="AE21" s="410">
        <f t="shared" si="19"/>
        <v>-648.34332051029219</v>
      </c>
      <c r="AF21" s="414">
        <f t="shared" si="19"/>
        <v>-661.31018692049781</v>
      </c>
      <c r="AG21" s="652"/>
      <c r="AH21" s="7"/>
      <c r="AI21" s="7"/>
      <c r="AJ21" s="7"/>
      <c r="AK21" s="11"/>
      <c r="AL21" s="11"/>
      <c r="AM21" s="11"/>
      <c r="AN21" s="11"/>
    </row>
    <row r="22" spans="1:40" ht="15">
      <c r="A22" s="984"/>
      <c r="B22" s="300">
        <v>15</v>
      </c>
      <c r="C22" s="333" t="s">
        <v>415</v>
      </c>
      <c r="D22" s="355">
        <f t="shared" ref="D22:AF22" si="20">D19+D20+D21</f>
        <v>24737</v>
      </c>
      <c r="E22" s="356">
        <f t="shared" si="20"/>
        <v>29146</v>
      </c>
      <c r="F22" s="428">
        <f t="shared" si="20"/>
        <v>26413</v>
      </c>
      <c r="G22" s="582">
        <f>G19+G20+G21</f>
        <v>22992.324370764782</v>
      </c>
      <c r="H22" s="583">
        <f t="shared" si="20"/>
        <v>25764.51807677915</v>
      </c>
      <c r="I22" s="583">
        <f t="shared" si="20"/>
        <v>27907.283098250839</v>
      </c>
      <c r="J22" s="584">
        <f t="shared" si="20"/>
        <v>30966.453563181196</v>
      </c>
      <c r="K22" s="582">
        <f t="shared" si="20"/>
        <v>30527.696437851897</v>
      </c>
      <c r="L22" s="583">
        <f t="shared" si="20"/>
        <v>33278.973183787166</v>
      </c>
      <c r="M22" s="583">
        <f t="shared" si="20"/>
        <v>36162.447575077393</v>
      </c>
      <c r="N22" s="583">
        <f t="shared" si="20"/>
        <v>39038.790233966734</v>
      </c>
      <c r="O22" s="583">
        <f t="shared" si="20"/>
        <v>42037.743418121616</v>
      </c>
      <c r="P22" s="583">
        <f t="shared" si="20"/>
        <v>45136.019850836688</v>
      </c>
      <c r="Q22" s="583">
        <f t="shared" si="20"/>
        <v>48281.324934272103</v>
      </c>
      <c r="R22" s="583">
        <f t="shared" si="20"/>
        <v>51483.512180328558</v>
      </c>
      <c r="S22" s="583">
        <f t="shared" si="20"/>
        <v>54727.06870993106</v>
      </c>
      <c r="T22" s="583">
        <f t="shared" si="20"/>
        <v>58046.509843719396</v>
      </c>
      <c r="U22" s="583">
        <f t="shared" si="20"/>
        <v>61476.303147943727</v>
      </c>
      <c r="V22" s="583">
        <f t="shared" si="20"/>
        <v>65021.258352089571</v>
      </c>
      <c r="W22" s="583">
        <f t="shared" si="20"/>
        <v>68684.061359806947</v>
      </c>
      <c r="X22" s="583">
        <f t="shared" si="20"/>
        <v>72468.337173043212</v>
      </c>
      <c r="Y22" s="583">
        <f t="shared" si="20"/>
        <v>76377.028841015534</v>
      </c>
      <c r="Z22" s="583">
        <f t="shared" si="20"/>
        <v>80413.385308903875</v>
      </c>
      <c r="AA22" s="583">
        <f t="shared" si="20"/>
        <v>84580.849993746277</v>
      </c>
      <c r="AB22" s="583">
        <f t="shared" si="20"/>
        <v>88882.807711628135</v>
      </c>
      <c r="AC22" s="583">
        <f t="shared" si="20"/>
        <v>93322.796721067934</v>
      </c>
      <c r="AD22" s="583">
        <f t="shared" si="20"/>
        <v>97696.969479880936</v>
      </c>
      <c r="AE22" s="583">
        <f t="shared" si="20"/>
        <v>102198.53824216031</v>
      </c>
      <c r="AF22" s="585">
        <f t="shared" si="20"/>
        <v>106830.66472563105</v>
      </c>
      <c r="AG22" s="652"/>
      <c r="AH22" s="7"/>
      <c r="AI22" s="7"/>
      <c r="AJ22" s="7"/>
      <c r="AK22" s="11"/>
      <c r="AL22" s="11"/>
      <c r="AM22" s="11"/>
      <c r="AN22" s="11"/>
    </row>
    <row r="23" spans="1:40" ht="15">
      <c r="A23" s="984"/>
      <c r="B23" s="300">
        <v>16</v>
      </c>
      <c r="C23" s="324" t="s">
        <v>416</v>
      </c>
      <c r="D23" s="383">
        <f>'Fin. Data'!D32</f>
        <v>-9179</v>
      </c>
      <c r="E23" s="382">
        <f>'Fin. Data'!C32</f>
        <v>-9174</v>
      </c>
      <c r="F23" s="429">
        <f>'Fin. Data'!B32</f>
        <v>-10626</v>
      </c>
      <c r="G23" s="410">
        <f>G6*$D$62</f>
        <v>-11304.555597623439</v>
      </c>
      <c r="H23" s="410">
        <f>H6*$D$62</f>
        <v>-11716.364408679723</v>
      </c>
      <c r="I23" s="410">
        <f t="shared" ref="I23:J23" si="21">I6*$D$62</f>
        <v>-12162.702100438952</v>
      </c>
      <c r="J23" s="557">
        <f t="shared" si="21"/>
        <v>-12646.314303004021</v>
      </c>
      <c r="K23" s="413">
        <f t="shared" ref="K23:AF23" si="22">K6*$E$62</f>
        <v>-13170.233038414188</v>
      </c>
      <c r="L23" s="410">
        <f t="shared" si="22"/>
        <v>-13737.807366974419</v>
      </c>
      <c r="M23" s="410">
        <f t="shared" si="22"/>
        <v>-14352.73779197232</v>
      </c>
      <c r="N23" s="410">
        <f t="shared" si="22"/>
        <v>-14998.610992611075</v>
      </c>
      <c r="O23" s="410">
        <f t="shared" si="22"/>
        <v>-15598.555432315517</v>
      </c>
      <c r="P23" s="410">
        <f t="shared" si="22"/>
        <v>-16144.504872446558</v>
      </c>
      <c r="Q23" s="410">
        <f t="shared" si="22"/>
        <v>-16628.840018619954</v>
      </c>
      <c r="R23" s="410">
        <f t="shared" si="22"/>
        <v>-17044.561019085453</v>
      </c>
      <c r="S23" s="410">
        <f t="shared" si="22"/>
        <v>-17385.452239467162</v>
      </c>
      <c r="T23" s="410">
        <f t="shared" si="22"/>
        <v>-17733.161284256508</v>
      </c>
      <c r="U23" s="410">
        <f t="shared" si="22"/>
        <v>-18087.824509941638</v>
      </c>
      <c r="V23" s="410">
        <f t="shared" si="22"/>
        <v>-18449.581000140472</v>
      </c>
      <c r="W23" s="410">
        <f t="shared" si="22"/>
        <v>-18818.572620143281</v>
      </c>
      <c r="X23" s="410">
        <f t="shared" si="22"/>
        <v>-19194.944072546146</v>
      </c>
      <c r="Y23" s="410">
        <f t="shared" si="22"/>
        <v>-19578.842953997071</v>
      </c>
      <c r="Z23" s="410">
        <f t="shared" si="22"/>
        <v>-19970.419813077013</v>
      </c>
      <c r="AA23" s="410">
        <f t="shared" si="22"/>
        <v>-20369.828209338553</v>
      </c>
      <c r="AB23" s="410">
        <f t="shared" si="22"/>
        <v>-20777.224773525322</v>
      </c>
      <c r="AC23" s="410">
        <f t="shared" si="22"/>
        <v>-21192.769268995828</v>
      </c>
      <c r="AD23" s="410">
        <f t="shared" si="22"/>
        <v>-21616.624654375744</v>
      </c>
      <c r="AE23" s="410">
        <f t="shared" si="22"/>
        <v>-22048.957147463261</v>
      </c>
      <c r="AF23" s="414">
        <f t="shared" si="22"/>
        <v>-22489.936290412526</v>
      </c>
      <c r="AG23" s="653">
        <f>SUM(D23:AF23)</f>
        <v>-476198.92577986617</v>
      </c>
      <c r="AH23" s="7"/>
      <c r="AI23" s="7"/>
      <c r="AJ23" s="7"/>
      <c r="AK23" s="11"/>
      <c r="AL23" s="11"/>
      <c r="AM23" s="11"/>
      <c r="AN23" s="11"/>
    </row>
    <row r="24" spans="1:40" ht="15">
      <c r="A24" s="984"/>
      <c r="B24" s="300">
        <v>17</v>
      </c>
      <c r="C24" s="324" t="s">
        <v>417</v>
      </c>
      <c r="D24" s="358">
        <f>Inputs!D66</f>
        <v>-233</v>
      </c>
      <c r="E24" s="357">
        <f>'Fin. Data'!C33</f>
        <v>-1374</v>
      </c>
      <c r="F24" s="430">
        <f>'Fin. Data'!B33</f>
        <v>-12</v>
      </c>
      <c r="G24" s="413">
        <f>G6*$D$63</f>
        <v>-555.0998263560416</v>
      </c>
      <c r="H24" s="410">
        <f t="shared" ref="H24:J24" si="23">H6*$D$63</f>
        <v>-575.32132003044035</v>
      </c>
      <c r="I24" s="410">
        <f t="shared" si="23"/>
        <v>-597.23832269826664</v>
      </c>
      <c r="J24" s="557">
        <f t="shared" si="23"/>
        <v>-620.9856560055548</v>
      </c>
      <c r="K24" s="413">
        <f t="shared" ref="K24:AF24" si="24">K6*$E$63</f>
        <v>-6895.7318130202384</v>
      </c>
      <c r="L24" s="410">
        <f t="shared" si="24"/>
        <v>-7192.9050173432533</v>
      </c>
      <c r="M24" s="410">
        <f t="shared" si="24"/>
        <v>-7514.8731466909994</v>
      </c>
      <c r="N24" s="410">
        <f t="shared" si="24"/>
        <v>-7853.0424382920928</v>
      </c>
      <c r="O24" s="410">
        <f t="shared" si="24"/>
        <v>-8167.1641358237775</v>
      </c>
      <c r="P24" s="410">
        <f t="shared" si="24"/>
        <v>-8453.014880577608</v>
      </c>
      <c r="Q24" s="410">
        <f t="shared" si="24"/>
        <v>-8706.6053269949371</v>
      </c>
      <c r="R24" s="410">
        <f t="shared" si="24"/>
        <v>-8924.2704601698097</v>
      </c>
      <c r="S24" s="410">
        <f t="shared" si="24"/>
        <v>-9102.7558693732062</v>
      </c>
      <c r="T24" s="410">
        <f t="shared" si="24"/>
        <v>-9284.8109867606709</v>
      </c>
      <c r="U24" s="410">
        <f t="shared" si="24"/>
        <v>-9470.507206495884</v>
      </c>
      <c r="V24" s="410">
        <f t="shared" si="24"/>
        <v>-9659.917350625803</v>
      </c>
      <c r="W24" s="410">
        <f t="shared" si="24"/>
        <v>-9853.115697638319</v>
      </c>
      <c r="X24" s="410">
        <f t="shared" si="24"/>
        <v>-10050.178011591086</v>
      </c>
      <c r="Y24" s="410">
        <f t="shared" si="24"/>
        <v>-10251.181571822906</v>
      </c>
      <c r="Z24" s="410">
        <f t="shared" si="24"/>
        <v>-10456.205203259366</v>
      </c>
      <c r="AA24" s="410">
        <f t="shared" si="24"/>
        <v>-10665.329307324553</v>
      </c>
      <c r="AB24" s="410">
        <f t="shared" si="24"/>
        <v>-10878.635893471042</v>
      </c>
      <c r="AC24" s="410">
        <f t="shared" si="24"/>
        <v>-11096.208611340464</v>
      </c>
      <c r="AD24" s="410">
        <f t="shared" si="24"/>
        <v>-11318.132783567275</v>
      </c>
      <c r="AE24" s="410">
        <f t="shared" si="24"/>
        <v>-11544.495439238619</v>
      </c>
      <c r="AF24" s="414">
        <f t="shared" si="24"/>
        <v>-11775.38534802339</v>
      </c>
      <c r="AG24" s="652"/>
      <c r="AH24" s="654">
        <f>AG9-AG23</f>
        <v>-466750.50895172672</v>
      </c>
      <c r="AI24" s="7"/>
      <c r="AJ24" s="7"/>
      <c r="AK24" s="11"/>
      <c r="AL24" s="11"/>
      <c r="AM24" s="11"/>
      <c r="AN24" s="11"/>
    </row>
    <row r="25" spans="1:40" ht="15">
      <c r="A25" s="984"/>
      <c r="B25" s="300">
        <v>18</v>
      </c>
      <c r="C25" s="324" t="s">
        <v>418</v>
      </c>
      <c r="D25" s="358">
        <f>Inputs!D67</f>
        <v>-2635</v>
      </c>
      <c r="E25" s="357">
        <f>Inputs!C67</f>
        <v>-2898</v>
      </c>
      <c r="F25" s="430">
        <f>Inputs!B67</f>
        <v>-3502</v>
      </c>
      <c r="G25" s="413">
        <f>(1+G5)*AVERAGE(D25:F25)</f>
        <v>-3117.0749999999998</v>
      </c>
      <c r="H25" s="410">
        <f t="shared" ref="H25:AF25" si="25">(1+H5)*AVERAGE(E25:G25)</f>
        <v>-3287.9228154761909</v>
      </c>
      <c r="I25" s="410">
        <f t="shared" si="25"/>
        <v>-3428.1357520219199</v>
      </c>
      <c r="J25" s="557">
        <f t="shared" si="25"/>
        <v>-3408.0392293066857</v>
      </c>
      <c r="K25" s="413">
        <f t="shared" si="25"/>
        <v>-3514.5082351765218</v>
      </c>
      <c r="L25" s="410">
        <f t="shared" si="25"/>
        <v>-3598.9161247229335</v>
      </c>
      <c r="M25" s="410">
        <f t="shared" si="25"/>
        <v>-3664.1414467806785</v>
      </c>
      <c r="N25" s="410">
        <f t="shared" si="25"/>
        <v>-3754.1854226602459</v>
      </c>
      <c r="O25" s="410">
        <f t="shared" si="25"/>
        <v>-3819.3109046434711</v>
      </c>
      <c r="P25" s="410">
        <f t="shared" si="25"/>
        <v>-3876.9850320591163</v>
      </c>
      <c r="Q25" s="410">
        <f t="shared" si="25"/>
        <v>-3931.3319333812397</v>
      </c>
      <c r="R25" s="410">
        <f t="shared" si="25"/>
        <v>-3972.7728556119737</v>
      </c>
      <c r="S25" s="410">
        <f t="shared" si="25"/>
        <v>-4005.5705391577922</v>
      </c>
      <c r="T25" s="410">
        <f t="shared" si="25"/>
        <v>-4049.2896115713424</v>
      </c>
      <c r="U25" s="410">
        <f t="shared" si="25"/>
        <v>-4089.3952221559771</v>
      </c>
      <c r="V25" s="410">
        <f t="shared" si="25"/>
        <v>-4129.0468267809383</v>
      </c>
      <c r="W25" s="410">
        <f t="shared" si="25"/>
        <v>-4171.0287645728076</v>
      </c>
      <c r="X25" s="410">
        <f t="shared" si="25"/>
        <v>-4212.4200765933056</v>
      </c>
      <c r="Y25" s="410">
        <f t="shared" si="25"/>
        <v>-4254.2485271019978</v>
      </c>
      <c r="Z25" s="410">
        <f t="shared" si="25"/>
        <v>-4296.8171052111575</v>
      </c>
      <c r="AA25" s="410">
        <f t="shared" si="25"/>
        <v>-4339.5851410281966</v>
      </c>
      <c r="AB25" s="410">
        <f t="shared" si="25"/>
        <v>-4382.8212629360596</v>
      </c>
      <c r="AC25" s="410">
        <f t="shared" si="25"/>
        <v>-4426.5359931196408</v>
      </c>
      <c r="AD25" s="410">
        <f t="shared" si="25"/>
        <v>-4470.6404150085255</v>
      </c>
      <c r="AE25" s="410">
        <f t="shared" si="25"/>
        <v>-4515.1992081618373</v>
      </c>
      <c r="AF25" s="414">
        <f t="shared" si="25"/>
        <v>-4560.2077095386003</v>
      </c>
      <c r="AG25" s="386"/>
      <c r="AH25" s="7"/>
      <c r="AI25" s="7"/>
      <c r="AJ25" s="7"/>
      <c r="AK25" s="11"/>
      <c r="AL25" s="11"/>
      <c r="AM25" s="11"/>
      <c r="AN25" s="11"/>
    </row>
    <row r="26" spans="1:40" ht="15">
      <c r="A26" s="984"/>
      <c r="B26" s="300">
        <v>19</v>
      </c>
      <c r="C26" s="333" t="s">
        <v>419</v>
      </c>
      <c r="D26" s="355">
        <f t="shared" ref="D26:AF26" si="26">D23+D24+D25</f>
        <v>-12047</v>
      </c>
      <c r="E26" s="356">
        <f t="shared" si="26"/>
        <v>-13446</v>
      </c>
      <c r="F26" s="428">
        <f t="shared" si="26"/>
        <v>-14140</v>
      </c>
      <c r="G26" s="432">
        <f>G23+G24+G25</f>
        <v>-14976.730423979479</v>
      </c>
      <c r="H26" s="431">
        <f t="shared" si="26"/>
        <v>-15579.608544186354</v>
      </c>
      <c r="I26" s="431">
        <f t="shared" si="26"/>
        <v>-16188.076175159138</v>
      </c>
      <c r="J26" s="556">
        <f t="shared" si="26"/>
        <v>-16675.339188316262</v>
      </c>
      <c r="K26" s="432">
        <f t="shared" si="26"/>
        <v>-23580.473086610949</v>
      </c>
      <c r="L26" s="431">
        <f t="shared" si="26"/>
        <v>-24529.628509040609</v>
      </c>
      <c r="M26" s="431">
        <f t="shared" si="26"/>
        <v>-25531.752385443997</v>
      </c>
      <c r="N26" s="431">
        <f t="shared" si="26"/>
        <v>-26605.838853563411</v>
      </c>
      <c r="O26" s="431">
        <f t="shared" si="26"/>
        <v>-27585.030472782768</v>
      </c>
      <c r="P26" s="431">
        <f t="shared" si="26"/>
        <v>-28474.504785083282</v>
      </c>
      <c r="Q26" s="431">
        <f t="shared" si="26"/>
        <v>-29266.777278996131</v>
      </c>
      <c r="R26" s="431">
        <f t="shared" si="26"/>
        <v>-29941.604334867236</v>
      </c>
      <c r="S26" s="431">
        <f t="shared" si="26"/>
        <v>-30493.778647998159</v>
      </c>
      <c r="T26" s="431">
        <f t="shared" si="26"/>
        <v>-31067.261882588518</v>
      </c>
      <c r="U26" s="431">
        <f t="shared" si="26"/>
        <v>-31647.7269385935</v>
      </c>
      <c r="V26" s="431">
        <f t="shared" si="26"/>
        <v>-32238.545177547214</v>
      </c>
      <c r="W26" s="431">
        <f t="shared" si="26"/>
        <v>-32842.717082354407</v>
      </c>
      <c r="X26" s="431">
        <f t="shared" si="26"/>
        <v>-33457.54216073054</v>
      </c>
      <c r="Y26" s="431">
        <f t="shared" si="26"/>
        <v>-34084.273052921977</v>
      </c>
      <c r="Z26" s="431">
        <f t="shared" si="26"/>
        <v>-34723.442121547538</v>
      </c>
      <c r="AA26" s="431">
        <f t="shared" si="26"/>
        <v>-35374.742657691306</v>
      </c>
      <c r="AB26" s="431">
        <f t="shared" si="26"/>
        <v>-36038.68192993242</v>
      </c>
      <c r="AC26" s="431">
        <f t="shared" si="26"/>
        <v>-36715.513873455937</v>
      </c>
      <c r="AD26" s="431">
        <f t="shared" si="26"/>
        <v>-37405.397852951544</v>
      </c>
      <c r="AE26" s="431">
        <f t="shared" si="26"/>
        <v>-38108.651794863719</v>
      </c>
      <c r="AF26" s="381">
        <f t="shared" si="26"/>
        <v>-38825.529347974516</v>
      </c>
      <c r="AG26" s="652"/>
      <c r="AH26" s="7"/>
      <c r="AI26" s="7"/>
      <c r="AJ26" s="7"/>
      <c r="AK26" s="11"/>
      <c r="AL26" s="11"/>
      <c r="AM26" s="11"/>
      <c r="AN26" s="11"/>
    </row>
    <row r="27" spans="1:40" ht="15">
      <c r="A27" s="984"/>
      <c r="B27" s="300">
        <v>20</v>
      </c>
      <c r="C27" s="324" t="s">
        <v>420</v>
      </c>
      <c r="D27" s="358">
        <f>Inputs!D71+Inputs!D72</f>
        <v>0</v>
      </c>
      <c r="E27" s="357">
        <f>Inputs!C71+Inputs!C72</f>
        <v>0</v>
      </c>
      <c r="F27" s="429">
        <f>Inputs!B71+Inputs!B72</f>
        <v>0</v>
      </c>
      <c r="G27" s="433">
        <v>0</v>
      </c>
      <c r="H27" s="361">
        <v>0</v>
      </c>
      <c r="I27" s="361">
        <v>0</v>
      </c>
      <c r="J27" s="558">
        <v>0</v>
      </c>
      <c r="K27" s="433">
        <v>0</v>
      </c>
      <c r="L27" s="361">
        <v>0</v>
      </c>
      <c r="M27" s="361">
        <v>0</v>
      </c>
      <c r="N27" s="361">
        <v>0</v>
      </c>
      <c r="O27" s="361">
        <v>0</v>
      </c>
      <c r="P27" s="361">
        <v>0</v>
      </c>
      <c r="Q27" s="361">
        <v>0</v>
      </c>
      <c r="R27" s="361">
        <v>0</v>
      </c>
      <c r="S27" s="361">
        <v>0</v>
      </c>
      <c r="T27" s="361">
        <v>0</v>
      </c>
      <c r="U27" s="361">
        <v>0</v>
      </c>
      <c r="V27" s="361">
        <v>0</v>
      </c>
      <c r="W27" s="361">
        <v>0</v>
      </c>
      <c r="X27" s="361">
        <v>0</v>
      </c>
      <c r="Y27" s="361">
        <v>0</v>
      </c>
      <c r="Z27" s="361">
        <v>0</v>
      </c>
      <c r="AA27" s="361">
        <v>0</v>
      </c>
      <c r="AB27" s="361">
        <v>0</v>
      </c>
      <c r="AC27" s="361">
        <v>0</v>
      </c>
      <c r="AD27" s="361">
        <v>0</v>
      </c>
      <c r="AE27" s="361">
        <v>0</v>
      </c>
      <c r="AF27" s="362">
        <v>0</v>
      </c>
      <c r="AG27" s="652"/>
      <c r="AH27" s="7"/>
      <c r="AI27" s="7"/>
      <c r="AJ27" s="7"/>
      <c r="AK27" s="11"/>
      <c r="AL27" s="11"/>
      <c r="AM27" s="11"/>
      <c r="AN27" s="11"/>
    </row>
    <row r="28" spans="1:40" ht="15">
      <c r="A28" s="984"/>
      <c r="B28" s="300">
        <v>21</v>
      </c>
      <c r="C28" s="324" t="s">
        <v>421</v>
      </c>
      <c r="D28" s="383">
        <f>+SUM(Inputs!D69:D70)</f>
        <v>-133</v>
      </c>
      <c r="E28" s="357">
        <f>+SUM(Inputs!C69:C70)</f>
        <v>-8870</v>
      </c>
      <c r="F28" s="430">
        <f>+SUM(Inputs!B69:B70)</f>
        <v>438</v>
      </c>
      <c r="G28" s="413">
        <f>G44-F44</f>
        <v>-4532.6281552532455</v>
      </c>
      <c r="H28" s="410">
        <f t="shared" ref="H28:AF28" si="27">H44-G44</f>
        <v>-2604.9895510278002</v>
      </c>
      <c r="I28" s="410">
        <f>I44-H44</f>
        <v>-9694.0436752599489</v>
      </c>
      <c r="J28" s="557">
        <f t="shared" si="27"/>
        <v>-4457.891516780146</v>
      </c>
      <c r="K28" s="413">
        <f>K44-J44</f>
        <v>-9823.0736954215536</v>
      </c>
      <c r="L28" s="410">
        <f t="shared" si="27"/>
        <v>-2885.2695567846968</v>
      </c>
      <c r="M28" s="410">
        <f t="shared" si="27"/>
        <v>682.34027633545338</v>
      </c>
      <c r="N28" s="410">
        <f t="shared" si="27"/>
        <v>242.20780596796249</v>
      </c>
      <c r="O28" s="410">
        <f t="shared" si="27"/>
        <v>-504.20809211762389</v>
      </c>
      <c r="P28" s="410">
        <f t="shared" si="27"/>
        <v>-1110.6516292386077</v>
      </c>
      <c r="Q28" s="410">
        <f t="shared" si="27"/>
        <v>-1739.1762495780713</v>
      </c>
      <c r="R28" s="410">
        <f t="shared" si="27"/>
        <v>-2382.8873161733791</v>
      </c>
      <c r="S28" s="410">
        <f t="shared" si="27"/>
        <v>-3034.6136178930683</v>
      </c>
      <c r="T28" s="410">
        <f t="shared" si="27"/>
        <v>-3464.0742782534289</v>
      </c>
      <c r="U28" s="410">
        <f t="shared" si="27"/>
        <v>-4043.6455723183026</v>
      </c>
      <c r="V28" s="410">
        <f t="shared" si="27"/>
        <v>-4642.5913882928726</v>
      </c>
      <c r="W28" s="410">
        <f t="shared" si="27"/>
        <v>-5261.5109276865987</v>
      </c>
      <c r="X28" s="410">
        <f t="shared" si="27"/>
        <v>-5901.0222514809066</v>
      </c>
      <c r="Y28" s="410">
        <f t="shared" si="27"/>
        <v>-6561.7629164462996</v>
      </c>
      <c r="Z28" s="410">
        <f t="shared" si="27"/>
        <v>-7244.390634872103</v>
      </c>
      <c r="AA28" s="410">
        <f t="shared" si="27"/>
        <v>-7949.5839586363945</v>
      </c>
      <c r="AB28" s="410">
        <f t="shared" si="27"/>
        <v>-8678.0429885821122</v>
      </c>
      <c r="AC28" s="410">
        <f t="shared" si="27"/>
        <v>384.40477118102717</v>
      </c>
      <c r="AD28" s="410">
        <f t="shared" si="27"/>
        <v>392.77587532330654</v>
      </c>
      <c r="AE28" s="410">
        <f t="shared" si="27"/>
        <v>401.34172189724814</v>
      </c>
      <c r="AF28" s="414">
        <f t="shared" si="27"/>
        <v>410.10729856536636</v>
      </c>
      <c r="AG28" s="652"/>
      <c r="AH28" s="7"/>
      <c r="AI28" s="7"/>
      <c r="AJ28" s="7"/>
      <c r="AK28" s="11"/>
      <c r="AL28" s="11"/>
      <c r="AM28" s="11"/>
      <c r="AN28" s="11"/>
    </row>
    <row r="29" spans="1:40" ht="15">
      <c r="A29" s="984"/>
      <c r="B29" s="300">
        <v>22</v>
      </c>
      <c r="C29" s="324" t="s">
        <v>422</v>
      </c>
      <c r="D29" s="383">
        <f>'Fin. Data'!D28</f>
        <v>-534</v>
      </c>
      <c r="E29" s="357">
        <f>'Fin. Data'!C28</f>
        <v>-4672</v>
      </c>
      <c r="F29" s="429">
        <f>'Fin. Data'!B28</f>
        <v>-13328</v>
      </c>
      <c r="G29" s="413">
        <f>-G17*$D$65</f>
        <v>-2151.0915314070462</v>
      </c>
      <c r="H29" s="410">
        <f>-H17*$D$65</f>
        <v>-2351.8359815416047</v>
      </c>
      <c r="I29" s="410">
        <f>-I17*$D$65</f>
        <v>-2400.5452196337446</v>
      </c>
      <c r="J29" s="557">
        <f>-J17*$D$65</f>
        <v>-2632.9700502047426</v>
      </c>
      <c r="K29" s="413">
        <f t="shared" ref="K29:AF29" si="28">-K17*$E$65</f>
        <v>-2540.3406153002361</v>
      </c>
      <c r="L29" s="410">
        <f t="shared" si="28"/>
        <v>-2714.6076733713694</v>
      </c>
      <c r="M29" s="410">
        <f t="shared" si="28"/>
        <v>-2900.0776323114687</v>
      </c>
      <c r="N29" s="410">
        <f t="shared" si="28"/>
        <v>-3058.2079149013198</v>
      </c>
      <c r="O29" s="410">
        <f t="shared" si="28"/>
        <v>-3196.5261910824333</v>
      </c>
      <c r="P29" s="410">
        <f t="shared" si="28"/>
        <v>-3333.827643309648</v>
      </c>
      <c r="Q29" s="410">
        <f t="shared" si="28"/>
        <v>-3460.4155006725191</v>
      </c>
      <c r="R29" s="410">
        <f t="shared" si="28"/>
        <v>-3580.4586422040124</v>
      </c>
      <c r="S29" s="410">
        <f t="shared" si="28"/>
        <v>-3692.8488496538671</v>
      </c>
      <c r="T29" s="410">
        <f t="shared" si="28"/>
        <v>-3836.1279528417572</v>
      </c>
      <c r="U29" s="410">
        <f t="shared" si="28"/>
        <v>-3990.8297671612045</v>
      </c>
      <c r="V29" s="410">
        <f t="shared" si="28"/>
        <v>-4157.709471913141</v>
      </c>
      <c r="W29" s="410">
        <f t="shared" si="28"/>
        <v>-4337.0506172370806</v>
      </c>
      <c r="X29" s="410">
        <f t="shared" si="28"/>
        <v>-4529.3341274918457</v>
      </c>
      <c r="Y29" s="410">
        <f t="shared" si="28"/>
        <v>-4734.8838896885154</v>
      </c>
      <c r="Z29" s="410">
        <f t="shared" si="28"/>
        <v>-4954.0823565384917</v>
      </c>
      <c r="AA29" s="410">
        <f t="shared" si="28"/>
        <v>-5187.3459603748333</v>
      </c>
      <c r="AB29" s="410">
        <f t="shared" si="28"/>
        <v>-5435.0695702249322</v>
      </c>
      <c r="AC29" s="410">
        <f t="shared" si="28"/>
        <v>-5697.67256461745</v>
      </c>
      <c r="AD29" s="410">
        <f t="shared" si="28"/>
        <v>-5930.2530445241528</v>
      </c>
      <c r="AE29" s="410">
        <f t="shared" si="28"/>
        <v>-6174.6536718186571</v>
      </c>
      <c r="AF29" s="414">
        <f t="shared" si="28"/>
        <v>-6431.1828786123251</v>
      </c>
      <c r="AG29" s="652"/>
      <c r="AH29" s="7"/>
      <c r="AI29" s="7"/>
      <c r="AJ29" s="7"/>
      <c r="AK29" s="11"/>
      <c r="AL29" s="11"/>
      <c r="AM29" s="11"/>
      <c r="AN29" s="11"/>
    </row>
    <row r="30" spans="1:40" s="7" customFormat="1" ht="15">
      <c r="A30" s="984"/>
      <c r="B30" s="300">
        <v>23</v>
      </c>
      <c r="C30" s="324" t="s">
        <v>423</v>
      </c>
      <c r="D30" s="358">
        <f>'Fin. Data'!D27</f>
        <v>-4140</v>
      </c>
      <c r="E30" s="357">
        <f>'Fin. Data'!C27</f>
        <v>-4532</v>
      </c>
      <c r="F30" s="430">
        <f>'Fin. Data'!B27</f>
        <v>-4741</v>
      </c>
      <c r="G30" s="413">
        <f>-$D$64*G17</f>
        <v>-3212.6855372570044</v>
      </c>
      <c r="H30" s="410">
        <f t="shared" ref="H30:J30" si="29">-$D$64*H17</f>
        <v>-3512.5002044692606</v>
      </c>
      <c r="I30" s="410">
        <f t="shared" si="29"/>
        <v>-3585.2481384667817</v>
      </c>
      <c r="J30" s="557">
        <f t="shared" si="29"/>
        <v>-3932.3779006235914</v>
      </c>
      <c r="K30" s="413">
        <f t="shared" ref="K30:AF30" si="30">-$E$64*K17</f>
        <v>-3794.0345333158593</v>
      </c>
      <c r="L30" s="410">
        <f t="shared" si="30"/>
        <v>-4054.3048420921873</v>
      </c>
      <c r="M30" s="410">
        <f t="shared" si="30"/>
        <v>-4331.3068413017481</v>
      </c>
      <c r="N30" s="410">
        <f t="shared" si="30"/>
        <v>-4567.476648332914</v>
      </c>
      <c r="O30" s="410">
        <f t="shared" si="30"/>
        <v>-4774.0569443999602</v>
      </c>
      <c r="P30" s="410">
        <f t="shared" si="30"/>
        <v>-4979.1185995524147</v>
      </c>
      <c r="Q30" s="410">
        <f t="shared" si="30"/>
        <v>-5168.1793496898254</v>
      </c>
      <c r="R30" s="410">
        <f t="shared" si="30"/>
        <v>-5347.4654744382506</v>
      </c>
      <c r="S30" s="410">
        <f t="shared" si="30"/>
        <v>-5515.3218342126211</v>
      </c>
      <c r="T30" s="410">
        <f t="shared" si="30"/>
        <v>-5729.3111953728112</v>
      </c>
      <c r="U30" s="410">
        <f t="shared" si="30"/>
        <v>-5960.3605366932197</v>
      </c>
      <c r="V30" s="410">
        <f t="shared" si="30"/>
        <v>-6209.5977291094705</v>
      </c>
      <c r="W30" s="410">
        <f t="shared" si="30"/>
        <v>-6477.4462587536054</v>
      </c>
      <c r="X30" s="410">
        <f t="shared" si="30"/>
        <v>-6764.6243929376124</v>
      </c>
      <c r="Y30" s="410">
        <f t="shared" si="30"/>
        <v>-7071.6158614800524</v>
      </c>
      <c r="Z30" s="410">
        <f t="shared" si="30"/>
        <v>-7398.9918628988271</v>
      </c>
      <c r="AA30" s="410">
        <f t="shared" si="30"/>
        <v>-7747.3743447559673</v>
      </c>
      <c r="AB30" s="410">
        <f t="shared" si="30"/>
        <v>-8117.3530495123996</v>
      </c>
      <c r="AC30" s="410">
        <f t="shared" si="30"/>
        <v>-8509.5543249148359</v>
      </c>
      <c r="AD30" s="410">
        <f t="shared" si="30"/>
        <v>-8856.916551549517</v>
      </c>
      <c r="AE30" s="410">
        <f t="shared" si="30"/>
        <v>-9221.9323349978386</v>
      </c>
      <c r="AF30" s="414">
        <f t="shared" si="30"/>
        <v>-9605.0623229676894</v>
      </c>
      <c r="AG30" s="652"/>
      <c r="AK30" s="11"/>
      <c r="AL30" s="11"/>
      <c r="AM30" s="11"/>
      <c r="AN30" s="11"/>
    </row>
    <row r="31" spans="1:40" s="3" customFormat="1" ht="15">
      <c r="A31" s="984"/>
      <c r="B31" s="300">
        <v>24</v>
      </c>
      <c r="C31" s="324" t="s">
        <v>424</v>
      </c>
      <c r="D31" s="469">
        <f>Inputs!D75</f>
        <v>-1706</v>
      </c>
      <c r="E31" s="468">
        <f>Inputs!C75</f>
        <v>-544</v>
      </c>
      <c r="F31" s="467">
        <f>Inputs!B75</f>
        <v>1447</v>
      </c>
      <c r="G31" s="413">
        <f>(1+G5)*AVERAGE(D31:F31)</f>
        <v>-277.03500000000003</v>
      </c>
      <c r="H31" s="410">
        <f t="shared" ref="H31:AF31" si="31">(1+H5)*AVERAGE(E31:G31)</f>
        <v>216.25600357142855</v>
      </c>
      <c r="I31" s="410">
        <f t="shared" si="31"/>
        <v>479.67647425170065</v>
      </c>
      <c r="J31" s="557">
        <f t="shared" si="31"/>
        <v>145.18454648044485</v>
      </c>
      <c r="K31" s="625">
        <f t="shared" si="31"/>
        <v>291.98776700824067</v>
      </c>
      <c r="L31" s="626">
        <f t="shared" si="31"/>
        <v>318.78686818179619</v>
      </c>
      <c r="M31" s="626">
        <f t="shared" si="31"/>
        <v>263.26578485476779</v>
      </c>
      <c r="N31" s="626">
        <f t="shared" si="31"/>
        <v>304.45741298227358</v>
      </c>
      <c r="O31" s="626">
        <f t="shared" si="31"/>
        <v>307.32348955319702</v>
      </c>
      <c r="P31" s="626">
        <f t="shared" si="31"/>
        <v>301.89110714963226</v>
      </c>
      <c r="Q31" s="626">
        <f t="shared" si="31"/>
        <v>313.69405665855203</v>
      </c>
      <c r="R31" s="626">
        <f t="shared" si="31"/>
        <v>315.32712323180527</v>
      </c>
      <c r="S31" s="626">
        <f t="shared" si="31"/>
        <v>316.51017759359638</v>
      </c>
      <c r="T31" s="626">
        <f t="shared" si="31"/>
        <v>321.48066154454426</v>
      </c>
      <c r="U31" s="626">
        <f t="shared" si="31"/>
        <v>324.12810720578159</v>
      </c>
      <c r="V31" s="626">
        <f t="shared" si="31"/>
        <v>327.12044175693359</v>
      </c>
      <c r="W31" s="626">
        <f t="shared" si="31"/>
        <v>330.72793157246821</v>
      </c>
      <c r="X31" s="626">
        <f t="shared" si="31"/>
        <v>333.87200338196232</v>
      </c>
      <c r="Y31" s="626">
        <f t="shared" si="31"/>
        <v>337.18492808186375</v>
      </c>
      <c r="Z31" s="626">
        <f t="shared" si="31"/>
        <v>340.60685343234007</v>
      </c>
      <c r="AA31" s="626">
        <f t="shared" si="31"/>
        <v>343.96568686469647</v>
      </c>
      <c r="AB31" s="626">
        <f t="shared" si="31"/>
        <v>347.39753924882615</v>
      </c>
      <c r="AC31" s="626">
        <f t="shared" si="31"/>
        <v>350.86982704559335</v>
      </c>
      <c r="AD31" s="626">
        <f t="shared" si="31"/>
        <v>354.35923807409944</v>
      </c>
      <c r="AE31" s="626">
        <f t="shared" si="31"/>
        <v>357.8930454852964</v>
      </c>
      <c r="AF31" s="627">
        <f t="shared" si="31"/>
        <v>361.46151760569637</v>
      </c>
      <c r="AG31" s="652"/>
      <c r="AH31" s="675"/>
      <c r="AI31" s="675"/>
      <c r="AJ31" s="675"/>
      <c r="AK31" s="673"/>
      <c r="AL31" s="673"/>
      <c r="AM31" s="673"/>
      <c r="AN31" s="673"/>
    </row>
    <row r="32" spans="1:40" s="7" customFormat="1" ht="16.5" customHeight="1" thickBot="1">
      <c r="A32" s="985"/>
      <c r="B32" s="301">
        <v>25</v>
      </c>
      <c r="C32" s="334" t="s">
        <v>425</v>
      </c>
      <c r="D32" s="548">
        <f t="shared" ref="D32:AF32" si="32">D27+D28+D29+D30+D31</f>
        <v>-6513</v>
      </c>
      <c r="E32" s="549">
        <f t="shared" si="32"/>
        <v>-18618</v>
      </c>
      <c r="F32" s="550">
        <f t="shared" si="32"/>
        <v>-16184</v>
      </c>
      <c r="G32" s="553">
        <f t="shared" si="32"/>
        <v>-10173.440223917296</v>
      </c>
      <c r="H32" s="554">
        <f t="shared" si="32"/>
        <v>-8253.0697334672368</v>
      </c>
      <c r="I32" s="554">
        <f>I27+I28+I29+I30+I31</f>
        <v>-15200.160559108775</v>
      </c>
      <c r="J32" s="559">
        <f t="shared" si="32"/>
        <v>-10878.054921128036</v>
      </c>
      <c r="K32" s="553">
        <f t="shared" si="32"/>
        <v>-15865.461077029408</v>
      </c>
      <c r="L32" s="554">
        <f t="shared" si="32"/>
        <v>-9335.3952040664572</v>
      </c>
      <c r="M32" s="554">
        <f t="shared" si="32"/>
        <v>-6285.7784124229956</v>
      </c>
      <c r="N32" s="554">
        <f t="shared" si="32"/>
        <v>-7079.0193442839973</v>
      </c>
      <c r="O32" s="554">
        <f t="shared" si="32"/>
        <v>-8167.4677380468202</v>
      </c>
      <c r="P32" s="554">
        <f t="shared" si="32"/>
        <v>-9121.7067649510391</v>
      </c>
      <c r="Q32" s="554">
        <f t="shared" si="32"/>
        <v>-10054.077043281863</v>
      </c>
      <c r="R32" s="554">
        <f t="shared" si="32"/>
        <v>-10995.484309583835</v>
      </c>
      <c r="S32" s="554">
        <f t="shared" si="32"/>
        <v>-11926.274124165959</v>
      </c>
      <c r="T32" s="554">
        <f t="shared" si="32"/>
        <v>-12708.032764923453</v>
      </c>
      <c r="U32" s="554">
        <f t="shared" si="32"/>
        <v>-13670.707768966946</v>
      </c>
      <c r="V32" s="554">
        <f t="shared" si="32"/>
        <v>-14682.778147558553</v>
      </c>
      <c r="W32" s="554">
        <f t="shared" si="32"/>
        <v>-15745.279872104817</v>
      </c>
      <c r="X32" s="554">
        <f t="shared" si="32"/>
        <v>-16861.1087685284</v>
      </c>
      <c r="Y32" s="554">
        <f t="shared" si="32"/>
        <v>-18031.077739533004</v>
      </c>
      <c r="Z32" s="554">
        <f t="shared" si="32"/>
        <v>-19256.858000877084</v>
      </c>
      <c r="AA32" s="554">
        <f t="shared" si="32"/>
        <v>-20540.338576902501</v>
      </c>
      <c r="AB32" s="554">
        <f t="shared" si="32"/>
        <v>-21883.068069070618</v>
      </c>
      <c r="AC32" s="554">
        <f t="shared" si="32"/>
        <v>-13471.952291305664</v>
      </c>
      <c r="AD32" s="554">
        <f t="shared" si="32"/>
        <v>-14040.034482676263</v>
      </c>
      <c r="AE32" s="554">
        <f t="shared" si="32"/>
        <v>-14637.351239433952</v>
      </c>
      <c r="AF32" s="555">
        <f t="shared" si="32"/>
        <v>-15264.676385408953</v>
      </c>
      <c r="AG32" s="652"/>
      <c r="AK32" s="11"/>
      <c r="AL32" s="11"/>
      <c r="AM32" s="11"/>
      <c r="AN32" s="11"/>
    </row>
    <row r="33" spans="1:40" ht="13.5" thickBot="1">
      <c r="A33" s="970"/>
      <c r="B33" s="971"/>
      <c r="C33" s="971"/>
      <c r="D33" s="971"/>
      <c r="E33" s="971"/>
      <c r="F33" s="971"/>
      <c r="G33" s="972"/>
      <c r="H33" s="972"/>
      <c r="I33" s="972"/>
      <c r="J33" s="972"/>
      <c r="K33" s="973"/>
      <c r="L33" s="973"/>
      <c r="M33" s="973"/>
      <c r="N33" s="973"/>
      <c r="O33" s="973"/>
      <c r="P33" s="973"/>
      <c r="Q33" s="973"/>
      <c r="R33" s="973"/>
      <c r="S33" s="973"/>
      <c r="T33" s="973"/>
      <c r="U33" s="973"/>
      <c r="V33" s="973"/>
      <c r="W33" s="973"/>
      <c r="X33" s="973"/>
      <c r="Y33" s="973"/>
      <c r="Z33" s="973"/>
      <c r="AA33" s="973"/>
      <c r="AB33" s="973"/>
      <c r="AC33" s="973"/>
      <c r="AD33" s="973"/>
      <c r="AE33" s="973"/>
      <c r="AF33" s="974"/>
      <c r="AG33" s="7"/>
      <c r="AH33" s="7"/>
      <c r="AI33" s="7"/>
      <c r="AJ33" s="7"/>
      <c r="AK33" s="11"/>
      <c r="AL33" s="11"/>
      <c r="AM33" s="11"/>
      <c r="AN33" s="11"/>
    </row>
    <row r="34" spans="1:40" ht="15">
      <c r="A34" s="998" t="s">
        <v>426</v>
      </c>
      <c r="B34" s="300">
        <v>26</v>
      </c>
      <c r="C34" s="304" t="s">
        <v>427</v>
      </c>
      <c r="D34" s="544">
        <f>D22+D26+D27+D28+D31</f>
        <v>10851</v>
      </c>
      <c r="E34" s="545">
        <f t="shared" ref="E34:AE34" si="33">E22+E26+E27+E28+E31</f>
        <v>6286</v>
      </c>
      <c r="F34" s="595">
        <f t="shared" si="33"/>
        <v>14158</v>
      </c>
      <c r="G34" s="596">
        <f>G22+G26+G27+G28+G31</f>
        <v>3205.9307915320569</v>
      </c>
      <c r="H34" s="597">
        <f t="shared" si="33"/>
        <v>7796.1759851364241</v>
      </c>
      <c r="I34" s="597">
        <f t="shared" si="33"/>
        <v>2504.8397220834522</v>
      </c>
      <c r="J34" s="598">
        <f t="shared" si="33"/>
        <v>9978.4074045652324</v>
      </c>
      <c r="K34" s="594">
        <f>K22+K26+K27+K28+K31</f>
        <v>-2583.8625771723655</v>
      </c>
      <c r="L34" s="546">
        <f>L22+L26+L27+L28+L31</f>
        <v>6182.8619861436564</v>
      </c>
      <c r="M34" s="546">
        <f t="shared" si="33"/>
        <v>11576.301250823617</v>
      </c>
      <c r="N34" s="546">
        <f t="shared" si="33"/>
        <v>12979.61659935356</v>
      </c>
      <c r="O34" s="546">
        <f t="shared" si="33"/>
        <v>14255.828342774421</v>
      </c>
      <c r="P34" s="546">
        <f t="shared" si="33"/>
        <v>15852.754543664432</v>
      </c>
      <c r="Q34" s="546">
        <f t="shared" si="33"/>
        <v>17589.065462356451</v>
      </c>
      <c r="R34" s="546">
        <f t="shared" si="33"/>
        <v>19474.347652519747</v>
      </c>
      <c r="S34" s="546">
        <f t="shared" si="33"/>
        <v>21515.186621633431</v>
      </c>
      <c r="T34" s="546">
        <f t="shared" si="33"/>
        <v>23836.654344421993</v>
      </c>
      <c r="U34" s="546">
        <f t="shared" si="33"/>
        <v>26109.058744237707</v>
      </c>
      <c r="V34" s="546">
        <f t="shared" si="33"/>
        <v>28467.242228006417</v>
      </c>
      <c r="W34" s="546">
        <f t="shared" si="33"/>
        <v>30910.56128133841</v>
      </c>
      <c r="X34" s="546">
        <f t="shared" si="33"/>
        <v>33443.644764213728</v>
      </c>
      <c r="Y34" s="546">
        <f t="shared" si="33"/>
        <v>36068.177799729121</v>
      </c>
      <c r="Z34" s="546">
        <f t="shared" si="33"/>
        <v>38786.15940591658</v>
      </c>
      <c r="AA34" s="546">
        <f t="shared" si="33"/>
        <v>41600.489064283276</v>
      </c>
      <c r="AB34" s="546">
        <f>AB22+AB26+AB27+AB28+AB31</f>
        <v>44513.480332362429</v>
      </c>
      <c r="AC34" s="546">
        <f t="shared" si="33"/>
        <v>57342.557445838618</v>
      </c>
      <c r="AD34" s="546">
        <f t="shared" si="33"/>
        <v>61038.706740326801</v>
      </c>
      <c r="AE34" s="546">
        <f t="shared" si="33"/>
        <v>64849.121214679137</v>
      </c>
      <c r="AF34" s="547">
        <f>AF22+AF26+AF27+AF28+AF31</f>
        <v>68776.704193827609</v>
      </c>
      <c r="AG34" s="652"/>
      <c r="AH34" s="7"/>
      <c r="AI34" s="7"/>
      <c r="AJ34" s="7"/>
      <c r="AK34" s="11"/>
      <c r="AL34" s="11"/>
      <c r="AM34" s="11"/>
      <c r="AN34" s="11"/>
    </row>
    <row r="35" spans="1:40" s="3" customFormat="1" ht="15">
      <c r="A35" s="998"/>
      <c r="B35" s="300">
        <v>27</v>
      </c>
      <c r="C35" s="304" t="s">
        <v>428</v>
      </c>
      <c r="D35" s="437">
        <f>-1*(D29+D30)</f>
        <v>4674</v>
      </c>
      <c r="E35" s="434">
        <f t="shared" ref="E35:AF35" si="34">-1*(E29+E30)</f>
        <v>9204</v>
      </c>
      <c r="F35" s="441">
        <f t="shared" si="34"/>
        <v>18069</v>
      </c>
      <c r="G35" s="452">
        <f>-1*(G29+G30)</f>
        <v>5363.7770686640506</v>
      </c>
      <c r="H35" s="384">
        <f t="shared" si="34"/>
        <v>5864.3361860108653</v>
      </c>
      <c r="I35" s="384">
        <f t="shared" si="34"/>
        <v>5985.7933581005263</v>
      </c>
      <c r="J35" s="453">
        <f>-1*(J29+J30)</f>
        <v>6565.3479508283344</v>
      </c>
      <c r="K35" s="384">
        <f>-1*(K29+K30)</f>
        <v>6334.3751486160954</v>
      </c>
      <c r="L35" s="384">
        <f t="shared" si="34"/>
        <v>6768.9125154635567</v>
      </c>
      <c r="M35" s="384">
        <f t="shared" si="34"/>
        <v>7231.3844736132169</v>
      </c>
      <c r="N35" s="384">
        <f t="shared" si="34"/>
        <v>7625.6845632342338</v>
      </c>
      <c r="O35" s="384">
        <f t="shared" si="34"/>
        <v>7970.5831354823931</v>
      </c>
      <c r="P35" s="384">
        <f t="shared" si="34"/>
        <v>8312.9462428620627</v>
      </c>
      <c r="Q35" s="384">
        <f t="shared" si="34"/>
        <v>8628.594850362344</v>
      </c>
      <c r="R35" s="384">
        <f t="shared" si="34"/>
        <v>8927.9241166422635</v>
      </c>
      <c r="S35" s="384">
        <f t="shared" si="34"/>
        <v>9208.1706838664886</v>
      </c>
      <c r="T35" s="384">
        <f t="shared" si="34"/>
        <v>9565.4391482145693</v>
      </c>
      <c r="U35" s="384">
        <f t="shared" si="34"/>
        <v>9951.1903038544242</v>
      </c>
      <c r="V35" s="384">
        <f t="shared" si="34"/>
        <v>10367.307201022611</v>
      </c>
      <c r="W35" s="384">
        <f t="shared" si="34"/>
        <v>10814.496875990686</v>
      </c>
      <c r="X35" s="384">
        <f t="shared" si="34"/>
        <v>11293.958520429458</v>
      </c>
      <c r="Y35" s="384">
        <f t="shared" si="34"/>
        <v>11806.499751168569</v>
      </c>
      <c r="Z35" s="384">
        <f t="shared" si="34"/>
        <v>12353.07421943732</v>
      </c>
      <c r="AA35" s="384">
        <f t="shared" si="34"/>
        <v>12934.720305130801</v>
      </c>
      <c r="AB35" s="384">
        <f t="shared" si="34"/>
        <v>13552.422619737332</v>
      </c>
      <c r="AC35" s="384">
        <f t="shared" si="34"/>
        <v>14207.226889532285</v>
      </c>
      <c r="AD35" s="384">
        <f t="shared" si="34"/>
        <v>14787.169596073669</v>
      </c>
      <c r="AE35" s="384">
        <f t="shared" si="34"/>
        <v>15396.586006816495</v>
      </c>
      <c r="AF35" s="453">
        <f t="shared" si="34"/>
        <v>16036.245201580015</v>
      </c>
      <c r="AG35" s="652"/>
      <c r="AH35" s="675"/>
      <c r="AI35" s="675"/>
      <c r="AJ35" s="675"/>
      <c r="AK35" s="673"/>
      <c r="AL35" s="673"/>
      <c r="AM35" s="673"/>
      <c r="AN35" s="673"/>
    </row>
    <row r="36" spans="1:40" s="7" customFormat="1" ht="15.75" thickBot="1">
      <c r="A36" s="998"/>
      <c r="B36" s="301">
        <v>28</v>
      </c>
      <c r="C36" s="299" t="s">
        <v>429</v>
      </c>
      <c r="D36" s="518">
        <f>D34-D35</f>
        <v>6177</v>
      </c>
      <c r="E36" s="519">
        <f>E34-E35</f>
        <v>-2918</v>
      </c>
      <c r="F36" s="442">
        <f>F34-F35</f>
        <v>-3911</v>
      </c>
      <c r="G36" s="454">
        <f>G34-G35</f>
        <v>-2157.8462771319937</v>
      </c>
      <c r="H36" s="455">
        <f t="shared" ref="H36:AE36" si="35">H34-H35</f>
        <v>1931.8397991255588</v>
      </c>
      <c r="I36" s="455">
        <f t="shared" si="35"/>
        <v>-3480.9536360170741</v>
      </c>
      <c r="J36" s="456">
        <f>J34-J35</f>
        <v>3413.0594537368979</v>
      </c>
      <c r="K36" s="455">
        <f>K34-K35</f>
        <v>-8918.2377257884618</v>
      </c>
      <c r="L36" s="455">
        <f t="shared" si="35"/>
        <v>-586.05052931990031</v>
      </c>
      <c r="M36" s="455">
        <f t="shared" si="35"/>
        <v>4344.9167772104001</v>
      </c>
      <c r="N36" s="455">
        <f>N34-N35</f>
        <v>5353.9320361193259</v>
      </c>
      <c r="O36" s="455">
        <f t="shared" si="35"/>
        <v>6285.2452072920278</v>
      </c>
      <c r="P36" s="455">
        <f t="shared" si="35"/>
        <v>7539.8083008023696</v>
      </c>
      <c r="Q36" s="455">
        <f t="shared" si="35"/>
        <v>8960.4706119941075</v>
      </c>
      <c r="R36" s="455">
        <f t="shared" si="35"/>
        <v>10546.423535877484</v>
      </c>
      <c r="S36" s="455">
        <f t="shared" si="35"/>
        <v>12307.015937766942</v>
      </c>
      <c r="T36" s="455">
        <f t="shared" si="35"/>
        <v>14271.215196207424</v>
      </c>
      <c r="U36" s="455">
        <f>U34-U35</f>
        <v>16157.868440383283</v>
      </c>
      <c r="V36" s="455">
        <f t="shared" si="35"/>
        <v>18099.935026983803</v>
      </c>
      <c r="W36" s="455">
        <f t="shared" si="35"/>
        <v>20096.064405347723</v>
      </c>
      <c r="X36" s="455">
        <f t="shared" si="35"/>
        <v>22149.686243784272</v>
      </c>
      <c r="Y36" s="455">
        <f t="shared" si="35"/>
        <v>24261.678048560552</v>
      </c>
      <c r="Z36" s="455">
        <f t="shared" si="35"/>
        <v>26433.08518647926</v>
      </c>
      <c r="AA36" s="455">
        <f t="shared" si="35"/>
        <v>28665.768759152474</v>
      </c>
      <c r="AB36" s="455">
        <f t="shared" si="35"/>
        <v>30961.057712625097</v>
      </c>
      <c r="AC36" s="455">
        <f t="shared" si="35"/>
        <v>43135.330556306333</v>
      </c>
      <c r="AD36" s="455">
        <f t="shared" si="35"/>
        <v>46251.537144253132</v>
      </c>
      <c r="AE36" s="455">
        <f t="shared" si="35"/>
        <v>49452.535207862646</v>
      </c>
      <c r="AF36" s="456">
        <f>AF34-AF35</f>
        <v>52740.458992247593</v>
      </c>
      <c r="AG36" s="652"/>
      <c r="AK36" s="11"/>
      <c r="AL36" s="11"/>
      <c r="AM36" s="11"/>
      <c r="AN36" s="11"/>
    </row>
    <row r="37" spans="1:40" ht="15.75" thickBot="1">
      <c r="A37" s="310"/>
      <c r="B37" s="308"/>
      <c r="C37" s="309"/>
      <c r="D37" s="551"/>
      <c r="E37" s="551"/>
      <c r="F37" s="551"/>
      <c r="G37" s="551"/>
      <c r="H37" s="551"/>
      <c r="I37" s="551"/>
      <c r="J37" s="551"/>
      <c r="K37" s="551"/>
      <c r="L37" s="551"/>
      <c r="M37" s="551"/>
      <c r="N37" s="551"/>
      <c r="O37" s="551"/>
      <c r="P37" s="551"/>
      <c r="Q37" s="551"/>
      <c r="R37" s="551"/>
      <c r="S37" s="551"/>
      <c r="T37" s="551"/>
      <c r="U37" s="551"/>
      <c r="V37" s="551"/>
      <c r="W37" s="551"/>
      <c r="X37" s="551"/>
      <c r="Y37" s="551"/>
      <c r="Z37" s="551"/>
      <c r="AA37" s="551"/>
      <c r="AB37" s="551"/>
      <c r="AC37" s="551"/>
      <c r="AD37" s="551"/>
      <c r="AE37" s="551"/>
      <c r="AF37" s="552"/>
      <c r="AG37" s="652"/>
      <c r="AH37" s="7"/>
      <c r="AI37" s="7"/>
      <c r="AJ37" s="7"/>
      <c r="AK37" s="11"/>
      <c r="AL37" s="11"/>
      <c r="AM37" s="11"/>
      <c r="AN37" s="11"/>
    </row>
    <row r="38" spans="1:40" ht="15">
      <c r="A38" s="999" t="s">
        <v>430</v>
      </c>
      <c r="B38" s="302">
        <v>29</v>
      </c>
      <c r="C38" s="304" t="s">
        <v>431</v>
      </c>
      <c r="D38" s="435">
        <f>114579-19825</f>
        <v>94754</v>
      </c>
      <c r="E38" s="436">
        <f>116491-23545</f>
        <v>92946</v>
      </c>
      <c r="F38" s="440">
        <f>114500-25900</f>
        <v>88600</v>
      </c>
      <c r="G38" s="444">
        <f>+F38+(-G10)</f>
        <v>93433.510535337002</v>
      </c>
      <c r="H38" s="445">
        <f t="shared" ref="H38:AF38" si="36">+G38+(-H10)</f>
        <v>98530.709830213658</v>
      </c>
      <c r="I38" s="445">
        <f t="shared" si="36"/>
        <v>103905.98323900114</v>
      </c>
      <c r="J38" s="446">
        <f t="shared" si="36"/>
        <v>109574.50089893639</v>
      </c>
      <c r="K38" s="599">
        <f t="shared" si="36"/>
        <v>113957.48093489384</v>
      </c>
      <c r="L38" s="445">
        <f t="shared" si="36"/>
        <v>118515.7801722896</v>
      </c>
      <c r="M38" s="445">
        <f t="shared" si="36"/>
        <v>123256.41137918118</v>
      </c>
      <c r="N38" s="445">
        <f t="shared" si="36"/>
        <v>128186.66783434842</v>
      </c>
      <c r="O38" s="445">
        <f t="shared" si="36"/>
        <v>133314.13454772235</v>
      </c>
      <c r="P38" s="445">
        <f t="shared" si="36"/>
        <v>138646.69992963126</v>
      </c>
      <c r="Q38" s="445">
        <f t="shared" si="36"/>
        <v>144192.5679268165</v>
      </c>
      <c r="R38" s="445">
        <f t="shared" si="36"/>
        <v>149960.27064388915</v>
      </c>
      <c r="S38" s="445">
        <f t="shared" si="36"/>
        <v>155958.68146964471</v>
      </c>
      <c r="T38" s="445">
        <f t="shared" si="36"/>
        <v>162197.02872843051</v>
      </c>
      <c r="U38" s="445">
        <f t="shared" si="36"/>
        <v>168684.90987756773</v>
      </c>
      <c r="V38" s="445">
        <f t="shared" si="36"/>
        <v>175432.30627267042</v>
      </c>
      <c r="W38" s="445">
        <f t="shared" si="36"/>
        <v>182449.59852357724</v>
      </c>
      <c r="X38" s="445">
        <f t="shared" si="36"/>
        <v>189747.58246452032</v>
      </c>
      <c r="Y38" s="445">
        <f t="shared" si="36"/>
        <v>197337.48576310114</v>
      </c>
      <c r="Z38" s="445">
        <f t="shared" si="36"/>
        <v>205230.98519362518</v>
      </c>
      <c r="AA38" s="445">
        <f t="shared" si="36"/>
        <v>213440.2246013702</v>
      </c>
      <c r="AB38" s="445">
        <f t="shared" si="36"/>
        <v>221977.83358542499</v>
      </c>
      <c r="AC38" s="445">
        <f t="shared" si="36"/>
        <v>230856.94692884199</v>
      </c>
      <c r="AD38" s="445">
        <f t="shared" si="36"/>
        <v>240091.22480599568</v>
      </c>
      <c r="AE38" s="445">
        <f t="shared" si="36"/>
        <v>249694.87379823549</v>
      </c>
      <c r="AF38" s="446">
        <f t="shared" si="36"/>
        <v>259682.66875016491</v>
      </c>
      <c r="AG38" s="653">
        <f>SUM(G38:AF38)</f>
        <v>4308257.0686354302</v>
      </c>
      <c r="AH38" s="7"/>
      <c r="AI38" s="7"/>
      <c r="AJ38" s="7"/>
      <c r="AK38" s="11"/>
      <c r="AL38" s="11"/>
      <c r="AM38" s="11"/>
      <c r="AN38" s="11"/>
    </row>
    <row r="39" spans="1:40" ht="15">
      <c r="A39" s="998"/>
      <c r="B39" s="302">
        <v>30</v>
      </c>
      <c r="C39" s="304" t="s">
        <v>432</v>
      </c>
      <c r="D39" s="437">
        <v>19825</v>
      </c>
      <c r="E39" s="434">
        <v>23545</v>
      </c>
      <c r="F39" s="441">
        <v>25900</v>
      </c>
      <c r="G39" s="447">
        <f>F39-G10</f>
        <v>30733.510535337005</v>
      </c>
      <c r="H39" s="443">
        <f t="shared" ref="H39:AF39" si="37">G39-H10</f>
        <v>35830.709830213673</v>
      </c>
      <c r="I39" s="443">
        <f t="shared" si="37"/>
        <v>41205.983239001158</v>
      </c>
      <c r="J39" s="448">
        <f t="shared" si="37"/>
        <v>46874.5008989364</v>
      </c>
      <c r="K39" s="600">
        <f t="shared" si="37"/>
        <v>51257.480934893858</v>
      </c>
      <c r="L39" s="443">
        <f t="shared" si="37"/>
        <v>55815.780172289611</v>
      </c>
      <c r="M39" s="443">
        <f t="shared" si="37"/>
        <v>60556.411379181198</v>
      </c>
      <c r="N39" s="443">
        <f t="shared" si="37"/>
        <v>65486.667834348445</v>
      </c>
      <c r="O39" s="443">
        <f t="shared" si="37"/>
        <v>70614.13454772238</v>
      </c>
      <c r="P39" s="443">
        <f t="shared" si="37"/>
        <v>75946.699929631272</v>
      </c>
      <c r="Q39" s="443">
        <f t="shared" si="37"/>
        <v>81492.567926816526</v>
      </c>
      <c r="R39" s="443">
        <f t="shared" si="37"/>
        <v>87260.270643889191</v>
      </c>
      <c r="S39" s="443">
        <f t="shared" si="37"/>
        <v>93258.681469644755</v>
      </c>
      <c r="T39" s="443">
        <f t="shared" si="37"/>
        <v>99497.028728430538</v>
      </c>
      <c r="U39" s="443">
        <f t="shared" si="37"/>
        <v>105984.90987756776</v>
      </c>
      <c r="V39" s="443">
        <f t="shared" si="37"/>
        <v>112732.30627267047</v>
      </c>
      <c r="W39" s="443">
        <f t="shared" si="37"/>
        <v>119749.59852357728</v>
      </c>
      <c r="X39" s="443">
        <f t="shared" si="37"/>
        <v>127047.58246452037</v>
      </c>
      <c r="Y39" s="443">
        <f t="shared" si="37"/>
        <v>134637.48576310117</v>
      </c>
      <c r="Z39" s="443">
        <f t="shared" si="37"/>
        <v>142530.98519362521</v>
      </c>
      <c r="AA39" s="443">
        <f t="shared" si="37"/>
        <v>150740.22460137022</v>
      </c>
      <c r="AB39" s="443">
        <f t="shared" si="37"/>
        <v>159277.83358542505</v>
      </c>
      <c r="AC39" s="443">
        <f t="shared" si="37"/>
        <v>168156.94692884205</v>
      </c>
      <c r="AD39" s="443">
        <f t="shared" si="37"/>
        <v>177391.22480599573</v>
      </c>
      <c r="AE39" s="443">
        <f t="shared" si="37"/>
        <v>186994.87379823555</v>
      </c>
      <c r="AF39" s="448">
        <f t="shared" si="37"/>
        <v>196982.66875016497</v>
      </c>
      <c r="AG39" s="653">
        <f>SUM(G39:AF39)</f>
        <v>2678057.068635432</v>
      </c>
      <c r="AH39" s="7"/>
      <c r="AI39" s="7"/>
      <c r="AJ39" s="7"/>
      <c r="AK39" s="11"/>
      <c r="AL39" s="11"/>
      <c r="AM39" s="11"/>
      <c r="AN39" s="11"/>
    </row>
    <row r="40" spans="1:40" ht="15">
      <c r="A40" s="998"/>
      <c r="B40" s="302">
        <v>31</v>
      </c>
      <c r="C40" s="304" t="s">
        <v>433</v>
      </c>
      <c r="D40" s="434">
        <f>+Inputs!D33+Inputs!D34</f>
        <v>55779</v>
      </c>
      <c r="E40" s="434">
        <f>+Inputs!C33+Inputs!C34</f>
        <v>60514</v>
      </c>
      <c r="F40" s="441">
        <f>+Inputs!B33+Inputs!B34</f>
        <v>61482</v>
      </c>
      <c r="G40" s="447">
        <f>F40+(-G23)</f>
        <v>72786.555597623432</v>
      </c>
      <c r="H40" s="443">
        <f t="shared" ref="H40:AF40" si="38">G40+(-H23)</f>
        <v>84502.92000630316</v>
      </c>
      <c r="I40" s="443">
        <f t="shared" si="38"/>
        <v>96665.622106742114</v>
      </c>
      <c r="J40" s="448">
        <f t="shared" si="38"/>
        <v>109311.93640974614</v>
      </c>
      <c r="K40" s="600">
        <f t="shared" si="38"/>
        <v>122482.16944816032</v>
      </c>
      <c r="L40" s="443">
        <f t="shared" si="38"/>
        <v>136219.97681513475</v>
      </c>
      <c r="M40" s="443">
        <f t="shared" si="38"/>
        <v>150572.71460710707</v>
      </c>
      <c r="N40" s="443">
        <f t="shared" si="38"/>
        <v>165571.32559971814</v>
      </c>
      <c r="O40" s="443">
        <f t="shared" si="38"/>
        <v>181169.88103203365</v>
      </c>
      <c r="P40" s="443">
        <f t="shared" si="38"/>
        <v>197314.38590448021</v>
      </c>
      <c r="Q40" s="443">
        <f t="shared" si="38"/>
        <v>213943.22592310017</v>
      </c>
      <c r="R40" s="443">
        <f t="shared" si="38"/>
        <v>230987.78694218563</v>
      </c>
      <c r="S40" s="443">
        <f t="shared" si="38"/>
        <v>248373.23918165278</v>
      </c>
      <c r="T40" s="443">
        <f t="shared" si="38"/>
        <v>266106.40046590928</v>
      </c>
      <c r="U40" s="443">
        <f t="shared" si="38"/>
        <v>284194.2249758509</v>
      </c>
      <c r="V40" s="443">
        <f t="shared" si="38"/>
        <v>302643.80597599136</v>
      </c>
      <c r="W40" s="443">
        <f t="shared" si="38"/>
        <v>321462.37859613466</v>
      </c>
      <c r="X40" s="443">
        <f t="shared" si="38"/>
        <v>340657.3226686808</v>
      </c>
      <c r="Y40" s="443">
        <f t="shared" si="38"/>
        <v>360236.16562267789</v>
      </c>
      <c r="Z40" s="443">
        <f t="shared" si="38"/>
        <v>380206.58543575491</v>
      </c>
      <c r="AA40" s="443">
        <f t="shared" si="38"/>
        <v>400576.41364509345</v>
      </c>
      <c r="AB40" s="443">
        <f t="shared" si="38"/>
        <v>421353.63841861876</v>
      </c>
      <c r="AC40" s="443">
        <f t="shared" si="38"/>
        <v>442546.40768761461</v>
      </c>
      <c r="AD40" s="443">
        <f t="shared" si="38"/>
        <v>464163.03234199039</v>
      </c>
      <c r="AE40" s="443">
        <f t="shared" si="38"/>
        <v>486211.98948945367</v>
      </c>
      <c r="AF40" s="448">
        <f t="shared" si="38"/>
        <v>508701.92577986617</v>
      </c>
      <c r="AG40" s="653">
        <f>SUM(G40:AF40)</f>
        <v>6988962.030677624</v>
      </c>
      <c r="AH40" s="7"/>
      <c r="AI40" s="7"/>
      <c r="AJ40" s="7"/>
      <c r="AK40" s="11"/>
      <c r="AL40" s="11"/>
      <c r="AM40" s="11"/>
      <c r="AN40" s="11"/>
    </row>
    <row r="41" spans="1:40" ht="15.75" thickBot="1">
      <c r="A41" s="1000"/>
      <c r="B41" s="303">
        <v>32</v>
      </c>
      <c r="C41" s="299" t="s">
        <v>434</v>
      </c>
      <c r="D41" s="438">
        <v>54388</v>
      </c>
      <c r="E41" s="439">
        <v>55611</v>
      </c>
      <c r="F41" s="442">
        <v>56900</v>
      </c>
      <c r="G41" s="449">
        <f>F41-G9</f>
        <v>65786.891996059101</v>
      </c>
      <c r="H41" s="450">
        <f t="shared" ref="H41:AF41" si="39">G41-H9</f>
        <v>76307.796624425624</v>
      </c>
      <c r="I41" s="450">
        <f t="shared" si="39"/>
        <v>88522.23863099076</v>
      </c>
      <c r="J41" s="451">
        <f t="shared" si="39"/>
        <v>102494.73372540018</v>
      </c>
      <c r="K41" s="601">
        <f t="shared" si="39"/>
        <v>117798.40482276464</v>
      </c>
      <c r="L41" s="450">
        <f t="shared" si="39"/>
        <v>134945.90854550709</v>
      </c>
      <c r="M41" s="450">
        <f t="shared" si="39"/>
        <v>154016.70529962596</v>
      </c>
      <c r="N41" s="450">
        <f t="shared" si="39"/>
        <v>175096.88534462094</v>
      </c>
      <c r="O41" s="450">
        <f t="shared" si="39"/>
        <v>198276.87092858148</v>
      </c>
      <c r="P41" s="450">
        <f t="shared" si="39"/>
        <v>223640.6542730662</v>
      </c>
      <c r="Q41" s="450">
        <f t="shared" si="39"/>
        <v>251264.66829969344</v>
      </c>
      <c r="R41" s="450">
        <f t="shared" si="39"/>
        <v>281216.71992892749</v>
      </c>
      <c r="S41" s="450">
        <f t="shared" si="39"/>
        <v>313555.01010083349</v>
      </c>
      <c r="T41" s="450">
        <f t="shared" si="39"/>
        <v>348327.26358626486</v>
      </c>
      <c r="U41" s="450">
        <f t="shared" si="39"/>
        <v>385582.15965149214</v>
      </c>
      <c r="V41" s="450">
        <f t="shared" si="39"/>
        <v>425369.35114811128</v>
      </c>
      <c r="W41" s="450">
        <f t="shared" si="39"/>
        <v>467739.48398475006</v>
      </c>
      <c r="X41" s="450">
        <f t="shared" si="39"/>
        <v>512744.21698820894</v>
      </c>
      <c r="Y41" s="450">
        <f t="shared" si="39"/>
        <v>560436.24216182425</v>
      </c>
      <c r="Z41" s="450">
        <f t="shared" si="39"/>
        <v>610869.3053489991</v>
      </c>
      <c r="AA41" s="450">
        <f t="shared" si="39"/>
        <v>664098.22731000476</v>
      </c>
      <c r="AB41" s="450">
        <f t="shared" si="39"/>
        <v>720178.92522031791</v>
      </c>
      <c r="AC41" s="450">
        <f t="shared" si="39"/>
        <v>779168.43459892459</v>
      </c>
      <c r="AD41" s="450">
        <f t="shared" si="39"/>
        <v>841124.93167519069</v>
      </c>
      <c r="AE41" s="450">
        <f t="shared" si="39"/>
        <v>906107.75620306935</v>
      </c>
      <c r="AF41" s="451">
        <f t="shared" si="39"/>
        <v>974177.43473159289</v>
      </c>
      <c r="AG41" s="653">
        <f>SUM(G41:AF41)</f>
        <v>10378847.221129248</v>
      </c>
      <c r="AH41" s="7"/>
      <c r="AI41" s="7"/>
      <c r="AJ41" s="7"/>
      <c r="AK41" s="11"/>
      <c r="AL41" s="11"/>
      <c r="AM41" s="11"/>
      <c r="AN41" s="11"/>
    </row>
    <row r="42" spans="1:40" s="7" customFormat="1" ht="15.75" thickBot="1">
      <c r="A42" s="989"/>
      <c r="B42" s="990"/>
      <c r="C42" s="990"/>
      <c r="D42" s="991"/>
      <c r="E42" s="991"/>
      <c r="F42" s="991"/>
      <c r="G42" s="992"/>
      <c r="H42" s="992"/>
      <c r="I42" s="992"/>
      <c r="J42" s="992"/>
      <c r="K42" s="992"/>
      <c r="L42" s="992"/>
      <c r="M42" s="992"/>
      <c r="N42" s="992"/>
      <c r="O42" s="992"/>
      <c r="P42" s="992"/>
      <c r="Q42" s="992"/>
      <c r="R42" s="992"/>
      <c r="S42" s="992"/>
      <c r="T42" s="992"/>
      <c r="U42" s="992"/>
      <c r="V42" s="992"/>
      <c r="W42" s="992"/>
      <c r="X42" s="992"/>
      <c r="Y42" s="992"/>
      <c r="Z42" s="992"/>
      <c r="AA42" s="992"/>
      <c r="AB42" s="992"/>
      <c r="AC42" s="992"/>
      <c r="AD42" s="992"/>
      <c r="AE42" s="992"/>
      <c r="AF42" s="993"/>
      <c r="AG42" s="652"/>
      <c r="AK42" s="11"/>
      <c r="AL42" s="11"/>
      <c r="AM42" s="11"/>
      <c r="AN42" s="11"/>
    </row>
    <row r="43" spans="1:40" ht="15" customHeight="1">
      <c r="A43" s="983" t="s">
        <v>435</v>
      </c>
      <c r="B43" s="300">
        <v>33</v>
      </c>
      <c r="C43" s="298" t="s">
        <v>436</v>
      </c>
      <c r="D43" s="390">
        <f>'Fin. Data'!D39</f>
        <v>11740</v>
      </c>
      <c r="E43" s="391">
        <f>E36+D43</f>
        <v>8822</v>
      </c>
      <c r="F43" s="728">
        <f>F36+E43</f>
        <v>4911</v>
      </c>
      <c r="G43" s="457">
        <f>G36+F43</f>
        <v>2753.1537228680063</v>
      </c>
      <c r="H43" s="458">
        <f t="shared" ref="H43:AE43" si="40">H36+G43</f>
        <v>4684.9935219935651</v>
      </c>
      <c r="I43" s="458">
        <f t="shared" si="40"/>
        <v>1204.039885976491</v>
      </c>
      <c r="J43" s="459">
        <f>J36+I43</f>
        <v>4617.0993397133889</v>
      </c>
      <c r="K43" s="602">
        <f>K36+J43</f>
        <v>-4301.138386075073</v>
      </c>
      <c r="L43" s="458">
        <f t="shared" si="40"/>
        <v>-4887.1889153949733</v>
      </c>
      <c r="M43" s="458">
        <f t="shared" si="40"/>
        <v>-542.27213818457312</v>
      </c>
      <c r="N43" s="458">
        <f>N36+M43</f>
        <v>4811.6598979347527</v>
      </c>
      <c r="O43" s="458">
        <f t="shared" si="40"/>
        <v>11096.905105226781</v>
      </c>
      <c r="P43" s="458">
        <f t="shared" si="40"/>
        <v>18636.71340602915</v>
      </c>
      <c r="Q43" s="458">
        <f t="shared" si="40"/>
        <v>27597.184018023258</v>
      </c>
      <c r="R43" s="458">
        <f t="shared" si="40"/>
        <v>38143.607553900743</v>
      </c>
      <c r="S43" s="458">
        <f t="shared" si="40"/>
        <v>50450.623491667684</v>
      </c>
      <c r="T43" s="458">
        <f t="shared" si="40"/>
        <v>64721.838687875104</v>
      </c>
      <c r="U43" s="458">
        <f t="shared" si="40"/>
        <v>80879.707128258393</v>
      </c>
      <c r="V43" s="458">
        <f t="shared" si="40"/>
        <v>98979.642155242196</v>
      </c>
      <c r="W43" s="458">
        <f t="shared" si="40"/>
        <v>119075.70656058993</v>
      </c>
      <c r="X43" s="458">
        <f t="shared" si="40"/>
        <v>141225.39280437419</v>
      </c>
      <c r="Y43" s="458">
        <f t="shared" si="40"/>
        <v>165487.07085293473</v>
      </c>
      <c r="Z43" s="458">
        <f t="shared" si="40"/>
        <v>191920.156039414</v>
      </c>
      <c r="AA43" s="458">
        <f t="shared" si="40"/>
        <v>220585.92479856647</v>
      </c>
      <c r="AB43" s="458">
        <f t="shared" si="40"/>
        <v>251546.98251119157</v>
      </c>
      <c r="AC43" s="458">
        <f t="shared" si="40"/>
        <v>294682.31306749792</v>
      </c>
      <c r="AD43" s="458">
        <f t="shared" si="40"/>
        <v>340933.85021175107</v>
      </c>
      <c r="AE43" s="458">
        <f t="shared" si="40"/>
        <v>390386.38541961368</v>
      </c>
      <c r="AF43" s="459">
        <f>AF36+AE43</f>
        <v>443126.84441186127</v>
      </c>
      <c r="AG43" s="652"/>
      <c r="AH43" s="7"/>
      <c r="AI43" s="7"/>
      <c r="AJ43" s="7"/>
      <c r="AK43" s="11"/>
      <c r="AL43" s="11"/>
      <c r="AM43" s="11"/>
      <c r="AN43" s="11"/>
    </row>
    <row r="44" spans="1:40" ht="15">
      <c r="A44" s="984"/>
      <c r="B44" s="300">
        <v>34</v>
      </c>
      <c r="C44" s="298" t="s">
        <v>272</v>
      </c>
      <c r="D44" s="390">
        <f>'Fin. Data'!D58</f>
        <v>110240</v>
      </c>
      <c r="E44" s="390">
        <f>'Fin. Data'!C58</f>
        <v>105127</v>
      </c>
      <c r="F44" s="392">
        <f>'Fin. Data'!B58</f>
        <v>105022</v>
      </c>
      <c r="G44" s="447">
        <f>G12*3.4</f>
        <v>100489.37184474675</v>
      </c>
      <c r="H44" s="447">
        <f>H12*3</f>
        <v>97884.382293718954</v>
      </c>
      <c r="I44" s="447">
        <f>I12*2.5</f>
        <v>88190.338618459005</v>
      </c>
      <c r="J44" s="447">
        <f>J12*2.2</f>
        <v>83732.447101678859</v>
      </c>
      <c r="K44" s="447">
        <f>K12*1.9</f>
        <v>73909.373406257306</v>
      </c>
      <c r="L44" s="447">
        <f>L12*Assum.!L22</f>
        <v>71024.103849472609</v>
      </c>
      <c r="M44" s="447">
        <f>M12*Assum.!M22</f>
        <v>71706.444125808062</v>
      </c>
      <c r="N44" s="447">
        <f>N12*Assum.!N22</f>
        <v>71948.651931776025</v>
      </c>
      <c r="O44" s="447">
        <f>O12*Assum.!O22</f>
        <v>71444.443839658401</v>
      </c>
      <c r="P44" s="447">
        <f>P12*Assum.!P22</f>
        <v>70333.792210419793</v>
      </c>
      <c r="Q44" s="447">
        <f>Q12*Assum.!Q22</f>
        <v>68594.615960841722</v>
      </c>
      <c r="R44" s="447">
        <f>R12*Assum.!R22</f>
        <v>66211.728644668343</v>
      </c>
      <c r="S44" s="447">
        <f>S12*Assum.!S22</f>
        <v>63177.115026775275</v>
      </c>
      <c r="T44" s="447">
        <f>T12*Assum.!T22</f>
        <v>59713.040748521846</v>
      </c>
      <c r="U44" s="447">
        <f>U12*Assum.!U22</f>
        <v>55669.395176203543</v>
      </c>
      <c r="V44" s="447">
        <f>V12*Assum.!V22</f>
        <v>51026.803787910671</v>
      </c>
      <c r="W44" s="447">
        <f>W12*Assum.!W22</f>
        <v>45765.292860224072</v>
      </c>
      <c r="X44" s="447">
        <f>X12*Assum.!X22</f>
        <v>39864.270608743165</v>
      </c>
      <c r="Y44" s="447">
        <f>Y12*Assum.!Y22</f>
        <v>33302.507692296866</v>
      </c>
      <c r="Z44" s="447">
        <f>Z12*Assum.!Z22</f>
        <v>26058.117057424763</v>
      </c>
      <c r="AA44" s="447">
        <f>AA12*Assum.!AA22</f>
        <v>18108.533098788368</v>
      </c>
      <c r="AB44" s="447">
        <f>AB12*Assum.!AB22</f>
        <v>9430.4901102062558</v>
      </c>
      <c r="AC44" s="447">
        <f>AC12*Assum.!AC22</f>
        <v>9814.894881387283</v>
      </c>
      <c r="AD44" s="447">
        <f>AD12*Assum.!AD22</f>
        <v>10207.67075671059</v>
      </c>
      <c r="AE44" s="447">
        <f>AE12*Assum.!AE22</f>
        <v>10609.012478607838</v>
      </c>
      <c r="AF44" s="447">
        <f>AF12*Assum.!AF22</f>
        <v>11019.119777173204</v>
      </c>
      <c r="AG44" s="672"/>
      <c r="AH44" s="11"/>
      <c r="AI44" s="11"/>
      <c r="AJ44" s="11"/>
      <c r="AK44" s="11"/>
      <c r="AL44" s="11"/>
      <c r="AM44" s="11"/>
      <c r="AN44" s="11"/>
    </row>
    <row r="45" spans="1:40" ht="15">
      <c r="A45" s="984"/>
      <c r="B45" s="300">
        <v>35</v>
      </c>
      <c r="C45" s="298" t="s">
        <v>437</v>
      </c>
      <c r="D45" s="533"/>
      <c r="E45" s="536"/>
      <c r="F45" s="604">
        <f>1/((1+$F$50)^G50)</f>
        <v>1</v>
      </c>
      <c r="G45" s="460">
        <f t="shared" ref="G45:AF45" si="41">1/((1+$F$50)^G49)</f>
        <v>0.91533180778032031</v>
      </c>
      <c r="H45" s="385">
        <f t="shared" si="41"/>
        <v>0.83783231833438931</v>
      </c>
      <c r="I45" s="385">
        <f t="shared" si="41"/>
        <v>0.76689457055779331</v>
      </c>
      <c r="J45" s="461">
        <f t="shared" si="41"/>
        <v>0.70196299364557746</v>
      </c>
      <c r="K45" s="534">
        <f t="shared" si="41"/>
        <v>0.64252905596849197</v>
      </c>
      <c r="L45" s="385">
        <f t="shared" si="41"/>
        <v>0.5881272823510223</v>
      </c>
      <c r="M45" s="385">
        <f t="shared" si="41"/>
        <v>0.53833160855928819</v>
      </c>
      <c r="N45" s="385">
        <f t="shared" si="41"/>
        <v>0.49275204444786097</v>
      </c>
      <c r="O45" s="385">
        <f t="shared" si="41"/>
        <v>0.4510316196319093</v>
      </c>
      <c r="P45" s="385">
        <f t="shared" si="41"/>
        <v>0.41284358776376134</v>
      </c>
      <c r="Q45" s="385">
        <f t="shared" si="41"/>
        <v>0.37788886751831702</v>
      </c>
      <c r="R45" s="385">
        <f t="shared" si="41"/>
        <v>0.34589370024559912</v>
      </c>
      <c r="S45" s="385">
        <f t="shared" si="41"/>
        <v>0.31660750594562848</v>
      </c>
      <c r="T45" s="385">
        <f t="shared" si="41"/>
        <v>0.28980092077403058</v>
      </c>
      <c r="U45" s="385">
        <f t="shared" si="41"/>
        <v>0.26526400070849487</v>
      </c>
      <c r="V45" s="385">
        <f t="shared" si="41"/>
        <v>0.24280457730754673</v>
      </c>
      <c r="W45" s="385">
        <f t="shared" si="41"/>
        <v>0.22224675268425331</v>
      </c>
      <c r="X45" s="385">
        <f t="shared" si="41"/>
        <v>0.20342952190778335</v>
      </c>
      <c r="Y45" s="385">
        <f t="shared" si="41"/>
        <v>0.18620551204373761</v>
      </c>
      <c r="Z45" s="385">
        <f t="shared" si="41"/>
        <v>0.17043982795765455</v>
      </c>
      <c r="AA45" s="385">
        <f t="shared" si="41"/>
        <v>0.15600899584224673</v>
      </c>
      <c r="AB45" s="385">
        <f t="shared" si="41"/>
        <v>0.14279999619427616</v>
      </c>
      <c r="AC45" s="385">
        <f t="shared" si="41"/>
        <v>0.13070937866752969</v>
      </c>
      <c r="AD45" s="385">
        <f t="shared" si="41"/>
        <v>0.11964245186959235</v>
      </c>
      <c r="AE45" s="385">
        <f t="shared" si="41"/>
        <v>0.10951254175706394</v>
      </c>
      <c r="AF45" s="461">
        <f t="shared" si="41"/>
        <v>0.10024031282111115</v>
      </c>
      <c r="AG45" s="672"/>
      <c r="AH45" s="11"/>
      <c r="AI45" s="11"/>
      <c r="AJ45" s="11"/>
      <c r="AK45" s="11"/>
      <c r="AL45" s="11"/>
      <c r="AM45" s="11"/>
      <c r="AN45" s="11"/>
    </row>
    <row r="46" spans="1:40" ht="15">
      <c r="A46" s="984"/>
      <c r="B46" s="300">
        <v>36</v>
      </c>
      <c r="C46" s="304" t="s">
        <v>438</v>
      </c>
      <c r="D46" s="535"/>
      <c r="E46" s="523" t="s">
        <v>439</v>
      </c>
      <c r="F46" s="605">
        <f>1/((1+$F$50+0.001)^G50)</f>
        <v>1</v>
      </c>
      <c r="G46" s="460">
        <f>1/((1+$F$50+0.001)^G49)</f>
        <v>0.91449474165523559</v>
      </c>
      <c r="H46" s="385">
        <f t="shared" ref="H46:AF46" si="42">1/((1+$F$50+0.001)^H49)</f>
        <v>0.83630063251507591</v>
      </c>
      <c r="I46" s="385">
        <f t="shared" si="42"/>
        <v>0.76479253087798449</v>
      </c>
      <c r="J46" s="461">
        <f t="shared" si="42"/>
        <v>0.69939874794511614</v>
      </c>
      <c r="K46" s="534">
        <f t="shared" si="42"/>
        <v>0.63959647731606417</v>
      </c>
      <c r="L46" s="385">
        <f t="shared" si="42"/>
        <v>0.58490761528675284</v>
      </c>
      <c r="M46" s="385">
        <f t="shared" si="42"/>
        <v>0.53489493853383896</v>
      </c>
      <c r="N46" s="385">
        <f t="shared" si="42"/>
        <v>0.48915860862719612</v>
      </c>
      <c r="O46" s="385">
        <f t="shared" si="42"/>
        <v>0.44733297542496214</v>
      </c>
      <c r="P46" s="385">
        <f t="shared" si="42"/>
        <v>0.40908365379511857</v>
      </c>
      <c r="Q46" s="385">
        <f t="shared" si="42"/>
        <v>0.37410485029274676</v>
      </c>
      <c r="R46" s="385">
        <f t="shared" si="42"/>
        <v>0.34211691842043607</v>
      </c>
      <c r="S46" s="385">
        <f t="shared" si="42"/>
        <v>0.31286412292678195</v>
      </c>
      <c r="T46" s="385">
        <f t="shared" si="42"/>
        <v>0.28611259526911931</v>
      </c>
      <c r="U46" s="385">
        <f t="shared" si="42"/>
        <v>0.26164846389494223</v>
      </c>
      <c r="V46" s="385">
        <f t="shared" si="42"/>
        <v>0.23927614439409442</v>
      </c>
      <c r="W46" s="385">
        <f t="shared" si="42"/>
        <v>0.21881677585193821</v>
      </c>
      <c r="X46" s="385">
        <f t="shared" si="42"/>
        <v>0.20010679090254985</v>
      </c>
      <c r="Y46" s="385">
        <f t="shared" si="42"/>
        <v>0.18299660804988555</v>
      </c>
      <c r="Z46" s="385">
        <f t="shared" si="42"/>
        <v>0.16734943580236447</v>
      </c>
      <c r="AA46" s="385">
        <f t="shared" si="42"/>
        <v>0.15304017906023273</v>
      </c>
      <c r="AB46" s="385">
        <f t="shared" si="42"/>
        <v>0.1399544390125585</v>
      </c>
      <c r="AC46" s="385">
        <f t="shared" si="42"/>
        <v>0.12798759854829311</v>
      </c>
      <c r="AD46" s="385">
        <f t="shared" si="42"/>
        <v>0.1170439858694953</v>
      </c>
      <c r="AE46" s="385">
        <f t="shared" si="42"/>
        <v>0.10703610962002315</v>
      </c>
      <c r="AF46" s="461">
        <f t="shared" si="42"/>
        <v>9.7883959414744523E-2</v>
      </c>
      <c r="AG46" s="672"/>
      <c r="AH46" s="11"/>
      <c r="AI46" s="11"/>
      <c r="AJ46" s="11"/>
      <c r="AK46" s="11"/>
      <c r="AL46" s="11"/>
      <c r="AM46" s="11"/>
      <c r="AN46" s="11"/>
    </row>
    <row r="47" spans="1:40" ht="15.75" thickBot="1">
      <c r="A47" s="985"/>
      <c r="B47" s="301">
        <v>37</v>
      </c>
      <c r="C47" s="299" t="s">
        <v>440</v>
      </c>
      <c r="D47" s="522"/>
      <c r="E47" s="523" t="s">
        <v>441</v>
      </c>
      <c r="F47" s="606">
        <f>1/((1+$F$50+0.005)^G50)</f>
        <v>1</v>
      </c>
      <c r="G47" s="462">
        <f t="shared" ref="G47:AF47" si="43">1/((1+$F$50+0.005)^G49)</f>
        <v>0.91116173120728938</v>
      </c>
      <c r="H47" s="463">
        <f t="shared" si="43"/>
        <v>0.83021570041666459</v>
      </c>
      <c r="I47" s="463">
        <f t="shared" si="43"/>
        <v>0.75646077486712049</v>
      </c>
      <c r="J47" s="464">
        <f t="shared" si="43"/>
        <v>0.68925810921833297</v>
      </c>
      <c r="K47" s="603">
        <f t="shared" si="43"/>
        <v>0.62802561204403917</v>
      </c>
      <c r="L47" s="463">
        <f t="shared" si="43"/>
        <v>0.57223290391256421</v>
      </c>
      <c r="M47" s="463">
        <f t="shared" si="43"/>
        <v>0.52139672338274645</v>
      </c>
      <c r="N47" s="463">
        <f t="shared" si="43"/>
        <v>0.47507674112323145</v>
      </c>
      <c r="O47" s="463">
        <f t="shared" si="43"/>
        <v>0.4328717458981608</v>
      </c>
      <c r="P47" s="463">
        <f t="shared" si="43"/>
        <v>0.39441616938328999</v>
      </c>
      <c r="Q47" s="463">
        <f t="shared" si="43"/>
        <v>0.35937691971142605</v>
      </c>
      <c r="R47" s="463">
        <f t="shared" si="43"/>
        <v>0.32745049632020595</v>
      </c>
      <c r="S47" s="463">
        <f t="shared" si="43"/>
        <v>0.29836036111180497</v>
      </c>
      <c r="T47" s="463">
        <f t="shared" si="43"/>
        <v>0.27185454315426427</v>
      </c>
      <c r="U47" s="463">
        <f t="shared" si="43"/>
        <v>0.24770345617700615</v>
      </c>
      <c r="V47" s="463">
        <f t="shared" si="43"/>
        <v>0.22569790995626987</v>
      </c>
      <c r="W47" s="463">
        <f t="shared" si="43"/>
        <v>0.20564729836562176</v>
      </c>
      <c r="X47" s="463">
        <f t="shared" si="43"/>
        <v>0.1873779483969219</v>
      </c>
      <c r="Y47" s="463">
        <f t="shared" si="43"/>
        <v>0.1707316158514095</v>
      </c>
      <c r="Z47" s="463">
        <f t="shared" si="43"/>
        <v>0.15556411467098813</v>
      </c>
      <c r="AA47" s="463">
        <f t="shared" si="43"/>
        <v>0.14174406803734682</v>
      </c>
      <c r="AB47" s="463">
        <f t="shared" si="43"/>
        <v>0.12915177042127277</v>
      </c>
      <c r="AC47" s="463">
        <f t="shared" si="43"/>
        <v>0.11767815072553327</v>
      </c>
      <c r="AD47" s="463">
        <f t="shared" si="43"/>
        <v>0.10722382754034922</v>
      </c>
      <c r="AE47" s="463">
        <f t="shared" si="43"/>
        <v>9.7698248328336429E-2</v>
      </c>
      <c r="AF47" s="464">
        <f t="shared" si="43"/>
        <v>8.9018905082766664E-2</v>
      </c>
      <c r="AG47" s="672"/>
      <c r="AH47" s="11"/>
      <c r="AI47" s="11"/>
      <c r="AJ47" s="11"/>
      <c r="AK47" s="11"/>
      <c r="AL47" s="11"/>
      <c r="AM47" s="11"/>
      <c r="AN47" s="11"/>
    </row>
    <row r="48" spans="1:40" ht="15.75" thickBot="1">
      <c r="A48" s="994" t="s">
        <v>410</v>
      </c>
      <c r="B48" s="995"/>
      <c r="C48" s="995"/>
      <c r="D48" s="995"/>
      <c r="E48" s="995"/>
      <c r="F48" s="995"/>
      <c r="G48" s="996"/>
      <c r="H48" s="996"/>
      <c r="I48" s="996"/>
      <c r="J48" s="996"/>
      <c r="K48" s="996"/>
      <c r="L48" s="996"/>
      <c r="M48" s="996"/>
      <c r="N48" s="996"/>
      <c r="O48" s="996"/>
      <c r="P48" s="996"/>
      <c r="Q48" s="996"/>
      <c r="R48" s="996"/>
      <c r="S48" s="996"/>
      <c r="T48" s="996"/>
      <c r="U48" s="996"/>
      <c r="V48" s="996"/>
      <c r="W48" s="996"/>
      <c r="X48" s="996"/>
      <c r="Y48" s="996"/>
      <c r="Z48" s="996"/>
      <c r="AA48" s="996"/>
      <c r="AB48" s="996"/>
      <c r="AC48" s="996"/>
      <c r="AD48" s="996"/>
      <c r="AE48" s="996"/>
      <c r="AF48" s="997"/>
      <c r="AG48" s="672"/>
      <c r="AH48" s="11"/>
      <c r="AI48" s="11"/>
      <c r="AJ48" s="674"/>
      <c r="AK48" s="11"/>
      <c r="AL48" s="11"/>
      <c r="AM48" s="11"/>
      <c r="AN48" s="11"/>
    </row>
    <row r="49" spans="1:40" ht="15">
      <c r="A49" s="1001" t="s">
        <v>442</v>
      </c>
      <c r="C49" s="315" t="s">
        <v>443</v>
      </c>
      <c r="D49" s="305" t="s">
        <v>444</v>
      </c>
      <c r="E49" s="306" t="s">
        <v>445</v>
      </c>
      <c r="F49" s="316" t="s">
        <v>446</v>
      </c>
      <c r="G49" s="386">
        <v>1</v>
      </c>
      <c r="H49" s="387">
        <v>2</v>
      </c>
      <c r="I49" s="387">
        <v>3</v>
      </c>
      <c r="J49" s="386">
        <v>4</v>
      </c>
      <c r="K49" s="387">
        <v>5</v>
      </c>
      <c r="L49" s="387">
        <v>6</v>
      </c>
      <c r="M49" s="386">
        <v>7</v>
      </c>
      <c r="N49" s="387">
        <v>8</v>
      </c>
      <c r="O49" s="387">
        <v>9</v>
      </c>
      <c r="P49" s="386">
        <v>10</v>
      </c>
      <c r="Q49" s="387">
        <v>11</v>
      </c>
      <c r="R49" s="387">
        <v>12</v>
      </c>
      <c r="S49" s="386">
        <v>13</v>
      </c>
      <c r="T49" s="387">
        <v>14</v>
      </c>
      <c r="U49" s="387">
        <v>15</v>
      </c>
      <c r="V49" s="386">
        <v>16</v>
      </c>
      <c r="W49" s="387">
        <v>17</v>
      </c>
      <c r="X49" s="387">
        <v>18</v>
      </c>
      <c r="Y49" s="386">
        <v>19</v>
      </c>
      <c r="Z49" s="387">
        <v>20</v>
      </c>
      <c r="AA49" s="387">
        <v>21</v>
      </c>
      <c r="AB49" s="386">
        <v>22</v>
      </c>
      <c r="AC49" s="387">
        <v>23</v>
      </c>
      <c r="AD49" s="387">
        <v>24</v>
      </c>
      <c r="AE49" s="386">
        <v>25</v>
      </c>
      <c r="AF49" s="387">
        <v>26</v>
      </c>
      <c r="AG49" s="672"/>
      <c r="AH49" s="11"/>
      <c r="AI49" s="11"/>
      <c r="AJ49" s="11"/>
      <c r="AK49" s="11"/>
      <c r="AL49" s="11"/>
      <c r="AM49" s="11"/>
      <c r="AN49" s="11"/>
    </row>
    <row r="50" spans="1:40" ht="15.75" thickBot="1">
      <c r="A50" s="1002"/>
      <c r="C50" s="312">
        <v>0.04</v>
      </c>
      <c r="D50" s="727">
        <v>4.4999999999999998E-2</v>
      </c>
      <c r="E50" s="313">
        <v>7.4999999999999997E-3</v>
      </c>
      <c r="F50" s="314">
        <f>E50+D50+C50</f>
        <v>9.2499999999999999E-2</v>
      </c>
      <c r="G50" s="386">
        <v>0</v>
      </c>
      <c r="S50" s="297"/>
      <c r="T50" s="297"/>
      <c r="U50" s="297"/>
      <c r="V50" s="297"/>
      <c r="W50" s="297"/>
      <c r="X50" s="297"/>
      <c r="Y50" s="297"/>
      <c r="Z50" s="297"/>
      <c r="AA50" s="297"/>
      <c r="AB50" s="297"/>
      <c r="AC50" s="297"/>
      <c r="AD50" s="297"/>
      <c r="AE50" s="297"/>
      <c r="AF50" s="297"/>
      <c r="AG50" s="671"/>
      <c r="AH50" s="11"/>
      <c r="AI50" s="11"/>
      <c r="AJ50" s="11"/>
      <c r="AK50" s="11"/>
      <c r="AL50" s="11"/>
      <c r="AM50" s="11"/>
      <c r="AN50" s="11"/>
    </row>
    <row r="51" spans="1:40" ht="15">
      <c r="A51" s="297"/>
      <c r="C51" s="297"/>
      <c r="D51" s="297"/>
      <c r="G51"/>
      <c r="H51" s="787"/>
      <c r="I51" s="297"/>
      <c r="J51" s="297"/>
      <c r="K51" s="297"/>
      <c r="S51" s="297"/>
      <c r="T51" s="297"/>
      <c r="U51" s="297"/>
      <c r="V51" s="297"/>
      <c r="W51" s="297"/>
      <c r="X51" s="297"/>
      <c r="Y51" s="297"/>
      <c r="Z51" s="297"/>
      <c r="AA51" s="297"/>
      <c r="AB51" s="297"/>
      <c r="AC51" s="297"/>
      <c r="AD51" s="297"/>
      <c r="AE51" s="297"/>
      <c r="AF51" s="297"/>
      <c r="AG51" s="671"/>
      <c r="AH51" s="11"/>
      <c r="AI51" s="11"/>
      <c r="AJ51" s="11"/>
      <c r="AK51" s="11"/>
      <c r="AL51" s="11"/>
      <c r="AM51" s="11"/>
      <c r="AN51" s="11"/>
    </row>
    <row r="52" spans="1:40" ht="15" customHeight="1">
      <c r="A52" s="979" t="s">
        <v>447</v>
      </c>
      <c r="C52" s="564" t="s">
        <v>410</v>
      </c>
      <c r="D52" s="565" t="s">
        <v>386</v>
      </c>
      <c r="E52" s="566" t="s">
        <v>387</v>
      </c>
      <c r="F52" s="565" t="s">
        <v>448</v>
      </c>
      <c r="G52" s="297"/>
      <c r="I52" s="624"/>
      <c r="J52" s="624"/>
      <c r="K52" s="297"/>
      <c r="S52" s="297"/>
      <c r="T52" s="297"/>
      <c r="U52" s="297"/>
      <c r="V52" s="297"/>
      <c r="W52" s="297"/>
      <c r="X52" s="297"/>
      <c r="Y52" s="297"/>
      <c r="Z52" s="297"/>
      <c r="AA52" s="297"/>
      <c r="AB52" s="297"/>
      <c r="AC52" s="297"/>
      <c r="AD52" s="297"/>
      <c r="AE52" s="297"/>
      <c r="AF52" s="297"/>
      <c r="AG52" s="671"/>
      <c r="AH52" s="11"/>
      <c r="AI52" s="11"/>
      <c r="AJ52" s="11"/>
      <c r="AK52" s="11"/>
      <c r="AL52" s="11"/>
      <c r="AM52" s="11"/>
      <c r="AN52" s="11"/>
    </row>
    <row r="53" spans="1:40" ht="15" customHeight="1">
      <c r="A53" s="980"/>
      <c r="C53" s="567" t="s">
        <v>449</v>
      </c>
      <c r="D53" s="512">
        <f>Assum.!I15</f>
        <v>-0.14454461461987411</v>
      </c>
      <c r="E53" s="513">
        <f>-0.14</f>
        <v>-0.14000000000000001</v>
      </c>
      <c r="F53" s="568" t="s">
        <v>450</v>
      </c>
      <c r="G53" s="631"/>
      <c r="I53" s="297"/>
      <c r="J53" s="297"/>
      <c r="K53" s="297"/>
      <c r="S53" s="297"/>
      <c r="T53" s="297"/>
      <c r="U53" s="297"/>
      <c r="V53" s="297"/>
      <c r="W53" s="297"/>
      <c r="X53" s="297"/>
      <c r="Y53" s="297"/>
      <c r="Z53" s="297"/>
      <c r="AA53" s="297"/>
      <c r="AB53" s="297"/>
      <c r="AC53" s="297"/>
      <c r="AD53" s="297"/>
      <c r="AE53" s="297"/>
      <c r="AF53" s="297"/>
      <c r="AG53" s="671"/>
      <c r="AH53" s="11"/>
      <c r="AI53" s="11"/>
      <c r="AJ53" s="11"/>
      <c r="AK53" s="11"/>
      <c r="AL53" s="11"/>
      <c r="AM53" s="11"/>
      <c r="AN53" s="11"/>
    </row>
    <row r="54" spans="1:40" ht="15" customHeight="1">
      <c r="A54" s="980"/>
      <c r="C54" s="569" t="s">
        <v>451</v>
      </c>
      <c r="D54" s="514">
        <f>Assum.!I16</f>
        <v>-5.4554294981230302E-2</v>
      </c>
      <c r="E54" s="515">
        <f>-0.04</f>
        <v>-0.04</v>
      </c>
      <c r="F54" s="570" t="s">
        <v>452</v>
      </c>
      <c r="G54" s="297"/>
      <c r="I54" s="297"/>
      <c r="J54" s="297"/>
      <c r="K54" s="297"/>
      <c r="S54" s="297"/>
      <c r="T54" s="297"/>
      <c r="U54" s="297"/>
      <c r="V54" s="297"/>
      <c r="W54" s="297"/>
      <c r="X54" s="297"/>
      <c r="Y54" s="297"/>
      <c r="Z54" s="297"/>
      <c r="AA54" s="297"/>
      <c r="AB54" s="297"/>
      <c r="AC54" s="297"/>
      <c r="AD54" s="297"/>
      <c r="AE54" s="297"/>
      <c r="AF54" s="297"/>
      <c r="AG54" s="671"/>
      <c r="AH54" s="11"/>
      <c r="AI54" s="11"/>
      <c r="AJ54" s="11"/>
      <c r="AK54" s="11"/>
      <c r="AL54" s="11"/>
      <c r="AM54" s="11"/>
      <c r="AN54" s="11"/>
    </row>
    <row r="55" spans="1:40" ht="15" customHeight="1">
      <c r="A55" s="980"/>
      <c r="C55" s="535" t="s">
        <v>453</v>
      </c>
      <c r="D55" s="516">
        <f>Assum.!I19</f>
        <v>-1.0386540366830914E-2</v>
      </c>
      <c r="E55" s="571">
        <f>+-0.01</f>
        <v>-0.01</v>
      </c>
      <c r="F55" s="568" t="s">
        <v>454</v>
      </c>
      <c r="G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671"/>
      <c r="AH55" s="11"/>
      <c r="AI55" s="11"/>
      <c r="AJ55" s="11"/>
      <c r="AK55" s="11"/>
      <c r="AL55" s="11"/>
      <c r="AM55" s="11"/>
      <c r="AN55" s="11"/>
    </row>
    <row r="56" spans="1:40" ht="15" customHeight="1">
      <c r="A56" s="980"/>
      <c r="C56" s="569" t="s">
        <v>455</v>
      </c>
      <c r="D56" s="514">
        <f>-Assum.!I34</f>
        <v>0.23815773649458616</v>
      </c>
      <c r="E56" s="517">
        <v>0.27</v>
      </c>
      <c r="F56" s="568" t="s">
        <v>456</v>
      </c>
      <c r="G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671"/>
      <c r="AH56" s="11"/>
      <c r="AI56" s="11"/>
      <c r="AJ56" s="11"/>
      <c r="AK56" s="11"/>
      <c r="AL56" s="11"/>
      <c r="AM56" s="11"/>
      <c r="AN56" s="11"/>
    </row>
    <row r="57" spans="1:40" ht="15" customHeight="1">
      <c r="A57" s="980"/>
      <c r="C57" s="535" t="s">
        <v>457</v>
      </c>
      <c r="D57" s="520">
        <f>+Assum.!O65</f>
        <v>3.898059355963502E-2</v>
      </c>
      <c r="E57" s="520">
        <f>+Assum.!N65</f>
        <v>4.8958993247902045E-2</v>
      </c>
      <c r="F57" s="570" t="s">
        <v>458</v>
      </c>
      <c r="G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671"/>
      <c r="AH57" s="11"/>
      <c r="AI57" s="11"/>
      <c r="AJ57" s="11"/>
      <c r="AK57" s="11"/>
      <c r="AL57" s="11"/>
      <c r="AM57" s="11"/>
      <c r="AN57" s="11"/>
    </row>
    <row r="58" spans="1:40" ht="15" customHeight="1">
      <c r="A58" s="980"/>
      <c r="C58" s="569" t="s">
        <v>459</v>
      </c>
      <c r="D58" s="521">
        <v>0.04</v>
      </c>
      <c r="E58" s="517">
        <v>0.02</v>
      </c>
      <c r="F58" s="568" t="s">
        <v>460</v>
      </c>
      <c r="G58" s="297"/>
      <c r="H58" s="297"/>
      <c r="I58" s="299"/>
      <c r="J58" s="322"/>
      <c r="K58" s="322"/>
      <c r="L58" s="322"/>
      <c r="M58" s="322"/>
      <c r="N58" s="322"/>
      <c r="O58" s="297"/>
      <c r="P58" s="297"/>
      <c r="Q58" s="297"/>
      <c r="R58" s="297"/>
      <c r="S58" s="297"/>
      <c r="T58" s="297"/>
      <c r="U58" s="297"/>
      <c r="V58" s="297"/>
      <c r="W58" s="297"/>
      <c r="X58" s="297"/>
      <c r="Y58" s="297"/>
      <c r="Z58" s="297"/>
      <c r="AA58" s="297"/>
      <c r="AB58" s="297"/>
      <c r="AC58" s="297"/>
      <c r="AD58" s="297"/>
      <c r="AE58" s="297"/>
      <c r="AF58" s="297"/>
      <c r="AG58" s="671"/>
      <c r="AH58" s="11"/>
      <c r="AI58" s="11"/>
      <c r="AJ58" s="11"/>
      <c r="AK58" s="11"/>
      <c r="AL58" s="11"/>
      <c r="AM58" s="11"/>
      <c r="AN58" s="11"/>
    </row>
    <row r="59" spans="1:40" ht="15" customHeight="1">
      <c r="A59" s="980"/>
      <c r="C59" s="535" t="s">
        <v>461</v>
      </c>
      <c r="D59" s="516"/>
      <c r="E59" s="571"/>
      <c r="F59" s="570" t="s">
        <v>462</v>
      </c>
      <c r="G59" s="297"/>
      <c r="H59" s="297"/>
      <c r="I59" s="297"/>
      <c r="J59" s="323"/>
      <c r="K59" s="323"/>
      <c r="L59" s="323"/>
      <c r="M59" s="323"/>
      <c r="N59" s="322"/>
      <c r="O59" s="297"/>
      <c r="P59" s="297"/>
      <c r="Q59" s="297"/>
      <c r="R59" s="297"/>
      <c r="S59" s="297"/>
      <c r="T59" s="297"/>
      <c r="U59" s="297"/>
      <c r="V59" s="297"/>
      <c r="W59" s="297"/>
      <c r="X59" s="297"/>
      <c r="Y59" s="297"/>
      <c r="Z59" s="297"/>
      <c r="AA59" s="297"/>
      <c r="AB59" s="297"/>
      <c r="AC59" s="297"/>
      <c r="AD59" s="297"/>
      <c r="AE59" s="297"/>
      <c r="AF59" s="297"/>
      <c r="AG59" s="671"/>
      <c r="AH59" s="11"/>
      <c r="AI59" s="11"/>
      <c r="AJ59" s="11"/>
      <c r="AK59" s="11"/>
      <c r="AL59" s="11"/>
      <c r="AM59" s="11"/>
      <c r="AN59" s="11"/>
    </row>
    <row r="60" spans="1:40" ht="15" customHeight="1">
      <c r="A60" s="980"/>
      <c r="C60" s="564" t="s">
        <v>463</v>
      </c>
      <c r="D60" s="589">
        <f>Assum.!O45</f>
        <v>-0.13489164240917223</v>
      </c>
      <c r="E60" s="590">
        <f t="shared" ref="E60:E62" si="44">D60</f>
        <v>-0.13489164240917223</v>
      </c>
      <c r="F60" s="572" t="s">
        <v>464</v>
      </c>
      <c r="G60" s="297"/>
      <c r="H60" s="297"/>
      <c r="I60" s="297"/>
      <c r="J60" s="322"/>
      <c r="K60" s="322"/>
      <c r="L60" s="322"/>
      <c r="M60" s="322"/>
      <c r="N60" s="322"/>
      <c r="O60" s="297"/>
      <c r="P60" s="297"/>
      <c r="Q60" s="297"/>
      <c r="R60" s="297"/>
      <c r="S60" s="297"/>
      <c r="T60" s="297"/>
      <c r="U60" s="297"/>
      <c r="V60" s="297"/>
      <c r="W60" s="297"/>
      <c r="X60" s="297"/>
      <c r="Y60" s="297"/>
      <c r="Z60" s="297"/>
      <c r="AA60" s="297"/>
      <c r="AB60" s="297"/>
      <c r="AC60" s="297"/>
      <c r="AD60" s="297"/>
      <c r="AE60" s="297"/>
      <c r="AF60" s="297"/>
      <c r="AG60" s="671"/>
      <c r="AH60" s="11"/>
      <c r="AI60" s="11"/>
      <c r="AJ60" s="11"/>
      <c r="AK60" s="11"/>
      <c r="AL60" s="11"/>
      <c r="AM60" s="11"/>
      <c r="AN60" s="11"/>
    </row>
    <row r="61" spans="1:40" ht="15" customHeight="1">
      <c r="A61" s="980"/>
      <c r="C61" s="573" t="s">
        <v>465</v>
      </c>
      <c r="D61" s="591">
        <f>D54</f>
        <v>-5.4554294981230302E-2</v>
      </c>
      <c r="E61" s="591">
        <f t="shared" si="44"/>
        <v>-5.4554294981230302E-2</v>
      </c>
      <c r="F61" s="568" t="s">
        <v>466</v>
      </c>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671"/>
      <c r="AH61" s="11"/>
      <c r="AI61" s="11"/>
      <c r="AJ61" s="11"/>
      <c r="AK61" s="11"/>
      <c r="AL61" s="11"/>
      <c r="AM61" s="11"/>
      <c r="AN61" s="11"/>
    </row>
    <row r="62" spans="1:40" ht="15" customHeight="1">
      <c r="A62" s="980"/>
      <c r="C62" s="573" t="s">
        <v>467</v>
      </c>
      <c r="D62" s="514">
        <f>+Assum.!I13</f>
        <v>-8.9949318847808088E-2</v>
      </c>
      <c r="E62" s="514">
        <f t="shared" si="44"/>
        <v>-8.9949318847808088E-2</v>
      </c>
      <c r="F62" s="568" t="s">
        <v>468</v>
      </c>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671"/>
      <c r="AH62" s="11"/>
      <c r="AI62" s="11"/>
      <c r="AJ62" s="11"/>
      <c r="AK62" s="11"/>
      <c r="AL62" s="11"/>
      <c r="AM62" s="11"/>
      <c r="AN62" s="11"/>
    </row>
    <row r="63" spans="1:40" ht="15" customHeight="1">
      <c r="A63" s="980"/>
      <c r="C63" s="573" t="s">
        <v>469</v>
      </c>
      <c r="D63" s="514">
        <f>Assum.!I14</f>
        <v>-4.4168787390244223E-3</v>
      </c>
      <c r="E63" s="514">
        <f>Assum.!J14</f>
        <v>-4.70960823342437E-2</v>
      </c>
      <c r="F63" s="568" t="s">
        <v>468</v>
      </c>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671"/>
      <c r="AH63" s="11"/>
      <c r="AI63" s="11"/>
      <c r="AJ63" s="11"/>
      <c r="AK63" s="11"/>
      <c r="AL63" s="11"/>
      <c r="AM63" s="11"/>
      <c r="AN63" s="11"/>
    </row>
    <row r="64" spans="1:40" ht="15" customHeight="1">
      <c r="A64" s="980"/>
      <c r="C64" s="573" t="s">
        <v>138</v>
      </c>
      <c r="D64" s="591">
        <f>-Assum.!J27</f>
        <v>0.32631985784183448</v>
      </c>
      <c r="E64" s="591">
        <f>-Assum.!J27</f>
        <v>0.32631985784183448</v>
      </c>
      <c r="F64" s="568" t="s">
        <v>470</v>
      </c>
      <c r="G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row>
    <row r="65" spans="1:33" ht="15" customHeight="1">
      <c r="A65" s="980"/>
      <c r="C65" s="573" t="s">
        <v>471</v>
      </c>
      <c r="D65" s="593">
        <f>-Assum.!I30</f>
        <v>0.2184913134488855</v>
      </c>
      <c r="E65" s="592">
        <f>-Assum.!I30</f>
        <v>0.2184913134488855</v>
      </c>
      <c r="F65" s="568" t="s">
        <v>470</v>
      </c>
      <c r="G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row>
    <row r="66" spans="1:33" ht="15" customHeight="1">
      <c r="A66" s="980"/>
      <c r="C66" s="573" t="s">
        <v>472</v>
      </c>
      <c r="D66" s="593"/>
      <c r="E66" s="593"/>
      <c r="F66" s="568" t="s">
        <v>468</v>
      </c>
      <c r="G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row>
    <row r="67" spans="1:33" ht="15.75" customHeight="1">
      <c r="A67" s="981"/>
      <c r="C67" s="573" t="s">
        <v>473</v>
      </c>
      <c r="D67" s="521"/>
      <c r="E67" s="521"/>
      <c r="F67" s="568" t="s">
        <v>468</v>
      </c>
      <c r="G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row>
    <row r="68" spans="1:33" ht="15">
      <c r="A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row>
    <row r="69" spans="1:33" ht="15">
      <c r="A69" s="979" t="s">
        <v>114</v>
      </c>
      <c r="C69" s="388"/>
      <c r="D69" s="526" t="s">
        <v>474</v>
      </c>
      <c r="E69" s="2"/>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row>
    <row r="70" spans="1:33" ht="15">
      <c r="A70" s="980"/>
      <c r="C70" s="388" t="s">
        <v>475</v>
      </c>
      <c r="D70" s="527">
        <f>SUMPRODUCT(G35:AF35,G45:AF45)+((AF43-AF44)*AF45)</f>
        <v>122136.11522737439</v>
      </c>
      <c r="E70" s="465">
        <f>D70/D72</f>
        <v>0.5622471810072891</v>
      </c>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row>
    <row r="71" spans="1:33" ht="15">
      <c r="A71" s="980"/>
      <c r="C71" s="388" t="s">
        <v>476</v>
      </c>
      <c r="D71" s="527">
        <f>(AF34/(F50-AF5))*AF45</f>
        <v>95092.390940611149</v>
      </c>
      <c r="E71" s="465">
        <f>D71/D72</f>
        <v>0.43775281899271085</v>
      </c>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row>
    <row r="72" spans="1:33" ht="15">
      <c r="A72" s="980"/>
      <c r="C72" s="388" t="s">
        <v>477</v>
      </c>
      <c r="D72" s="527">
        <f>D70+D71</f>
        <v>217228.50616798556</v>
      </c>
      <c r="E72" s="2"/>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row>
    <row r="73" spans="1:33" ht="15">
      <c r="A73" s="980"/>
      <c r="C73" s="528" t="s">
        <v>478</v>
      </c>
      <c r="D73" s="525">
        <f ca="1">OP!C19</f>
        <v>40.545000000000002</v>
      </c>
      <c r="E73" s="389"/>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row>
    <row r="74" spans="1:33" ht="15">
      <c r="A74" s="980"/>
      <c r="C74" s="528" t="s">
        <v>479</v>
      </c>
      <c r="D74" s="529">
        <f ca="1">D75/D73-1</f>
        <v>0.38352770473075148</v>
      </c>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row>
    <row r="75" spans="1:33" ht="15">
      <c r="A75" s="981"/>
      <c r="C75" s="530" t="s">
        <v>480</v>
      </c>
      <c r="D75" s="531">
        <f ca="1">D72*1000000/OP!C20</f>
        <v>56.095130788308325</v>
      </c>
    </row>
    <row r="76" spans="1:33" ht="15">
      <c r="A76" s="498"/>
      <c r="C76" s="389"/>
      <c r="D76" s="524"/>
    </row>
    <row r="77" spans="1:33" ht="15">
      <c r="A77" s="975" t="s">
        <v>481</v>
      </c>
      <c r="C77" s="563" t="s">
        <v>482</v>
      </c>
      <c r="D77" s="525">
        <f ca="1">(SUMPRODUCT(G35:AF35,G45:AF45)+((AF43-AF44)*AF45)+(AF34/(F50+0.001-AF5))*AF45)*1000000/OP!C20</f>
        <v>55.761038249065507</v>
      </c>
      <c r="E77" s="532">
        <f ca="1">D77/D75-1</f>
        <v>-5.955820666567524E-3</v>
      </c>
    </row>
    <row r="78" spans="1:33" ht="15">
      <c r="A78" s="976"/>
      <c r="C78" s="563" t="s">
        <v>483</v>
      </c>
      <c r="D78" s="525">
        <f ca="1">(SUMPRODUCT(G35:AF35,G45:AF45)+((AF43-AF44)*AF45)+(AF34/(F50+0.005-AF5))*AF45)*1000000/OP!C20</f>
        <v>54.510885521576263</v>
      </c>
      <c r="E78" s="532">
        <f ca="1">D78/D75-1</f>
        <v>-2.8242117354368657E-2</v>
      </c>
    </row>
    <row r="79" spans="1:33" ht="15">
      <c r="A79" s="561"/>
      <c r="C79" s="562"/>
      <c r="D79" s="524"/>
      <c r="E79" s="532"/>
    </row>
    <row r="80" spans="1:33" ht="15">
      <c r="A80" s="574" t="s">
        <v>484</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A52:A67"/>
    <mergeCell ref="G3:J3"/>
    <mergeCell ref="K3:AF3"/>
    <mergeCell ref="A42:AF42"/>
    <mergeCell ref="A48:AF48"/>
    <mergeCell ref="A34:A36"/>
    <mergeCell ref="A38:A41"/>
    <mergeCell ref="A49:A50"/>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workbookViewId="0">
      <selection activeCell="B9" sqref="B9"/>
    </sheetView>
  </sheetViews>
  <sheetFormatPr defaultColWidth="11.42578125" defaultRowHeight="12"/>
  <cols>
    <col min="1" max="1" width="36.140625" style="46" customWidth="1"/>
    <col min="2" max="10" width="12.42578125" style="46" customWidth="1"/>
    <col min="11" max="12" width="12.42578125" style="55" customWidth="1"/>
    <col min="13" max="13" width="12.140625" style="55" bestFit="1" customWidth="1"/>
    <col min="14" max="16384" width="11.42578125" style="45"/>
  </cols>
  <sheetData>
    <row r="1" spans="1:14" ht="15.75">
      <c r="A1" s="1004" t="e" vm="1">
        <f>Inputs!H3</f>
        <v>#VALUE!</v>
      </c>
      <c r="B1" s="1004"/>
      <c r="C1" s="1004"/>
      <c r="D1" s="1004"/>
      <c r="E1" s="1004"/>
      <c r="F1" s="1004"/>
      <c r="G1" s="1004"/>
      <c r="H1" s="1004"/>
      <c r="I1" s="1004"/>
      <c r="J1" s="1004"/>
      <c r="K1" s="1004"/>
      <c r="L1" s="1004"/>
      <c r="M1" s="1004"/>
    </row>
    <row r="2" spans="1:14" ht="12" customHeight="1">
      <c r="A2" s="1005" t="str">
        <f>Inputs!G2</f>
        <v>Figures in Millions of USD</v>
      </c>
      <c r="B2" s="1005"/>
      <c r="C2" s="1005"/>
      <c r="D2" s="1005"/>
      <c r="E2" s="1005"/>
      <c r="F2" s="1005"/>
      <c r="G2" s="1005"/>
      <c r="H2" s="1005"/>
      <c r="I2" s="1005"/>
      <c r="J2" s="1005"/>
      <c r="K2" s="1005"/>
      <c r="L2" s="1005"/>
      <c r="M2" s="1005"/>
    </row>
    <row r="3" spans="1:14" ht="20.25">
      <c r="A3" s="1003" t="s">
        <v>485</v>
      </c>
      <c r="B3" s="1003"/>
      <c r="C3" s="1003"/>
      <c r="D3" s="1003"/>
      <c r="E3" s="1003"/>
      <c r="F3" s="1003"/>
      <c r="G3" s="1003"/>
      <c r="H3" s="1003"/>
      <c r="I3" s="1003"/>
      <c r="J3" s="1003"/>
      <c r="K3" s="1003"/>
      <c r="L3" s="1003"/>
      <c r="M3" s="1003"/>
    </row>
    <row r="4" spans="1:14">
      <c r="A4" s="57"/>
      <c r="B4" s="58">
        <f>OP!J19</f>
        <v>2022</v>
      </c>
      <c r="C4" s="47">
        <f>B4-1</f>
        <v>2021</v>
      </c>
      <c r="D4" s="47">
        <f t="shared" ref="D4:M4" si="0">C4-1</f>
        <v>2020</v>
      </c>
      <c r="E4" s="47">
        <f t="shared" si="0"/>
        <v>2019</v>
      </c>
      <c r="F4" s="47">
        <f t="shared" si="0"/>
        <v>2018</v>
      </c>
      <c r="G4" s="47">
        <f t="shared" si="0"/>
        <v>2017</v>
      </c>
      <c r="H4" s="47">
        <f t="shared" si="0"/>
        <v>2016</v>
      </c>
      <c r="I4" s="47">
        <f t="shared" si="0"/>
        <v>2015</v>
      </c>
      <c r="J4" s="47">
        <f t="shared" si="0"/>
        <v>2014</v>
      </c>
      <c r="K4" s="47">
        <f t="shared" si="0"/>
        <v>2013</v>
      </c>
      <c r="L4" s="47">
        <f t="shared" si="0"/>
        <v>2012</v>
      </c>
      <c r="M4" s="47">
        <f t="shared" si="0"/>
        <v>2011</v>
      </c>
      <c r="N4" s="50"/>
    </row>
    <row r="5" spans="1:14" ht="12.75">
      <c r="A5" s="59" t="s">
        <v>127</v>
      </c>
      <c r="B5" s="60">
        <f>_xlfn.XLOOKUP($A5,Inputs!$A:$A,Inputs!B:B,,0)</f>
        <v>121427</v>
      </c>
      <c r="C5" s="60">
        <f>_xlfn.XLOOKUP($A5,Inputs!$A:$A,Inputs!C:C,,0)</f>
        <v>116385</v>
      </c>
      <c r="D5" s="60">
        <f>_xlfn.XLOOKUP($A5,Inputs!$A:$A,Inputs!D:D,,0)</f>
        <v>103564</v>
      </c>
      <c r="E5" s="60">
        <f>_xlfn.XLOOKUP($A5,Inputs!$A:$A,Inputs!E:E,,0)</f>
        <v>108942</v>
      </c>
      <c r="F5" s="60">
        <f>_xlfn.XLOOKUP($A5,Inputs!$A:$A,Inputs!F:F,,0)</f>
        <v>94507</v>
      </c>
      <c r="G5" s="60">
        <f>_xlfn.XLOOKUP($A5,Inputs!$A:$A,Inputs!G:G,,0)</f>
        <v>85029</v>
      </c>
      <c r="H5" s="60">
        <f>_xlfn.XLOOKUP($A5,Inputs!$A:$A,Inputs!H:H,,0)</f>
        <v>80736</v>
      </c>
      <c r="I5" s="60">
        <f>_xlfn.XLOOKUP($A5,Inputs!$A:$A,Inputs!I:I,,0)</f>
        <v>74510</v>
      </c>
      <c r="J5" s="60">
        <f>_xlfn.XLOOKUP($A5,Inputs!$A:$A,Inputs!J:J,,0)</f>
        <v>68775</v>
      </c>
      <c r="K5" s="60">
        <f>_xlfn.XLOOKUP($A5,Inputs!$A:$A,Inputs!K:K,,0)</f>
        <v>64657</v>
      </c>
      <c r="L5" s="60">
        <f>_xlfn.XLOOKUP($A5,Inputs!$A:$A,Inputs!L:L,,0)</f>
        <v>62570</v>
      </c>
      <c r="M5" s="61">
        <f>_xlfn.XLOOKUP($A5,Inputs!$A:$A,Inputs!M:M,,0)</f>
        <v>55842</v>
      </c>
      <c r="N5" s="50"/>
    </row>
    <row r="6" spans="1:14" ht="12.75">
      <c r="A6" s="62" t="s">
        <v>486</v>
      </c>
      <c r="B6" s="63">
        <f t="shared" ref="B6:M6" si="1">IFERROR(B5/C5-1,"-")</f>
        <v>4.3321733900416826E-2</v>
      </c>
      <c r="C6" s="63">
        <f t="shared" si="1"/>
        <v>0.12379784481093825</v>
      </c>
      <c r="D6" s="63">
        <f t="shared" si="1"/>
        <v>-4.9365717537772413E-2</v>
      </c>
      <c r="E6" s="63">
        <f t="shared" si="1"/>
        <v>0.15274000867660598</v>
      </c>
      <c r="F6" s="63">
        <f t="shared" si="1"/>
        <v>0.11146785214456245</v>
      </c>
      <c r="G6" s="63">
        <f t="shared" si="1"/>
        <v>5.3173305588585018E-2</v>
      </c>
      <c r="H6" s="63">
        <f t="shared" si="1"/>
        <v>8.355925379143736E-2</v>
      </c>
      <c r="I6" s="63">
        <f t="shared" si="1"/>
        <v>8.3387858960378036E-2</v>
      </c>
      <c r="J6" s="63">
        <f t="shared" si="1"/>
        <v>6.3689933031226387E-2</v>
      </c>
      <c r="K6" s="63">
        <f t="shared" si="1"/>
        <v>3.3354642800063949E-2</v>
      </c>
      <c r="L6" s="63">
        <f t="shared" si="1"/>
        <v>0.12048279073099111</v>
      </c>
      <c r="M6" s="64" t="str">
        <f t="shared" si="1"/>
        <v>-</v>
      </c>
      <c r="N6" s="50"/>
    </row>
    <row r="7" spans="1:14" ht="12.75">
      <c r="A7" s="59" t="s">
        <v>487</v>
      </c>
      <c r="B7" s="60">
        <f>_xlfn.XLOOKUP($A7,Inputs!$A:$A,Inputs!B:B,,0)</f>
        <v>36445</v>
      </c>
      <c r="C7" s="60">
        <f>_xlfn.XLOOKUP($A7,Inputs!$A:$A,Inputs!C:C,,0)</f>
        <v>34621</v>
      </c>
      <c r="D7" s="60">
        <f>_xlfn.XLOOKUP($A7,Inputs!$A:$A,Inputs!D:D,,0)</f>
        <v>30593</v>
      </c>
      <c r="E7" s="60">
        <f>_xlfn.XLOOKUP($A7,Inputs!$A:$A,Inputs!E:E,,0)</f>
        <v>34078</v>
      </c>
      <c r="F7" s="60">
        <f>_xlfn.XLOOKUP($A7,Inputs!$A:$A,Inputs!F:F,,0)</f>
        <v>29685</v>
      </c>
      <c r="G7" s="60">
        <f>_xlfn.XLOOKUP($A7,Inputs!$A:$A,Inputs!G:G,,0)</f>
        <v>27706</v>
      </c>
      <c r="H7" s="60">
        <f>_xlfn.XLOOKUP($A7,Inputs!$A:$A,Inputs!H:H,,0)</f>
        <v>26257</v>
      </c>
      <c r="I7" s="60">
        <f>_xlfn.XLOOKUP($A7,Inputs!$A:$A,Inputs!I:I,,0)</f>
        <v>24678</v>
      </c>
      <c r="J7" s="60">
        <f>_xlfn.XLOOKUP($A7,Inputs!$A:$A,Inputs!J:J,,0)</f>
        <v>22923</v>
      </c>
      <c r="K7" s="60">
        <f>_xlfn.XLOOKUP($A7,Inputs!$A:$A,Inputs!K:K,,0)</f>
        <v>21434</v>
      </c>
      <c r="L7" s="60">
        <f>_xlfn.XLOOKUP($A7,Inputs!$A:$A,Inputs!L:L,,0)</f>
        <v>19977</v>
      </c>
      <c r="M7" s="61">
        <f>_xlfn.XLOOKUP($A7,Inputs!$A:$A,Inputs!M:M,,0)</f>
        <v>24440</v>
      </c>
      <c r="N7" s="50"/>
    </row>
    <row r="8" spans="1:14" ht="12.75">
      <c r="A8" s="62" t="s">
        <v>488</v>
      </c>
      <c r="B8" s="63">
        <f>IFERROR(B7/B$5,"-")</f>
        <v>0.30013917827171882</v>
      </c>
      <c r="C8" s="63">
        <f t="shared" ref="C8:M8" si="2">IFERROR(C7/C$5,"-")</f>
        <v>0.29746960518967219</v>
      </c>
      <c r="D8" s="63">
        <f t="shared" si="2"/>
        <v>0.29540187710015064</v>
      </c>
      <c r="E8" s="63">
        <f t="shared" si="2"/>
        <v>0.31280865047456446</v>
      </c>
      <c r="F8" s="63">
        <f t="shared" si="2"/>
        <v>0.31410371718497043</v>
      </c>
      <c r="G8" s="63">
        <f t="shared" si="2"/>
        <v>0.32584177163085537</v>
      </c>
      <c r="H8" s="63">
        <f t="shared" si="2"/>
        <v>0.32522047166072138</v>
      </c>
      <c r="I8" s="63">
        <f t="shared" si="2"/>
        <v>0.33120386525298617</v>
      </c>
      <c r="J8" s="63">
        <f t="shared" si="2"/>
        <v>0.33330425299890948</v>
      </c>
      <c r="K8" s="63">
        <f t="shared" si="2"/>
        <v>0.33150316284393028</v>
      </c>
      <c r="L8" s="63">
        <f t="shared" si="2"/>
        <v>0.31927441265782325</v>
      </c>
      <c r="M8" s="64">
        <f t="shared" si="2"/>
        <v>0.43766340747107912</v>
      </c>
      <c r="N8" s="50"/>
    </row>
    <row r="9" spans="1:14" ht="12.75">
      <c r="A9" s="59" t="s">
        <v>489</v>
      </c>
      <c r="B9" s="60">
        <f t="shared" ref="B9:M9" si="3">B5-B11</f>
        <v>107386</v>
      </c>
      <c r="C9" s="60">
        <f t="shared" si="3"/>
        <v>95568</v>
      </c>
      <c r="D9" s="60">
        <f t="shared" si="3"/>
        <v>86071</v>
      </c>
      <c r="E9" s="60">
        <f t="shared" si="3"/>
        <v>87817</v>
      </c>
      <c r="F9" s="60">
        <f t="shared" si="3"/>
        <v>75498</v>
      </c>
      <c r="G9" s="60">
        <f t="shared" si="3"/>
        <v>67011</v>
      </c>
      <c r="H9" s="60">
        <f t="shared" si="3"/>
        <v>63905</v>
      </c>
      <c r="I9" s="60">
        <f t="shared" si="3"/>
        <v>58512</v>
      </c>
      <c r="J9" s="60">
        <f t="shared" si="3"/>
        <v>53871</v>
      </c>
      <c r="K9" s="60">
        <f t="shared" si="3"/>
        <v>51094</v>
      </c>
      <c r="L9" s="60">
        <f t="shared" si="3"/>
        <v>50391</v>
      </c>
      <c r="M9" s="61">
        <f t="shared" si="3"/>
        <v>45121</v>
      </c>
      <c r="N9" s="50"/>
    </row>
    <row r="10" spans="1:14" ht="12.75">
      <c r="A10" s="62" t="s">
        <v>488</v>
      </c>
      <c r="B10" s="63">
        <f>IFERROR(B9/B$5,"-")</f>
        <v>0.88436673886367945</v>
      </c>
      <c r="C10" s="63">
        <f t="shared" ref="C10:M10" si="4">IFERROR(C9/C$5,"-")</f>
        <v>0.82113674442582807</v>
      </c>
      <c r="D10" s="63">
        <f t="shared" si="4"/>
        <v>0.83108995403808272</v>
      </c>
      <c r="E10" s="63">
        <f t="shared" si="4"/>
        <v>0.80608947880523585</v>
      </c>
      <c r="F10" s="63">
        <f t="shared" si="4"/>
        <v>0.79886145999767211</v>
      </c>
      <c r="G10" s="63">
        <f t="shared" si="4"/>
        <v>0.78809582612990858</v>
      </c>
      <c r="H10" s="63">
        <f t="shared" si="4"/>
        <v>0.79153042013476016</v>
      </c>
      <c r="I10" s="63">
        <f t="shared" si="4"/>
        <v>0.78529056502482886</v>
      </c>
      <c r="J10" s="63">
        <f t="shared" si="4"/>
        <v>0.78329334787350058</v>
      </c>
      <c r="K10" s="63">
        <f t="shared" si="4"/>
        <v>0.79023152945543407</v>
      </c>
      <c r="L10" s="63">
        <f t="shared" si="4"/>
        <v>0.80535400351606201</v>
      </c>
      <c r="M10" s="64">
        <f t="shared" si="4"/>
        <v>0.80801189069159418</v>
      </c>
      <c r="N10" s="50"/>
    </row>
    <row r="11" spans="1:14" ht="12.75">
      <c r="A11" s="59" t="s">
        <v>261</v>
      </c>
      <c r="B11" s="60">
        <f>_xlfn.XLOOKUP($A11,Inputs!$A:$A,Inputs!B:B,,0)</f>
        <v>14041</v>
      </c>
      <c r="C11" s="60">
        <f>_xlfn.XLOOKUP($A11,Inputs!$A:$A,Inputs!C:C,,0)</f>
        <v>20817</v>
      </c>
      <c r="D11" s="60">
        <f>_xlfn.XLOOKUP($A11,Inputs!$A:$A,Inputs!D:D,,0)</f>
        <v>17493</v>
      </c>
      <c r="E11" s="60">
        <f>_xlfn.XLOOKUP($A11,Inputs!$A:$A,Inputs!E:E,,0)</f>
        <v>21125</v>
      </c>
      <c r="F11" s="60">
        <f>_xlfn.XLOOKUP($A11,Inputs!$A:$A,Inputs!F:F,,0)</f>
        <v>19009</v>
      </c>
      <c r="G11" s="60">
        <f>_xlfn.XLOOKUP($A11,Inputs!$A:$A,Inputs!G:G,,0)</f>
        <v>18018</v>
      </c>
      <c r="H11" s="60">
        <f>_xlfn.XLOOKUP($A11,Inputs!$A:$A,Inputs!H:H,,0)</f>
        <v>16831</v>
      </c>
      <c r="I11" s="60">
        <f>_xlfn.XLOOKUP($A11,Inputs!$A:$A,Inputs!I:I,,0)</f>
        <v>15998</v>
      </c>
      <c r="J11" s="60">
        <f>_xlfn.XLOOKUP($A11,Inputs!$A:$A,Inputs!J:J,,0)</f>
        <v>14904</v>
      </c>
      <c r="K11" s="60">
        <f>_xlfn.XLOOKUP($A11,Inputs!$A:$A,Inputs!K:K,,0)</f>
        <v>13563</v>
      </c>
      <c r="L11" s="60">
        <f>_xlfn.XLOOKUP($A11,Inputs!$A:$A,Inputs!L:L,,0)</f>
        <v>12179</v>
      </c>
      <c r="M11" s="61">
        <f>_xlfn.XLOOKUP($A11,Inputs!$A:$A,Inputs!M:M,,0)</f>
        <v>10721</v>
      </c>
      <c r="N11" s="50"/>
    </row>
    <row r="12" spans="1:14" ht="12.75">
      <c r="A12" s="62" t="s">
        <v>488</v>
      </c>
      <c r="B12" s="63">
        <f t="shared" ref="B12:M12" si="5">IFERROR(B11/B$5,"-")</f>
        <v>0.11563326113632058</v>
      </c>
      <c r="C12" s="63">
        <f t="shared" si="5"/>
        <v>0.17886325557417193</v>
      </c>
      <c r="D12" s="63">
        <f t="shared" si="5"/>
        <v>0.16891004596191728</v>
      </c>
      <c r="E12" s="63">
        <f t="shared" si="5"/>
        <v>0.19391052119476418</v>
      </c>
      <c r="F12" s="63">
        <f t="shared" si="5"/>
        <v>0.20113854000232786</v>
      </c>
      <c r="G12" s="63">
        <f t="shared" si="5"/>
        <v>0.21190417387009139</v>
      </c>
      <c r="H12" s="63">
        <f t="shared" si="5"/>
        <v>0.20846957986523978</v>
      </c>
      <c r="I12" s="63">
        <f t="shared" si="5"/>
        <v>0.21470943497517112</v>
      </c>
      <c r="J12" s="63">
        <f t="shared" si="5"/>
        <v>0.21670665212649945</v>
      </c>
      <c r="K12" s="63">
        <f t="shared" si="5"/>
        <v>0.20976847054456593</v>
      </c>
      <c r="L12" s="63">
        <f t="shared" si="5"/>
        <v>0.19464599648393799</v>
      </c>
      <c r="M12" s="64">
        <f t="shared" si="5"/>
        <v>0.19198810930840585</v>
      </c>
      <c r="N12" s="50"/>
    </row>
    <row r="13" spans="1:14" ht="12.75">
      <c r="A13" s="59" t="s">
        <v>490</v>
      </c>
      <c r="B13" s="63">
        <f t="shared" ref="B13:M13" si="6">IFERROR(B12/C12-1,"-")</f>
        <v>-0.35351025136423742</v>
      </c>
      <c r="C13" s="63">
        <f t="shared" si="6"/>
        <v>5.8926096168955722E-2</v>
      </c>
      <c r="D13" s="63">
        <f t="shared" si="6"/>
        <v>-0.12892789457120979</v>
      </c>
      <c r="E13" s="63">
        <f t="shared" si="6"/>
        <v>-3.5935523880605058E-2</v>
      </c>
      <c r="F13" s="63">
        <f t="shared" si="6"/>
        <v>-5.0804255863140413E-2</v>
      </c>
      <c r="G13" s="63">
        <f t="shared" si="6"/>
        <v>1.6475276666609195E-2</v>
      </c>
      <c r="H13" s="63">
        <f t="shared" si="6"/>
        <v>-2.9061857997311091E-2</v>
      </c>
      <c r="I13" s="63">
        <f t="shared" si="6"/>
        <v>-9.2162244754835365E-3</v>
      </c>
      <c r="J13" s="63">
        <f t="shared" si="6"/>
        <v>3.3075426273175168E-2</v>
      </c>
      <c r="K13" s="63">
        <f t="shared" si="6"/>
        <v>7.7692191639173291E-2</v>
      </c>
      <c r="L13" s="63">
        <f t="shared" si="6"/>
        <v>1.3844019742194291E-2</v>
      </c>
      <c r="M13" s="64" t="str">
        <f t="shared" si="6"/>
        <v>-</v>
      </c>
      <c r="N13" s="50"/>
    </row>
    <row r="14" spans="1:14" ht="12.75">
      <c r="A14" s="65" t="s">
        <v>262</v>
      </c>
      <c r="B14" s="60">
        <f>_xlfn.XLOOKUP($A14,Inputs!$A:$A,Inputs!B:B,,0)</f>
        <v>-3896</v>
      </c>
      <c r="C14" s="60">
        <f>_xlfn.XLOOKUP($A14,Inputs!$A:$A,Inputs!C:C,,0)</f>
        <v>-4281</v>
      </c>
      <c r="D14" s="60">
        <f>_xlfn.XLOOKUP($A14,Inputs!$A:$A,Inputs!D:D,,0)</f>
        <v>-4588</v>
      </c>
      <c r="E14" s="60">
        <f>_xlfn.XLOOKUP($A14,Inputs!$A:$A,Inputs!E:E,,0)</f>
        <v>-4567</v>
      </c>
      <c r="F14" s="60">
        <f>_xlfn.XLOOKUP($A14,Inputs!$A:$A,Inputs!F:F,,0)</f>
        <v>-3542</v>
      </c>
      <c r="G14" s="60">
        <f>_xlfn.XLOOKUP($A14,Inputs!$A:$A,Inputs!G:G,,0)</f>
        <v>-3086</v>
      </c>
      <c r="H14" s="60">
        <f>_xlfn.XLOOKUP($A14,Inputs!$A:$A,Inputs!H:H,,0)</f>
        <v>-2942</v>
      </c>
      <c r="I14" s="60">
        <f>_xlfn.XLOOKUP($A14,Inputs!$A:$A,Inputs!I:I,,0)</f>
        <v>-2702</v>
      </c>
      <c r="J14" s="60">
        <f>_xlfn.XLOOKUP($A14,Inputs!$A:$A,Inputs!J:J,,0)</f>
        <v>-2617</v>
      </c>
      <c r="K14" s="60">
        <f>_xlfn.XLOOKUP($A14,Inputs!$A:$A,Inputs!K:K,,0)</f>
        <v>-2574</v>
      </c>
      <c r="L14" s="60">
        <f>_xlfn.XLOOKUP($A14,Inputs!$A:$A,Inputs!L:L,,0)</f>
        <v>-2521</v>
      </c>
      <c r="M14" s="61">
        <f>_xlfn.XLOOKUP($A14,Inputs!$A:$A,Inputs!M:M,,0)</f>
        <v>-2505</v>
      </c>
      <c r="N14" s="50"/>
    </row>
    <row r="15" spans="1:14" ht="12.75">
      <c r="A15" s="59" t="s">
        <v>491</v>
      </c>
      <c r="B15" s="60">
        <f>_xlfn.XLOOKUP($A15,Inputs!$A:$A,Inputs!B:B,,0)</f>
        <v>-861</v>
      </c>
      <c r="C15" s="60">
        <f>_xlfn.XLOOKUP($A15,Inputs!$A:$A,Inputs!C:C,,0)</f>
        <v>2556</v>
      </c>
      <c r="D15" s="60">
        <f>_xlfn.XLOOKUP($A15,Inputs!$A:$A,Inputs!D:D,,0)</f>
        <v>1160</v>
      </c>
      <c r="E15" s="60">
        <f>_xlfn.XLOOKUP($A15,Inputs!$A:$A,Inputs!E:E,,0)</f>
        <v>438</v>
      </c>
      <c r="F15" s="60">
        <f>_xlfn.XLOOKUP($A15,Inputs!$A:$A,Inputs!F:F,,0)</f>
        <v>-225</v>
      </c>
      <c r="G15" s="60">
        <f>_xlfn.XLOOKUP($A15,Inputs!$A:$A,Inputs!G:G,,0)</f>
        <v>421</v>
      </c>
      <c r="H15" s="60">
        <f>_xlfn.XLOOKUP($A15,Inputs!$A:$A,Inputs!H:H,,0)</f>
        <v>437</v>
      </c>
      <c r="I15" s="60">
        <f>_xlfn.XLOOKUP($A15,Inputs!$A:$A,Inputs!I:I,,0)</f>
        <v>76</v>
      </c>
      <c r="J15" s="60">
        <f>_xlfn.XLOOKUP($A15,Inputs!$A:$A,Inputs!J:J,,0)</f>
        <v>178</v>
      </c>
      <c r="K15" s="60">
        <f>_xlfn.XLOOKUP($A15,Inputs!$A:$A,Inputs!K:K,,0)</f>
        <v>126</v>
      </c>
      <c r="L15" s="60">
        <f>_xlfn.XLOOKUP($A15,Inputs!$A:$A,Inputs!L:L,,0)</f>
        <v>1951</v>
      </c>
      <c r="M15" s="61">
        <f>_xlfn.XLOOKUP($A15,Inputs!$A:$A,Inputs!M:M,,0)</f>
        <v>-9</v>
      </c>
      <c r="N15" s="50"/>
    </row>
    <row r="16" spans="1:14" ht="12.75">
      <c r="A16" s="65" t="s">
        <v>65</v>
      </c>
      <c r="B16" s="60">
        <f>B11-B15</f>
        <v>14902</v>
      </c>
      <c r="C16" s="60">
        <f t="shared" ref="C16:M16" si="7">C11-C15</f>
        <v>18261</v>
      </c>
      <c r="D16" s="60">
        <f t="shared" si="7"/>
        <v>16333</v>
      </c>
      <c r="E16" s="60">
        <f t="shared" si="7"/>
        <v>20687</v>
      </c>
      <c r="F16" s="60">
        <f t="shared" si="7"/>
        <v>19234</v>
      </c>
      <c r="G16" s="60">
        <f t="shared" si="7"/>
        <v>17597</v>
      </c>
      <c r="H16" s="60">
        <f t="shared" si="7"/>
        <v>16394</v>
      </c>
      <c r="I16" s="60">
        <f t="shared" si="7"/>
        <v>15922</v>
      </c>
      <c r="J16" s="60">
        <f t="shared" si="7"/>
        <v>14726</v>
      </c>
      <c r="K16" s="60">
        <f t="shared" si="7"/>
        <v>13437</v>
      </c>
      <c r="L16" s="60">
        <f t="shared" si="7"/>
        <v>10228</v>
      </c>
      <c r="M16" s="61">
        <f t="shared" si="7"/>
        <v>10730</v>
      </c>
      <c r="N16" s="50"/>
    </row>
    <row r="17" spans="1:14" ht="12.75">
      <c r="A17" s="59" t="s">
        <v>492</v>
      </c>
      <c r="B17" s="60">
        <f>'Fin. Data'!B17</f>
        <v>13821</v>
      </c>
      <c r="C17" s="60">
        <f>'Fin. Data'!C17</f>
        <v>13804</v>
      </c>
      <c r="D17" s="60">
        <f>'Fin. Data'!D17</f>
        <v>13100</v>
      </c>
      <c r="E17" s="60">
        <f>'Fin. Data'!E17</f>
        <v>12953</v>
      </c>
      <c r="F17" s="60">
        <f>'Fin. Data'!F17</f>
        <v>10676</v>
      </c>
      <c r="G17" s="60">
        <f>'Fin. Data'!G17</f>
        <v>9688</v>
      </c>
      <c r="H17" s="60">
        <f>'Fin. Data'!H17</f>
        <v>9426</v>
      </c>
      <c r="I17" s="60">
        <f>'Fin. Data'!I17</f>
        <v>8680</v>
      </c>
      <c r="J17" s="60">
        <f>'Fin. Data'!J17</f>
        <v>8019</v>
      </c>
      <c r="K17" s="60">
        <f>'Fin. Data'!K17</f>
        <v>7871</v>
      </c>
      <c r="L17" s="60">
        <f>'Fin. Data'!L17</f>
        <v>7798</v>
      </c>
      <c r="M17" s="61">
        <f>'Fin. Data'!M17</f>
        <v>7636</v>
      </c>
      <c r="N17" s="50"/>
    </row>
    <row r="18" spans="1:14" ht="12.75">
      <c r="A18" s="65" t="s">
        <v>493</v>
      </c>
      <c r="B18" s="60">
        <f>_xlfn.XLOOKUP($A18,Inputs!$A:$A,Inputs!B:B,,0)</f>
        <v>2442</v>
      </c>
      <c r="C18" s="60">
        <f>_xlfn.XLOOKUP($A18,Inputs!$A:$A,Inputs!C:C,,0)</f>
        <v>543</v>
      </c>
      <c r="D18" s="60">
        <f>_xlfn.XLOOKUP($A18,Inputs!$A:$A,Inputs!D:D,,0)</f>
        <v>-3395</v>
      </c>
      <c r="E18" s="60">
        <f>_xlfn.XLOOKUP($A18,Inputs!$A:$A,Inputs!E:E,,0)</f>
        <v>-831</v>
      </c>
      <c r="F18" s="60">
        <f>_xlfn.XLOOKUP($A18,Inputs!$A:$A,Inputs!F:F,,0)</f>
        <v>-491</v>
      </c>
      <c r="G18" s="60">
        <f>_xlfn.XLOOKUP($A18,Inputs!$A:$A,Inputs!G:G,,0)</f>
        <v>-603</v>
      </c>
      <c r="H18" s="60">
        <f>_xlfn.XLOOKUP($A18,Inputs!$A:$A,Inputs!H:H,,0)</f>
        <v>-305</v>
      </c>
      <c r="I18" s="60">
        <f>_xlfn.XLOOKUP($A18,Inputs!$A:$A,Inputs!I:I,,0)</f>
        <v>-381</v>
      </c>
      <c r="J18" s="60">
        <f>_xlfn.XLOOKUP($A18,Inputs!$A:$A,Inputs!J:J,,0)</f>
        <v>-1234</v>
      </c>
      <c r="K18" s="60">
        <f>_xlfn.XLOOKUP($A18,Inputs!$A:$A,Inputs!K:K,,0)</f>
        <v>1119</v>
      </c>
      <c r="L18" s="60">
        <f>_xlfn.XLOOKUP($A18,Inputs!$A:$A,Inputs!L:L,,0)</f>
        <v>-1386</v>
      </c>
      <c r="M18" s="61">
        <f>_xlfn.XLOOKUP($A18,Inputs!$A:$A,Inputs!M:M,,0)</f>
        <v>-6288</v>
      </c>
      <c r="N18" s="50"/>
    </row>
    <row r="19" spans="1:14" ht="12.75">
      <c r="A19" s="59" t="s">
        <v>55</v>
      </c>
      <c r="B19" s="60">
        <f>B11-B15+B17</f>
        <v>28723</v>
      </c>
      <c r="C19" s="60">
        <f t="shared" ref="C19:M19" si="8">C11-C15+C17</f>
        <v>32065</v>
      </c>
      <c r="D19" s="60">
        <f t="shared" si="8"/>
        <v>29433</v>
      </c>
      <c r="E19" s="60">
        <f t="shared" si="8"/>
        <v>33640</v>
      </c>
      <c r="F19" s="60">
        <f t="shared" si="8"/>
        <v>29910</v>
      </c>
      <c r="G19" s="60">
        <f t="shared" si="8"/>
        <v>27285</v>
      </c>
      <c r="H19" s="60">
        <f t="shared" si="8"/>
        <v>25820</v>
      </c>
      <c r="I19" s="60">
        <f t="shared" si="8"/>
        <v>24602</v>
      </c>
      <c r="J19" s="60">
        <f t="shared" si="8"/>
        <v>22745</v>
      </c>
      <c r="K19" s="60">
        <f t="shared" si="8"/>
        <v>21308</v>
      </c>
      <c r="L19" s="60">
        <f t="shared" si="8"/>
        <v>18026</v>
      </c>
      <c r="M19" s="61">
        <f t="shared" si="8"/>
        <v>18366</v>
      </c>
      <c r="N19" s="50"/>
    </row>
    <row r="20" spans="1:14" ht="12.75">
      <c r="A20" s="62" t="s">
        <v>488</v>
      </c>
      <c r="B20" s="63">
        <f t="shared" ref="B20:M20" si="9">IFERROR(B19/B$5,"-")</f>
        <v>0.23654541411712388</v>
      </c>
      <c r="C20" s="63">
        <f t="shared" si="9"/>
        <v>0.275508012200885</v>
      </c>
      <c r="D20" s="63">
        <f t="shared" si="9"/>
        <v>0.28420107373218495</v>
      </c>
      <c r="E20" s="63">
        <f t="shared" si="9"/>
        <v>0.30878816250849078</v>
      </c>
      <c r="F20" s="63">
        <f t="shared" si="9"/>
        <v>0.316484493212143</v>
      </c>
      <c r="G20" s="63">
        <f t="shared" si="9"/>
        <v>0.32089051970504179</v>
      </c>
      <c r="H20" s="63">
        <f t="shared" si="9"/>
        <v>0.31980776852952836</v>
      </c>
      <c r="I20" s="63">
        <f t="shared" si="9"/>
        <v>0.33018386793718962</v>
      </c>
      <c r="J20" s="63">
        <f t="shared" si="9"/>
        <v>0.33071610323518719</v>
      </c>
      <c r="K20" s="63">
        <f t="shared" si="9"/>
        <v>0.32955441792845325</v>
      </c>
      <c r="L20" s="63">
        <f t="shared" si="9"/>
        <v>0.28809333546428001</v>
      </c>
      <c r="M20" s="64">
        <f t="shared" si="9"/>
        <v>0.32889223165359405</v>
      </c>
      <c r="N20" s="50"/>
    </row>
    <row r="21" spans="1:14" ht="12.75">
      <c r="A21" s="59" t="s">
        <v>263</v>
      </c>
      <c r="B21" s="60">
        <f>_xlfn.XLOOKUP($A21,Inputs!$A:$A,Inputs!B:B,,0)</f>
        <v>-4359</v>
      </c>
      <c r="C21" s="60">
        <f>_xlfn.XLOOKUP($A21,Inputs!$A:$A,Inputs!C:C,,0)</f>
        <v>-5259</v>
      </c>
      <c r="D21" s="60">
        <f>_xlfn.XLOOKUP($A21,Inputs!$A:$A,Inputs!D:D,,0)</f>
        <v>-3364</v>
      </c>
      <c r="E21" s="60">
        <f>_xlfn.XLOOKUP($A21,Inputs!$A:$A,Inputs!E:E,,0)</f>
        <v>-3673</v>
      </c>
      <c r="F21" s="60">
        <f>_xlfn.XLOOKUP($A21,Inputs!$A:$A,Inputs!F:F,,0)</f>
        <v>-3380</v>
      </c>
      <c r="G21" s="60">
        <f>_xlfn.XLOOKUP($A21,Inputs!$A:$A,Inputs!G:G,,0)</f>
        <v>7569</v>
      </c>
      <c r="H21" s="60">
        <f>_xlfn.XLOOKUP($A21,Inputs!$A:$A,Inputs!H:H,,0)</f>
        <v>-5298</v>
      </c>
      <c r="I21" s="60">
        <f>_xlfn.XLOOKUP($A21,Inputs!$A:$A,Inputs!I:I,,0)</f>
        <v>-4959</v>
      </c>
      <c r="J21" s="60">
        <f>_xlfn.XLOOKUP($A21,Inputs!$A:$A,Inputs!J:J,,0)</f>
        <v>-3873</v>
      </c>
      <c r="K21" s="60">
        <f>_xlfn.XLOOKUP($A21,Inputs!$A:$A,Inputs!K:K,,0)</f>
        <v>-3980</v>
      </c>
      <c r="L21" s="60">
        <f>_xlfn.XLOOKUP($A21,Inputs!$A:$A,Inputs!L:L,,0)</f>
        <v>-3744</v>
      </c>
      <c r="M21" s="61">
        <f>_xlfn.XLOOKUP($A21,Inputs!$A:$A,Inputs!M:M,,0)</f>
        <v>-3050</v>
      </c>
      <c r="N21" s="50"/>
    </row>
    <row r="22" spans="1:14" ht="12.75">
      <c r="A22" s="62" t="s">
        <v>494</v>
      </c>
      <c r="B22" s="63">
        <f t="shared" ref="B22:M22" si="10">IFERROR(B21/B$5,"-")</f>
        <v>-3.5898111622621E-2</v>
      </c>
      <c r="C22" s="63">
        <f t="shared" si="10"/>
        <v>-4.518623533960562E-2</v>
      </c>
      <c r="D22" s="63">
        <f t="shared" si="10"/>
        <v>-3.248232976710054E-2</v>
      </c>
      <c r="E22" s="63">
        <f t="shared" si="10"/>
        <v>-3.371518789814764E-2</v>
      </c>
      <c r="F22" s="63">
        <f t="shared" si="10"/>
        <v>-3.5764546541526027E-2</v>
      </c>
      <c r="G22" s="63">
        <f t="shared" si="10"/>
        <v>8.9016688423949469E-2</v>
      </c>
      <c r="H22" s="63">
        <f t="shared" si="10"/>
        <v>-6.5621284185493456E-2</v>
      </c>
      <c r="I22" s="63">
        <f t="shared" si="10"/>
        <v>-6.655482485572406E-2</v>
      </c>
      <c r="J22" s="63">
        <f t="shared" si="10"/>
        <v>-5.6314067611777534E-2</v>
      </c>
      <c r="K22" s="63">
        <f t="shared" si="10"/>
        <v>-6.1555593361894305E-2</v>
      </c>
      <c r="L22" s="63">
        <f t="shared" si="10"/>
        <v>-5.983698257951095E-2</v>
      </c>
      <c r="M22" s="64">
        <f t="shared" si="10"/>
        <v>-5.4618387593567568E-2</v>
      </c>
      <c r="N22" s="50"/>
    </row>
    <row r="23" spans="1:14" ht="12.75">
      <c r="A23" s="59" t="s">
        <v>409</v>
      </c>
      <c r="B23" s="60">
        <f>_xlfn.XLOOKUP($A23,Inputs!$A:$A,Inputs!B:B,,0)</f>
        <v>4925</v>
      </c>
      <c r="C23" s="60">
        <f>_xlfn.XLOOKUP($A23,Inputs!$A:$A,Inputs!C:C,,0)</f>
        <v>13833</v>
      </c>
      <c r="D23" s="60">
        <f>_xlfn.XLOOKUP($A23,Inputs!$A:$A,Inputs!D:D,,0)</f>
        <v>10701</v>
      </c>
      <c r="E23" s="60">
        <f>_xlfn.XLOOKUP($A23,Inputs!$A:$A,Inputs!E:E,,0)</f>
        <v>13323</v>
      </c>
      <c r="F23" s="60">
        <f>_xlfn.XLOOKUP($A23,Inputs!$A:$A,Inputs!F:F,,0)</f>
        <v>11862</v>
      </c>
      <c r="G23" s="60">
        <f>_xlfn.XLOOKUP($A23,Inputs!$A:$A,Inputs!G:G,,0)</f>
        <v>22922</v>
      </c>
      <c r="H23" s="60">
        <f>_xlfn.XLOOKUP($A23,Inputs!$A:$A,Inputs!H:H,,0)</f>
        <v>9028</v>
      </c>
      <c r="I23" s="60">
        <f>_xlfn.XLOOKUP($A23,Inputs!$A:$A,Inputs!I:I,,0)</f>
        <v>8413</v>
      </c>
      <c r="J23" s="60">
        <f>_xlfn.XLOOKUP($A23,Inputs!$A:$A,Inputs!J:J,,0)</f>
        <v>8592</v>
      </c>
      <c r="K23" s="60">
        <f>_xlfn.XLOOKUP($A23,Inputs!$A:$A,Inputs!K:K,,0)</f>
        <v>7135</v>
      </c>
      <c r="L23" s="60">
        <f>_xlfn.XLOOKUP($A23,Inputs!$A:$A,Inputs!L:L,,0)</f>
        <v>7865</v>
      </c>
      <c r="M23" s="61">
        <f>_xlfn.XLOOKUP($A23,Inputs!$A:$A,Inputs!M:M,,0)</f>
        <v>5157</v>
      </c>
      <c r="N23" s="50"/>
    </row>
    <row r="24" spans="1:14" ht="12.75">
      <c r="A24" s="62" t="s">
        <v>488</v>
      </c>
      <c r="B24" s="63">
        <f t="shared" ref="B24:M24" si="11">IFERROR(B23/B$5,"-")</f>
        <v>4.0559348415097139E-2</v>
      </c>
      <c r="C24" s="63">
        <f t="shared" si="11"/>
        <v>0.11885552261889419</v>
      </c>
      <c r="D24" s="63">
        <f t="shared" si="11"/>
        <v>0.10332741106948361</v>
      </c>
      <c r="E24" s="63">
        <f t="shared" si="11"/>
        <v>0.12229443189954288</v>
      </c>
      <c r="F24" s="63">
        <f t="shared" si="11"/>
        <v>0.12551451215253898</v>
      </c>
      <c r="G24" s="63">
        <f t="shared" si="11"/>
        <v>0.26957861435510239</v>
      </c>
      <c r="H24" s="63">
        <f t="shared" si="11"/>
        <v>0.11182124455013873</v>
      </c>
      <c r="I24" s="63">
        <f t="shared" si="11"/>
        <v>0.11291101865521407</v>
      </c>
      <c r="J24" s="63">
        <f t="shared" si="11"/>
        <v>0.12492911668484187</v>
      </c>
      <c r="K24" s="63">
        <f t="shared" si="11"/>
        <v>0.11035154739626027</v>
      </c>
      <c r="L24" s="63">
        <f t="shared" si="11"/>
        <v>0.12569921687709765</v>
      </c>
      <c r="M24" s="64">
        <f t="shared" si="11"/>
        <v>9.2349844203287845E-2</v>
      </c>
      <c r="N24" s="50"/>
    </row>
    <row r="25" spans="1:14" ht="12.75">
      <c r="A25" s="59" t="s">
        <v>486</v>
      </c>
      <c r="B25" s="63">
        <f t="shared" ref="B25:M25" si="12">IFERROR(B24/C24-1,"-")</f>
        <v>-0.65875083023992764</v>
      </c>
      <c r="C25" s="63">
        <f t="shared" si="12"/>
        <v>0.15028066017224173</v>
      </c>
      <c r="D25" s="63">
        <f t="shared" si="12"/>
        <v>-0.15509308588668602</v>
      </c>
      <c r="E25" s="63">
        <f t="shared" si="12"/>
        <v>-2.5655043371261343E-2</v>
      </c>
      <c r="F25" s="63">
        <f t="shared" si="12"/>
        <v>-0.53440478781004119</v>
      </c>
      <c r="G25" s="63">
        <f t="shared" si="12"/>
        <v>1.4107996243435474</v>
      </c>
      <c r="H25" s="63">
        <f t="shared" si="12"/>
        <v>-9.6516187530207853E-3</v>
      </c>
      <c r="I25" s="63">
        <f t="shared" si="12"/>
        <v>-9.6199335659643004E-2</v>
      </c>
      <c r="J25" s="63">
        <f t="shared" si="12"/>
        <v>0.13210117694349277</v>
      </c>
      <c r="K25" s="63">
        <f t="shared" si="12"/>
        <v>-0.12209836991938905</v>
      </c>
      <c r="L25" s="63">
        <f t="shared" si="12"/>
        <v>0.36111996681227199</v>
      </c>
      <c r="M25" s="64" t="str">
        <f t="shared" si="12"/>
        <v>-</v>
      </c>
      <c r="N25" s="50"/>
    </row>
    <row r="26" spans="1:14" ht="12.75">
      <c r="A26" s="62" t="s">
        <v>495</v>
      </c>
      <c r="B26" s="66">
        <f>B39-C39</f>
        <v>-3962</v>
      </c>
      <c r="C26" s="66">
        <f t="shared" ref="C26:M26" si="13">C39-D39</f>
        <v>-3029</v>
      </c>
      <c r="D26" s="66">
        <f t="shared" si="13"/>
        <v>6240</v>
      </c>
      <c r="E26" s="66">
        <f t="shared" si="13"/>
        <v>1686</v>
      </c>
      <c r="F26" s="66">
        <f t="shared" si="13"/>
        <v>386</v>
      </c>
      <c r="G26" s="66">
        <f t="shared" si="13"/>
        <v>127</v>
      </c>
      <c r="H26" s="66">
        <f t="shared" si="13"/>
        <v>1006</v>
      </c>
      <c r="I26" s="66">
        <f t="shared" si="13"/>
        <v>-1615</v>
      </c>
      <c r="J26" s="66">
        <f t="shared" si="13"/>
        <v>2192</v>
      </c>
      <c r="K26" s="66">
        <f t="shared" si="13"/>
        <v>-9233</v>
      </c>
      <c r="L26" s="66">
        <f t="shared" si="13"/>
        <v>9331</v>
      </c>
      <c r="M26" s="67">
        <f t="shared" si="13"/>
        <v>1620</v>
      </c>
      <c r="N26" s="50"/>
    </row>
    <row r="27" spans="1:14" ht="12.75">
      <c r="A27" s="59" t="s">
        <v>138</v>
      </c>
      <c r="B27" s="60">
        <f>_xlfn.XLOOKUP($A27,Inputs!$A:$A,Inputs!B:B,,0)</f>
        <v>-4741</v>
      </c>
      <c r="C27" s="60">
        <f>_xlfn.XLOOKUP($A27,Inputs!$A:$A,Inputs!C:C,,0)</f>
        <v>-4532</v>
      </c>
      <c r="D27" s="60">
        <f>_xlfn.XLOOKUP($A27,Inputs!$A:$A,Inputs!D:D,,0)</f>
        <v>-4140</v>
      </c>
      <c r="E27" s="60">
        <f>_xlfn.XLOOKUP($A27,Inputs!$A:$A,Inputs!E:E,,0)</f>
        <v>-3735</v>
      </c>
      <c r="F27" s="60">
        <f>_xlfn.XLOOKUP($A27,Inputs!$A:$A,Inputs!F:F,,0)</f>
        <v>-3352</v>
      </c>
      <c r="G27" s="60">
        <f>_xlfn.XLOOKUP($A27,Inputs!$A:$A,Inputs!G:G,,0)</f>
        <v>-2883</v>
      </c>
      <c r="H27" s="60">
        <f>_xlfn.XLOOKUP($A27,Inputs!$A:$A,Inputs!H:H,,0)</f>
        <v>-2601</v>
      </c>
      <c r="I27" s="60">
        <f>_xlfn.XLOOKUP($A27,Inputs!$A:$A,Inputs!I:I,,0)</f>
        <v>-2437</v>
      </c>
      <c r="J27" s="60">
        <f>_xlfn.XLOOKUP($A27,Inputs!$A:$A,Inputs!J:J,,0)</f>
        <v>-2254</v>
      </c>
      <c r="K27" s="60">
        <f>_xlfn.XLOOKUP($A27,Inputs!$A:$A,Inputs!K:K,,0)</f>
        <v>-1964</v>
      </c>
      <c r="L27" s="60">
        <f>_xlfn.XLOOKUP($A27,Inputs!$A:$A,Inputs!L:L,,0)</f>
        <v>-1608</v>
      </c>
      <c r="M27" s="61">
        <f>_xlfn.XLOOKUP($A27,Inputs!$A:$A,Inputs!M:M,,0)</f>
        <v>-1187</v>
      </c>
      <c r="N27" s="50"/>
    </row>
    <row r="28" spans="1:14" ht="12.75">
      <c r="A28" s="65" t="s">
        <v>496</v>
      </c>
      <c r="B28" s="60">
        <f>_xlfn.XLOOKUP($A28,Inputs!$A:$A,Inputs!B:B,,0)</f>
        <v>-13328</v>
      </c>
      <c r="C28" s="60">
        <f>_xlfn.XLOOKUP($A28,Inputs!$A:$A,Inputs!C:C,,0)</f>
        <v>-4672</v>
      </c>
      <c r="D28" s="60">
        <f>_xlfn.XLOOKUP($A28,Inputs!$A:$A,Inputs!D:D,,0)</f>
        <v>-534</v>
      </c>
      <c r="E28" s="60">
        <f>_xlfn.XLOOKUP($A28,Inputs!$A:$A,Inputs!E:E,,0)</f>
        <v>-504</v>
      </c>
      <c r="F28" s="60">
        <f>_xlfn.XLOOKUP($A28,Inputs!$A:$A,Inputs!F:F,,0)</f>
        <v>-5320</v>
      </c>
      <c r="G28" s="60">
        <f>_xlfn.XLOOKUP($A28,Inputs!$A:$A,Inputs!G:G,,0)</f>
        <v>-5435</v>
      </c>
      <c r="H28" s="60">
        <f>_xlfn.XLOOKUP($A28,Inputs!$A:$A,Inputs!H:H,,0)</f>
        <v>-5352</v>
      </c>
      <c r="I28" s="60">
        <f>_xlfn.XLOOKUP($A28,Inputs!$A:$A,Inputs!I:I,,0)</f>
        <v>0</v>
      </c>
      <c r="J28" s="60">
        <f>_xlfn.XLOOKUP($A28,Inputs!$A:$A,Inputs!J:J,,0)</f>
        <v>0</v>
      </c>
      <c r="K28" s="60">
        <f>_xlfn.XLOOKUP($A28,Inputs!$A:$A,Inputs!K:K,,0)</f>
        <v>-2000</v>
      </c>
      <c r="L28" s="60">
        <f>_xlfn.XLOOKUP($A28,Inputs!$A:$A,Inputs!L:L,,0)</f>
        <v>-3000</v>
      </c>
      <c r="M28" s="61">
        <f>_xlfn.XLOOKUP($A28,Inputs!$A:$A,Inputs!M:M,,0)</f>
        <v>-2141</v>
      </c>
      <c r="N28" s="50"/>
    </row>
    <row r="29" spans="1:14" ht="12.75">
      <c r="A29" s="59" t="s">
        <v>497</v>
      </c>
      <c r="B29" s="66">
        <f t="shared" ref="B29:M29" si="14">SUM(B26:B28)</f>
        <v>-22031</v>
      </c>
      <c r="C29" s="66">
        <f t="shared" si="14"/>
        <v>-12233</v>
      </c>
      <c r="D29" s="66">
        <f t="shared" si="14"/>
        <v>1566</v>
      </c>
      <c r="E29" s="66">
        <f t="shared" si="14"/>
        <v>-2553</v>
      </c>
      <c r="F29" s="66">
        <f t="shared" si="14"/>
        <v>-8286</v>
      </c>
      <c r="G29" s="66">
        <f t="shared" si="14"/>
        <v>-8191</v>
      </c>
      <c r="H29" s="66">
        <f t="shared" si="14"/>
        <v>-6947</v>
      </c>
      <c r="I29" s="66">
        <f t="shared" si="14"/>
        <v>-4052</v>
      </c>
      <c r="J29" s="66">
        <f t="shared" si="14"/>
        <v>-62</v>
      </c>
      <c r="K29" s="66">
        <f t="shared" si="14"/>
        <v>-13197</v>
      </c>
      <c r="L29" s="66">
        <f t="shared" si="14"/>
        <v>4723</v>
      </c>
      <c r="M29" s="67">
        <f t="shared" si="14"/>
        <v>-1708</v>
      </c>
      <c r="N29" s="50"/>
    </row>
    <row r="30" spans="1:14" ht="12.75">
      <c r="A30" s="65" t="s">
        <v>498</v>
      </c>
      <c r="B30" s="66">
        <f t="shared" ref="B30:M30" si="15">+B29-(B58-C29)</f>
        <v>-132504</v>
      </c>
      <c r="C30" s="66">
        <f t="shared" si="15"/>
        <v>-108555</v>
      </c>
      <c r="D30" s="66">
        <f t="shared" si="15"/>
        <v>-106769</v>
      </c>
      <c r="E30" s="66">
        <f t="shared" si="15"/>
        <v>-113770</v>
      </c>
      <c r="F30" s="66">
        <f t="shared" si="15"/>
        <v>-123822</v>
      </c>
      <c r="G30" s="66">
        <f t="shared" si="15"/>
        <v>-74560</v>
      </c>
      <c r="H30" s="66">
        <f t="shared" si="15"/>
        <v>-66565</v>
      </c>
      <c r="I30" s="66">
        <f t="shared" si="15"/>
        <v>-53108</v>
      </c>
      <c r="J30" s="66">
        <f t="shared" si="15"/>
        <v>-57123</v>
      </c>
      <c r="K30" s="66">
        <f t="shared" si="15"/>
        <v>-53041</v>
      </c>
      <c r="L30" s="66">
        <f t="shared" si="15"/>
        <v>-35067</v>
      </c>
      <c r="M30" s="67">
        <f t="shared" si="15"/>
        <v>-39650</v>
      </c>
      <c r="N30" s="50"/>
    </row>
    <row r="31" spans="1:14" ht="12.75">
      <c r="A31" s="59" t="s">
        <v>499</v>
      </c>
      <c r="B31" s="66">
        <f t="shared" ref="B31:M31" si="16">+B30+B33</f>
        <v>-132516</v>
      </c>
      <c r="C31" s="66">
        <f t="shared" si="16"/>
        <v>-109929</v>
      </c>
      <c r="D31" s="66">
        <f t="shared" si="16"/>
        <v>-107002</v>
      </c>
      <c r="E31" s="66">
        <f t="shared" si="16"/>
        <v>-114140</v>
      </c>
      <c r="F31" s="66">
        <f t="shared" si="16"/>
        <v>-162041</v>
      </c>
      <c r="G31" s="66">
        <f t="shared" si="16"/>
        <v>-75092</v>
      </c>
      <c r="H31" s="66">
        <f t="shared" si="16"/>
        <v>-70494</v>
      </c>
      <c r="I31" s="66">
        <f t="shared" si="16"/>
        <v>-54894</v>
      </c>
      <c r="J31" s="66">
        <f t="shared" si="16"/>
        <v>-57600</v>
      </c>
      <c r="K31" s="66">
        <f t="shared" si="16"/>
        <v>-54945</v>
      </c>
      <c r="L31" s="66">
        <f t="shared" si="16"/>
        <v>-35067</v>
      </c>
      <c r="M31" s="67">
        <f t="shared" si="16"/>
        <v>-39650</v>
      </c>
      <c r="N31" s="50"/>
    </row>
    <row r="32" spans="1:14" ht="12.75">
      <c r="A32" s="65" t="s">
        <v>135</v>
      </c>
      <c r="B32" s="60">
        <f>_xlfn.XLOOKUP($A32,Inputs!$A:$A,Inputs!B:B,,0)</f>
        <v>-10626</v>
      </c>
      <c r="C32" s="60">
        <f>_xlfn.XLOOKUP($A32,Inputs!$A:$A,Inputs!C:C,,0)</f>
        <v>-9174</v>
      </c>
      <c r="D32" s="60">
        <f>_xlfn.XLOOKUP($A32,Inputs!$A:$A,Inputs!D:D,,0)</f>
        <v>-9179</v>
      </c>
      <c r="E32" s="60">
        <f>_xlfn.XLOOKUP($A32,Inputs!$A:$A,Inputs!E:E,,0)</f>
        <v>-9953</v>
      </c>
      <c r="F32" s="60">
        <f>_xlfn.XLOOKUP($A32,Inputs!$A:$A,Inputs!F:F,,0)</f>
        <v>-9774</v>
      </c>
      <c r="G32" s="60">
        <f>_xlfn.XLOOKUP($A32,Inputs!$A:$A,Inputs!G:G,,0)</f>
        <v>-9550</v>
      </c>
      <c r="H32" s="60">
        <f>_xlfn.XLOOKUP($A32,Inputs!$A:$A,Inputs!H:H,,0)</f>
        <v>-9135</v>
      </c>
      <c r="I32" s="60">
        <f>_xlfn.XLOOKUP($A32,Inputs!$A:$A,Inputs!I:I,,0)</f>
        <v>-8499</v>
      </c>
      <c r="J32" s="60">
        <f>_xlfn.XLOOKUP($A32,Inputs!$A:$A,Inputs!J:J,,0)</f>
        <v>-7420</v>
      </c>
      <c r="K32" s="60">
        <f>_xlfn.XLOOKUP($A32,Inputs!$A:$A,Inputs!K:K,,0)</f>
        <v>-6596</v>
      </c>
      <c r="L32" s="60">
        <f>_xlfn.XLOOKUP($A32,Inputs!$A:$A,Inputs!L:L,,0)</f>
        <v>-5714</v>
      </c>
      <c r="M32" s="61">
        <f>_xlfn.XLOOKUP($A32,Inputs!$A:$A,Inputs!M:M,,0)</f>
        <v>-5307</v>
      </c>
      <c r="N32" s="50"/>
    </row>
    <row r="33" spans="1:14" ht="12.75">
      <c r="A33" s="59" t="s">
        <v>136</v>
      </c>
      <c r="B33" s="60">
        <f>_xlfn.XLOOKUP($A33,Inputs!$A:$A,Inputs!B:B,,0)</f>
        <v>-12</v>
      </c>
      <c r="C33" s="60">
        <f>_xlfn.XLOOKUP($A33,Inputs!$A:$A,Inputs!C:C,,0)</f>
        <v>-1374</v>
      </c>
      <c r="D33" s="60">
        <f>_xlfn.XLOOKUP($A33,Inputs!$A:$A,Inputs!D:D,,0)</f>
        <v>-233</v>
      </c>
      <c r="E33" s="60">
        <f>_xlfn.XLOOKUP($A33,Inputs!$A:$A,Inputs!E:E,,0)</f>
        <v>-370</v>
      </c>
      <c r="F33" s="60">
        <f>_xlfn.XLOOKUP($A33,Inputs!$A:$A,Inputs!F:F,,0)</f>
        <v>-38219</v>
      </c>
      <c r="G33" s="60">
        <f>_xlfn.XLOOKUP($A33,Inputs!$A:$A,Inputs!G:G,,0)</f>
        <v>-532</v>
      </c>
      <c r="H33" s="60">
        <f>_xlfn.XLOOKUP($A33,Inputs!$A:$A,Inputs!H:H,,0)</f>
        <v>-3929</v>
      </c>
      <c r="I33" s="60">
        <f>_xlfn.XLOOKUP($A33,Inputs!$A:$A,Inputs!I:I,,0)</f>
        <v>-1786</v>
      </c>
      <c r="J33" s="60">
        <f>_xlfn.XLOOKUP($A33,Inputs!$A:$A,Inputs!J:J,,0)</f>
        <v>-477</v>
      </c>
      <c r="K33" s="60">
        <f>_xlfn.XLOOKUP($A33,Inputs!$A:$A,Inputs!K:K,,0)</f>
        <v>-1904</v>
      </c>
      <c r="L33" s="60">
        <f>_xlfn.XLOOKUP($A33,Inputs!$A:$A,Inputs!L:L,,0)</f>
        <v>0</v>
      </c>
      <c r="M33" s="61">
        <f>_xlfn.XLOOKUP($A33,Inputs!$A:$A,Inputs!M:M,,0)</f>
        <v>0</v>
      </c>
      <c r="N33" s="50"/>
    </row>
    <row r="34" spans="1:14" ht="12.75">
      <c r="A34" s="62" t="s">
        <v>131</v>
      </c>
      <c r="B34" s="66">
        <f t="shared" ref="B34:M34" si="17">+B32+B33</f>
        <v>-10638</v>
      </c>
      <c r="C34" s="66">
        <f t="shared" si="17"/>
        <v>-10548</v>
      </c>
      <c r="D34" s="66">
        <f t="shared" si="17"/>
        <v>-9412</v>
      </c>
      <c r="E34" s="66">
        <f t="shared" si="17"/>
        <v>-10323</v>
      </c>
      <c r="F34" s="66">
        <f t="shared" si="17"/>
        <v>-47993</v>
      </c>
      <c r="G34" s="66">
        <f t="shared" si="17"/>
        <v>-10082</v>
      </c>
      <c r="H34" s="66">
        <f t="shared" si="17"/>
        <v>-13064</v>
      </c>
      <c r="I34" s="66">
        <f t="shared" si="17"/>
        <v>-10285</v>
      </c>
      <c r="J34" s="66">
        <f t="shared" si="17"/>
        <v>-7897</v>
      </c>
      <c r="K34" s="66">
        <f t="shared" si="17"/>
        <v>-8500</v>
      </c>
      <c r="L34" s="66">
        <f t="shared" si="17"/>
        <v>-5714</v>
      </c>
      <c r="M34" s="67">
        <f t="shared" si="17"/>
        <v>-5307</v>
      </c>
      <c r="N34" s="50"/>
    </row>
    <row r="35" spans="1:14" ht="12.75">
      <c r="A35" s="59" t="s">
        <v>129</v>
      </c>
      <c r="B35" s="66">
        <f t="shared" ref="B35:M35" si="18">+B27+B28</f>
        <v>-18069</v>
      </c>
      <c r="C35" s="66">
        <f t="shared" si="18"/>
        <v>-9204</v>
      </c>
      <c r="D35" s="66">
        <f t="shared" si="18"/>
        <v>-4674</v>
      </c>
      <c r="E35" s="66">
        <f t="shared" si="18"/>
        <v>-4239</v>
      </c>
      <c r="F35" s="66">
        <f t="shared" si="18"/>
        <v>-8672</v>
      </c>
      <c r="G35" s="66">
        <f t="shared" si="18"/>
        <v>-8318</v>
      </c>
      <c r="H35" s="66">
        <f t="shared" si="18"/>
        <v>-7953</v>
      </c>
      <c r="I35" s="66">
        <f t="shared" si="18"/>
        <v>-2437</v>
      </c>
      <c r="J35" s="66">
        <f t="shared" si="18"/>
        <v>-2254</v>
      </c>
      <c r="K35" s="66">
        <f t="shared" si="18"/>
        <v>-3964</v>
      </c>
      <c r="L35" s="66">
        <f t="shared" si="18"/>
        <v>-4608</v>
      </c>
      <c r="M35" s="67">
        <f t="shared" si="18"/>
        <v>-3328</v>
      </c>
      <c r="N35" s="50"/>
    </row>
    <row r="36" spans="1:14" ht="12.75">
      <c r="A36" s="65" t="s">
        <v>500</v>
      </c>
      <c r="B36" s="63">
        <f>IFERROR(B35/B23,"-")</f>
        <v>-3.6688324873096447</v>
      </c>
      <c r="C36" s="63">
        <f t="shared" ref="C36:M36" si="19">IFERROR(C35/C23,"-")</f>
        <v>-0.66536543049230101</v>
      </c>
      <c r="D36" s="63">
        <f t="shared" si="19"/>
        <v>-0.43678160919540232</v>
      </c>
      <c r="E36" s="63">
        <f t="shared" si="19"/>
        <v>-0.31817158297680703</v>
      </c>
      <c r="F36" s="63">
        <f t="shared" si="19"/>
        <v>-0.73107401787219695</v>
      </c>
      <c r="G36" s="63">
        <f t="shared" si="19"/>
        <v>-0.36288281999825495</v>
      </c>
      <c r="H36" s="63">
        <f t="shared" si="19"/>
        <v>-0.88092600797518827</v>
      </c>
      <c r="I36" s="63">
        <f t="shared" si="19"/>
        <v>-0.28967074765244266</v>
      </c>
      <c r="J36" s="63">
        <f t="shared" si="19"/>
        <v>-0.26233705772811916</v>
      </c>
      <c r="K36" s="63">
        <f t="shared" si="19"/>
        <v>-0.55557112824106514</v>
      </c>
      <c r="L36" s="63">
        <f t="shared" si="19"/>
        <v>-0.585886840432295</v>
      </c>
      <c r="M36" s="64">
        <f t="shared" si="19"/>
        <v>-0.64533643591235212</v>
      </c>
      <c r="N36" s="50"/>
    </row>
    <row r="37" spans="1:14" ht="9.75">
      <c r="A37" s="50"/>
      <c r="B37" s="50"/>
      <c r="C37" s="50"/>
      <c r="D37" s="50"/>
      <c r="E37" s="50"/>
      <c r="F37" s="50"/>
      <c r="G37" s="50"/>
      <c r="H37" s="50"/>
      <c r="I37" s="50"/>
      <c r="J37" s="50"/>
      <c r="K37" s="50"/>
      <c r="L37" s="50"/>
      <c r="M37" s="50"/>
      <c r="N37" s="50"/>
    </row>
    <row r="38" spans="1:14" ht="20.25">
      <c r="A38" s="1003" t="s">
        <v>501</v>
      </c>
      <c r="B38" s="1003"/>
      <c r="C38" s="1003"/>
      <c r="D38" s="1003"/>
      <c r="E38" s="1003"/>
      <c r="F38" s="1003"/>
      <c r="G38" s="1003"/>
      <c r="H38" s="1003"/>
      <c r="I38" s="1003"/>
      <c r="J38" s="1003"/>
      <c r="K38" s="1003"/>
      <c r="L38" s="1003"/>
      <c r="M38" s="1003"/>
      <c r="N38" s="50"/>
    </row>
    <row r="39" spans="1:14" ht="12.75">
      <c r="A39" s="68" t="s">
        <v>265</v>
      </c>
      <c r="B39" s="60">
        <f>_xlfn.XLOOKUP($A39,Inputs!$A:$A,Inputs!B:B,,0)</f>
        <v>4749</v>
      </c>
      <c r="C39" s="60">
        <f>_xlfn.XLOOKUP($A39,Inputs!$A:$A,Inputs!C:C,,0)</f>
        <v>8711</v>
      </c>
      <c r="D39" s="60">
        <f>_xlfn.XLOOKUP($A39,Inputs!$A:$A,Inputs!D:D,,0)</f>
        <v>11740</v>
      </c>
      <c r="E39" s="60">
        <f>_xlfn.XLOOKUP($A39,Inputs!$A:$A,Inputs!E:E,,0)</f>
        <v>5500</v>
      </c>
      <c r="F39" s="60">
        <f>_xlfn.XLOOKUP($A39,Inputs!$A:$A,Inputs!F:F,,0)</f>
        <v>3814</v>
      </c>
      <c r="G39" s="60">
        <f>_xlfn.XLOOKUP($A39,Inputs!$A:$A,Inputs!G:G,,0)</f>
        <v>3428</v>
      </c>
      <c r="H39" s="60">
        <f>_xlfn.XLOOKUP($A39,Inputs!$A:$A,Inputs!H:H,,0)</f>
        <v>3301</v>
      </c>
      <c r="I39" s="60">
        <f>_xlfn.XLOOKUP($A39,Inputs!$A:$A,Inputs!I:I,,0)</f>
        <v>2295</v>
      </c>
      <c r="J39" s="60">
        <f>_xlfn.XLOOKUP($A39,Inputs!$A:$A,Inputs!J:J,,0)</f>
        <v>3910</v>
      </c>
      <c r="K39" s="60">
        <f>_xlfn.XLOOKUP($A39,Inputs!$A:$A,Inputs!K:K,,0)</f>
        <v>1718</v>
      </c>
      <c r="L39" s="60">
        <f>_xlfn.XLOOKUP($A39,Inputs!$A:$A,Inputs!L:L,,0)</f>
        <v>10951</v>
      </c>
      <c r="M39" s="61">
        <f>_xlfn.XLOOKUP($A39,Inputs!$A:$A,Inputs!M:M,,0)</f>
        <v>1620</v>
      </c>
      <c r="N39" s="50"/>
    </row>
    <row r="40" spans="1:14" ht="12.75">
      <c r="A40" s="62" t="s">
        <v>502</v>
      </c>
      <c r="B40" s="60">
        <f>_xlfn.XLOOKUP($A40,Inputs!$A:$A,Inputs!B:B,,0)</f>
        <v>12671</v>
      </c>
      <c r="C40" s="60">
        <f>_xlfn.XLOOKUP($A40,Inputs!$A:$A,Inputs!C:C,,0)</f>
        <v>12008</v>
      </c>
      <c r="D40" s="60">
        <f>_xlfn.XLOOKUP($A40,Inputs!$A:$A,Inputs!D:D,,0)</f>
        <v>11466</v>
      </c>
      <c r="E40" s="60">
        <f>_xlfn.XLOOKUP($A40,Inputs!$A:$A,Inputs!E:E,,0)</f>
        <v>11292</v>
      </c>
      <c r="F40" s="60">
        <f>_xlfn.XLOOKUP($A40,Inputs!$A:$A,Inputs!F:F,,0)</f>
        <v>11104</v>
      </c>
      <c r="G40" s="60">
        <f>_xlfn.XLOOKUP($A40,Inputs!$A:$A,Inputs!G:G,,0)</f>
        <v>8834</v>
      </c>
      <c r="H40" s="60">
        <f>_xlfn.XLOOKUP($A40,Inputs!$A:$A,Inputs!H:H,,0)</f>
        <v>8372</v>
      </c>
      <c r="I40" s="60">
        <f>_xlfn.XLOOKUP($A40,Inputs!$A:$A,Inputs!I:I,,0)</f>
        <v>7369</v>
      </c>
      <c r="J40" s="60">
        <f>_xlfn.XLOOKUP($A40,Inputs!$A:$A,Inputs!J:J,,0)</f>
        <v>6680</v>
      </c>
      <c r="K40" s="60">
        <f>_xlfn.XLOOKUP($A40,Inputs!$A:$A,Inputs!K:K,,0)</f>
        <v>6751</v>
      </c>
      <c r="L40" s="60">
        <f>_xlfn.XLOOKUP($A40,Inputs!$A:$A,Inputs!L:L,,0)</f>
        <v>5828</v>
      </c>
      <c r="M40" s="61">
        <f>_xlfn.XLOOKUP($A40,Inputs!$A:$A,Inputs!M:M,,0)</f>
        <v>4854</v>
      </c>
      <c r="N40" s="50"/>
    </row>
    <row r="41" spans="1:14" ht="12.75">
      <c r="A41" s="68" t="s">
        <v>267</v>
      </c>
      <c r="B41" s="60">
        <f>_xlfn.XLOOKUP($A41,Inputs!$A:$A,Inputs!B:B,,0)</f>
        <v>0</v>
      </c>
      <c r="C41" s="60">
        <f>_xlfn.XLOOKUP($A41,Inputs!$A:$A,Inputs!C:C,,0)</f>
        <v>0</v>
      </c>
      <c r="D41" s="60">
        <f>_xlfn.XLOOKUP($A41,Inputs!$A:$A,Inputs!D:D,,0)</f>
        <v>0</v>
      </c>
      <c r="E41" s="60">
        <f>_xlfn.XLOOKUP($A41,Inputs!$A:$A,Inputs!E:E,,0)</f>
        <v>0</v>
      </c>
      <c r="F41" s="60">
        <f>_xlfn.XLOOKUP($A41,Inputs!$A:$A,Inputs!F:F,,0)</f>
        <v>0</v>
      </c>
      <c r="G41" s="60">
        <f>_xlfn.XLOOKUP($A41,Inputs!$A:$A,Inputs!G:G,,0)</f>
        <v>0</v>
      </c>
      <c r="H41" s="60">
        <f>_xlfn.XLOOKUP($A41,Inputs!$A:$A,Inputs!H:H,,0)</f>
        <v>0</v>
      </c>
      <c r="I41" s="60">
        <f>_xlfn.XLOOKUP($A41,Inputs!$A:$A,Inputs!I:I,,0)</f>
        <v>0</v>
      </c>
      <c r="J41" s="60">
        <f>_xlfn.XLOOKUP($A41,Inputs!$A:$A,Inputs!J:J,,0)</f>
        <v>0</v>
      </c>
      <c r="K41" s="60">
        <f>_xlfn.XLOOKUP($A41,Inputs!$A:$A,Inputs!K:K,,0)</f>
        <v>0</v>
      </c>
      <c r="L41" s="60">
        <f>_xlfn.XLOOKUP($A41,Inputs!$A:$A,Inputs!L:L,,0)</f>
        <v>0</v>
      </c>
      <c r="M41" s="61">
        <f>_xlfn.XLOOKUP($A41,Inputs!$A:$A,Inputs!M:M,,0)</f>
        <v>0</v>
      </c>
      <c r="N41" s="50"/>
    </row>
    <row r="42" spans="1:14" ht="12.75">
      <c r="A42" s="62" t="s">
        <v>503</v>
      </c>
      <c r="B42" s="60">
        <f>_xlfn.XLOOKUP($A42,Inputs!$A:$A,Inputs!B:B,,0)</f>
        <v>55485</v>
      </c>
      <c r="C42" s="60">
        <f>_xlfn.XLOOKUP($A42,Inputs!$A:$A,Inputs!C:C,,0)</f>
        <v>54047</v>
      </c>
      <c r="D42" s="60">
        <f>_xlfn.XLOOKUP($A42,Inputs!$A:$A,Inputs!D:D,,0)</f>
        <v>51995</v>
      </c>
      <c r="E42" s="60">
        <f>_xlfn.XLOOKUP($A42,Inputs!$A:$A,Inputs!E:E,,0)</f>
        <v>48322</v>
      </c>
      <c r="F42" s="60">
        <f>_xlfn.XLOOKUP($A42,Inputs!$A:$A,Inputs!F:F,,0)</f>
        <v>44437</v>
      </c>
      <c r="G42" s="60">
        <f>_xlfn.XLOOKUP($A42,Inputs!$A:$A,Inputs!G:G,,0)</f>
        <v>38470</v>
      </c>
      <c r="H42" s="60">
        <f>_xlfn.XLOOKUP($A42,Inputs!$A:$A,Inputs!H:H,,0)</f>
        <v>36253</v>
      </c>
      <c r="I42" s="60">
        <f>_xlfn.XLOOKUP($A42,Inputs!$A:$A,Inputs!I:I,,0)</f>
        <v>33665</v>
      </c>
      <c r="J42" s="60">
        <f>_xlfn.XLOOKUP($A42,Inputs!$A:$A,Inputs!J:J,,0)</f>
        <v>30953</v>
      </c>
      <c r="K42" s="60">
        <f>_xlfn.XLOOKUP($A42,Inputs!$A:$A,Inputs!K:K,,0)</f>
        <v>29840</v>
      </c>
      <c r="L42" s="60">
        <f>_xlfn.XLOOKUP($A42,Inputs!$A:$A,Inputs!L:L,,0)</f>
        <v>27232</v>
      </c>
      <c r="M42" s="61">
        <f>_xlfn.XLOOKUP($A42,Inputs!$A:$A,Inputs!M:M,,0)</f>
        <v>27559</v>
      </c>
      <c r="N42" s="50"/>
    </row>
    <row r="43" spans="1:14" ht="12.75">
      <c r="A43" s="68" t="s">
        <v>504</v>
      </c>
      <c r="B43" s="60">
        <f>_xlfn.XLOOKUP($A43,Inputs!$A:$A,Inputs!B:B,,0)</f>
        <v>172952</v>
      </c>
      <c r="C43" s="60">
        <f>_xlfn.XLOOKUP($A43,Inputs!$A:$A,Inputs!C:C,,0)</f>
        <v>188561</v>
      </c>
      <c r="D43" s="60">
        <f>_xlfn.XLOOKUP($A43,Inputs!$A:$A,Inputs!D:D,,0)</f>
        <v>188878</v>
      </c>
      <c r="E43" s="60">
        <f>_xlfn.XLOOKUP($A43,Inputs!$A:$A,Inputs!E:E,,0)</f>
        <v>188915</v>
      </c>
      <c r="F43" s="60">
        <f>_xlfn.XLOOKUP($A43,Inputs!$A:$A,Inputs!F:F,,0)</f>
        <v>188294</v>
      </c>
      <c r="G43" s="60">
        <f>_xlfn.XLOOKUP($A43,Inputs!$A:$A,Inputs!G:G,,0)</f>
        <v>133184</v>
      </c>
      <c r="H43" s="60">
        <f>_xlfn.XLOOKUP($A43,Inputs!$A:$A,Inputs!H:H,,0)</f>
        <v>130198</v>
      </c>
      <c r="I43" s="60">
        <f>_xlfn.XLOOKUP($A43,Inputs!$A:$A,Inputs!I:I,,0)</f>
        <v>122567</v>
      </c>
      <c r="J43" s="60">
        <f>_xlfn.XLOOKUP($A43,Inputs!$A:$A,Inputs!J:J,,0)</f>
        <v>116624</v>
      </c>
      <c r="K43" s="60">
        <f>_xlfn.XLOOKUP($A43,Inputs!$A:$A,Inputs!K:K,,0)</f>
        <v>119515</v>
      </c>
      <c r="L43" s="60">
        <f>_xlfn.XLOOKUP($A43,Inputs!$A:$A,Inputs!L:L,,0)</f>
        <v>119796</v>
      </c>
      <c r="M43" s="61">
        <f>_xlfn.XLOOKUP($A43,Inputs!$A:$A,Inputs!M:M,,0)</f>
        <v>118905</v>
      </c>
      <c r="N43" s="50"/>
    </row>
    <row r="44" spans="1:14" ht="12.75">
      <c r="A44" s="69" t="s">
        <v>43</v>
      </c>
      <c r="B44" s="70">
        <f>_xlfn.XLOOKUP($A44,Inputs!$A:$A,Inputs!B:B,,0)</f>
        <v>257275</v>
      </c>
      <c r="C44" s="70">
        <f>_xlfn.XLOOKUP($A44,Inputs!$A:$A,Inputs!C:C,,0)</f>
        <v>275905</v>
      </c>
      <c r="D44" s="70">
        <f>_xlfn.XLOOKUP($A44,Inputs!$A:$A,Inputs!D:D,,0)</f>
        <v>273869</v>
      </c>
      <c r="E44" s="70">
        <f>_xlfn.XLOOKUP($A44,Inputs!$A:$A,Inputs!E:E,,0)</f>
        <v>263414</v>
      </c>
      <c r="F44" s="70">
        <f>_xlfn.XLOOKUP($A44,Inputs!$A:$A,Inputs!F:F,,0)</f>
        <v>251684</v>
      </c>
      <c r="G44" s="70">
        <f>_xlfn.XLOOKUP($A44,Inputs!$A:$A,Inputs!G:G,,0)</f>
        <v>187462</v>
      </c>
      <c r="H44" s="70">
        <f>_xlfn.XLOOKUP($A44,Inputs!$A:$A,Inputs!H:H,,0)</f>
        <v>180500</v>
      </c>
      <c r="I44" s="70">
        <f>_xlfn.XLOOKUP($A44,Inputs!$A:$A,Inputs!I:I,,0)</f>
        <v>166574</v>
      </c>
      <c r="J44" s="70">
        <f>_xlfn.XLOOKUP($A44,Inputs!$A:$A,Inputs!J:J,,0)</f>
        <v>159186</v>
      </c>
      <c r="K44" s="70">
        <f>_xlfn.XLOOKUP($A44,Inputs!$A:$A,Inputs!K:K,,0)</f>
        <v>158813</v>
      </c>
      <c r="L44" s="70">
        <f>_xlfn.XLOOKUP($A44,Inputs!$A:$A,Inputs!L:L,,0)</f>
        <v>164971</v>
      </c>
      <c r="M44" s="70">
        <f>_xlfn.XLOOKUP($A44,Inputs!$A:$A,Inputs!M:M,,0)</f>
        <v>157818</v>
      </c>
      <c r="N44" s="50"/>
    </row>
    <row r="45" spans="1:14" ht="12.75">
      <c r="B45"/>
      <c r="C45"/>
      <c r="D45"/>
      <c r="E45"/>
      <c r="F45"/>
      <c r="G45"/>
      <c r="H45"/>
      <c r="I45"/>
      <c r="J45"/>
      <c r="K45"/>
      <c r="L45"/>
      <c r="M45"/>
      <c r="N45" s="50"/>
    </row>
    <row r="46" spans="1:14" ht="12.75">
      <c r="B46"/>
      <c r="C46"/>
      <c r="D46"/>
      <c r="E46"/>
      <c r="F46"/>
      <c r="G46"/>
      <c r="H46"/>
      <c r="I46"/>
      <c r="J46"/>
      <c r="K46"/>
      <c r="L46"/>
      <c r="M46"/>
      <c r="N46" s="50"/>
    </row>
    <row r="47" spans="1:14" ht="20.25">
      <c r="A47" s="1003" t="s">
        <v>505</v>
      </c>
      <c r="B47" s="1003"/>
      <c r="C47" s="1003"/>
      <c r="D47" s="1003"/>
      <c r="E47" s="1003"/>
      <c r="F47" s="1003"/>
      <c r="G47" s="1003"/>
      <c r="H47" s="1003"/>
      <c r="I47" s="1003"/>
      <c r="J47" s="1003"/>
      <c r="K47" s="1003"/>
      <c r="L47" s="1003"/>
      <c r="M47" s="1003"/>
      <c r="N47" s="50"/>
    </row>
    <row r="48" spans="1:14" ht="12.75">
      <c r="A48" s="72" t="s">
        <v>271</v>
      </c>
      <c r="B48" s="70">
        <f>_xlfn.XLOOKUP($A48,Inputs!$A:$A,Inputs!B:B,,0)</f>
        <v>27887</v>
      </c>
      <c r="C48" s="70">
        <f>_xlfn.XLOOKUP($A48,Inputs!$A:$A,Inputs!C:C,,0)</f>
        <v>29348</v>
      </c>
      <c r="D48" s="70">
        <f>_xlfn.XLOOKUP($A48,Inputs!$A:$A,Inputs!D:D,,0)</f>
        <v>28796</v>
      </c>
      <c r="E48" s="70">
        <f>_xlfn.XLOOKUP($A48,Inputs!$A:$A,Inputs!E:E,,0)</f>
        <v>30292</v>
      </c>
      <c r="F48" s="70">
        <f>_xlfn.XLOOKUP($A48,Inputs!$A:$A,Inputs!F:F,,0)</f>
        <v>27603</v>
      </c>
      <c r="G48" s="70">
        <f>_xlfn.XLOOKUP($A48,Inputs!$A:$A,Inputs!G:G,,0)</f>
        <v>21993</v>
      </c>
      <c r="H48" s="70">
        <f>_xlfn.XLOOKUP($A48,Inputs!$A:$A,Inputs!H:H,,0)</f>
        <v>21535</v>
      </c>
      <c r="I48" s="70">
        <f>_xlfn.XLOOKUP($A48,Inputs!$A:$A,Inputs!I:I,,0)</f>
        <v>18178</v>
      </c>
      <c r="J48" s="70">
        <f>_xlfn.XLOOKUP($A48,Inputs!$A:$A,Inputs!J:J,,0)</f>
        <v>17410</v>
      </c>
      <c r="K48" s="70">
        <f>_xlfn.XLOOKUP($A48,Inputs!$A:$A,Inputs!K:K,,0)</f>
        <v>18912</v>
      </c>
      <c r="L48" s="70">
        <f>_xlfn.XLOOKUP($A48,Inputs!$A:$A,Inputs!L:L,,0)</f>
        <v>16714</v>
      </c>
      <c r="M48" s="70">
        <f>_xlfn.XLOOKUP($A48,Inputs!$A:$A,Inputs!M:M,,0)</f>
        <v>13241</v>
      </c>
      <c r="N48" s="50"/>
    </row>
    <row r="49" spans="1:14" ht="12.75">
      <c r="A49" s="73" t="s">
        <v>506</v>
      </c>
      <c r="B49" s="60">
        <f>_xlfn.XLOOKUP($A49,Inputs!$A:$A,Inputs!B:B,,0)</f>
        <v>0</v>
      </c>
      <c r="C49" s="60">
        <f>_xlfn.XLOOKUP($A49,Inputs!$A:$A,Inputs!C:C,,0)</f>
        <v>0</v>
      </c>
      <c r="D49" s="60">
        <f>_xlfn.XLOOKUP($A49,Inputs!$A:$A,Inputs!D:D,,0)</f>
        <v>0</v>
      </c>
      <c r="E49" s="60">
        <f>_xlfn.XLOOKUP($A49,Inputs!$A:$A,Inputs!E:E,,0)</f>
        <v>0</v>
      </c>
      <c r="F49" s="60">
        <f>_xlfn.XLOOKUP($A49,Inputs!$A:$A,Inputs!F:F,,0)</f>
        <v>0</v>
      </c>
      <c r="G49" s="60">
        <f>_xlfn.XLOOKUP($A49,Inputs!$A:$A,Inputs!G:G,,0)</f>
        <v>0</v>
      </c>
      <c r="H49" s="60">
        <f>_xlfn.XLOOKUP($A49,Inputs!$A:$A,Inputs!H:H,,0)</f>
        <v>0</v>
      </c>
      <c r="I49" s="60">
        <f>_xlfn.XLOOKUP($A49,Inputs!$A:$A,Inputs!I:I,,0)</f>
        <v>0</v>
      </c>
      <c r="J49" s="60">
        <f>_xlfn.XLOOKUP($A49,Inputs!$A:$A,Inputs!J:J,,0)</f>
        <v>0</v>
      </c>
      <c r="K49" s="60">
        <f>_xlfn.XLOOKUP($A49,Inputs!$A:$A,Inputs!K:K,,0)</f>
        <v>0</v>
      </c>
      <c r="L49" s="60">
        <f>_xlfn.XLOOKUP($A49,Inputs!$A:$A,Inputs!L:L,,0)</f>
        <v>0</v>
      </c>
      <c r="M49" s="60">
        <f>_xlfn.XLOOKUP($A49,Inputs!$A:$A,Inputs!M:M,,0)</f>
        <v>0</v>
      </c>
      <c r="N49" s="50"/>
    </row>
    <row r="50" spans="1:14" ht="12.75">
      <c r="A50" s="59" t="s">
        <v>507</v>
      </c>
      <c r="B50" s="60">
        <f>_xlfn.XLOOKUP($A50,Inputs!$A:$A,Inputs!B:B,,0)</f>
        <v>675</v>
      </c>
      <c r="C50" s="60">
        <f>_xlfn.XLOOKUP($A50,Inputs!$A:$A,Inputs!C:C,,0)</f>
        <v>766</v>
      </c>
      <c r="D50" s="60">
        <f>_xlfn.XLOOKUP($A50,Inputs!$A:$A,Inputs!D:D,,0)</f>
        <v>718</v>
      </c>
      <c r="E50" s="60">
        <f>_xlfn.XLOOKUP($A50,Inputs!$A:$A,Inputs!E:E,,0)</f>
        <v>715</v>
      </c>
      <c r="F50" s="60">
        <f>_xlfn.XLOOKUP($A50,Inputs!$A:$A,Inputs!F:F,,0)</f>
        <v>0</v>
      </c>
      <c r="G50" s="60">
        <f>_xlfn.XLOOKUP($A50,Inputs!$A:$A,Inputs!G:G,,0)</f>
        <v>0</v>
      </c>
      <c r="H50" s="60">
        <f>_xlfn.XLOOKUP($A50,Inputs!$A:$A,Inputs!H:H,,0)</f>
        <v>0</v>
      </c>
      <c r="I50" s="60">
        <f>_xlfn.XLOOKUP($A50,Inputs!$A:$A,Inputs!I:I,,0)</f>
        <v>0</v>
      </c>
      <c r="J50" s="60">
        <f>_xlfn.XLOOKUP($A50,Inputs!$A:$A,Inputs!J:J,,0)</f>
        <v>0</v>
      </c>
      <c r="K50" s="60">
        <f>_xlfn.XLOOKUP($A50,Inputs!$A:$A,Inputs!K:K,,0)</f>
        <v>0</v>
      </c>
      <c r="L50" s="60">
        <f>_xlfn.XLOOKUP($A50,Inputs!$A:$A,Inputs!L:L,,0)</f>
        <v>0</v>
      </c>
      <c r="M50" s="60">
        <f>_xlfn.XLOOKUP($A50,Inputs!$A:$A,Inputs!M:M,,0)</f>
        <v>0</v>
      </c>
      <c r="N50" s="50"/>
    </row>
    <row r="51" spans="1:14" ht="12.75">
      <c r="A51" s="62" t="s">
        <v>508</v>
      </c>
      <c r="B51" s="60">
        <f>_xlfn.XLOOKUP($A51,Inputs!$A:$A,Inputs!B:B,,0)</f>
        <v>14668</v>
      </c>
      <c r="C51" s="60">
        <f>_xlfn.XLOOKUP($A51,Inputs!$A:$A,Inputs!C:C,,0)</f>
        <v>16127</v>
      </c>
      <c r="D51" s="60">
        <f>_xlfn.XLOOKUP($A51,Inputs!$A:$A,Inputs!D:D,,0)</f>
        <v>16714</v>
      </c>
      <c r="E51" s="60">
        <f>_xlfn.XLOOKUP($A51,Inputs!$A:$A,Inputs!E:E,,0)</f>
        <v>18751</v>
      </c>
      <c r="F51" s="60">
        <f>_xlfn.XLOOKUP($A51,Inputs!$A:$A,Inputs!F:F,,0)</f>
        <v>19109</v>
      </c>
      <c r="G51" s="60">
        <f>_xlfn.XLOOKUP($A51,Inputs!$A:$A,Inputs!G:G,,0)</f>
        <v>15085</v>
      </c>
      <c r="H51" s="60">
        <f>_xlfn.XLOOKUP($A51,Inputs!$A:$A,Inputs!H:H,,0)</f>
        <v>14620</v>
      </c>
      <c r="I51" s="60">
        <f>_xlfn.XLOOKUP($A51,Inputs!$A:$A,Inputs!I:I,,0)</f>
        <v>11963</v>
      </c>
      <c r="J51" s="60">
        <f>_xlfn.XLOOKUP($A51,Inputs!$A:$A,Inputs!J:J,,0)</f>
        <v>11772</v>
      </c>
      <c r="K51" s="60">
        <f>_xlfn.XLOOKUP($A51,Inputs!$A:$A,Inputs!K:K,,0)</f>
        <v>13384</v>
      </c>
      <c r="L51" s="60">
        <f>_xlfn.XLOOKUP($A51,Inputs!$A:$A,Inputs!L:L,,0)</f>
        <v>10508</v>
      </c>
      <c r="M51" s="60">
        <f>_xlfn.XLOOKUP($A51,Inputs!$A:$A,Inputs!M:M,,0)</f>
        <v>7536</v>
      </c>
      <c r="N51" s="50"/>
    </row>
    <row r="52" spans="1:14" ht="12.75">
      <c r="A52" s="72" t="s">
        <v>509</v>
      </c>
      <c r="B52" s="70">
        <f>_xlfn.XLOOKUP($A52,Inputs!$A:$A,Inputs!B:B,,0)</f>
        <v>148445</v>
      </c>
      <c r="C52" s="70">
        <f>_xlfn.XLOOKUP($A52,Inputs!$A:$A,Inputs!C:C,,0)</f>
        <v>150465</v>
      </c>
      <c r="D52" s="70">
        <f>_xlfn.XLOOKUP($A52,Inputs!$A:$A,Inputs!D:D,,0)</f>
        <v>154750</v>
      </c>
      <c r="E52" s="70">
        <f>_xlfn.XLOOKUP($A52,Inputs!$A:$A,Inputs!E:E,,0)</f>
        <v>150396</v>
      </c>
      <c r="F52" s="70">
        <f>_xlfn.XLOOKUP($A52,Inputs!$A:$A,Inputs!F:F,,0)</f>
        <v>152468</v>
      </c>
      <c r="G52" s="70">
        <f>_xlfn.XLOOKUP($A52,Inputs!$A:$A,Inputs!G:G,,0)</f>
        <v>96853</v>
      </c>
      <c r="H52" s="70">
        <f>_xlfn.XLOOKUP($A52,Inputs!$A:$A,Inputs!H:H,,0)</f>
        <v>105022</v>
      </c>
      <c r="I52" s="70">
        <f>_xlfn.XLOOKUP($A52,Inputs!$A:$A,Inputs!I:I,,0)</f>
        <v>96127</v>
      </c>
      <c r="J52" s="70">
        <f>_xlfn.XLOOKUP($A52,Inputs!$A:$A,Inputs!J:J,,0)</f>
        <v>89065</v>
      </c>
      <c r="K52" s="70">
        <f>_xlfn.XLOOKUP($A52,Inputs!$A:$A,Inputs!K:K,,0)</f>
        <v>89207</v>
      </c>
      <c r="L52" s="70">
        <f>_xlfn.XLOOKUP($A52,Inputs!$A:$A,Inputs!L:L,,0)</f>
        <v>98901</v>
      </c>
      <c r="M52" s="70">
        <f>_xlfn.XLOOKUP($A52,Inputs!$A:$A,Inputs!M:M,,0)</f>
        <v>97303</v>
      </c>
      <c r="N52" s="50"/>
    </row>
    <row r="53" spans="1:14" ht="12.75">
      <c r="A53" s="73" t="s">
        <v>510</v>
      </c>
      <c r="B53" s="60">
        <f>_xlfn.XLOOKUP($A53,Inputs!$A:$A,Inputs!B:B,,0)</f>
        <v>98240</v>
      </c>
      <c r="C53" s="60">
        <f>_xlfn.XLOOKUP($A53,Inputs!$A:$A,Inputs!C:C,,0)</f>
        <v>97888</v>
      </c>
      <c r="D53" s="60">
        <f>_xlfn.XLOOKUP($A53,Inputs!$A:$A,Inputs!D:D,,0)</f>
        <v>105782</v>
      </c>
      <c r="E53" s="60">
        <f>_xlfn.XLOOKUP($A53,Inputs!$A:$A,Inputs!E:E,,0)</f>
        <v>102931</v>
      </c>
      <c r="F53" s="60">
        <f>_xlfn.XLOOKUP($A53,Inputs!$A:$A,Inputs!F:F,,0)</f>
        <v>107345</v>
      </c>
      <c r="G53" s="60">
        <f>_xlfn.XLOOKUP($A53,Inputs!$A:$A,Inputs!G:G,,0)</f>
        <v>59422</v>
      </c>
      <c r="H53" s="60">
        <f>_xlfn.XLOOKUP($A53,Inputs!$A:$A,Inputs!H:H,,0)</f>
        <v>55566</v>
      </c>
      <c r="I53" s="60">
        <f>_xlfn.XLOOKUP($A53,Inputs!$A:$A,Inputs!I:I,,0)</f>
        <v>48994</v>
      </c>
      <c r="J53" s="60">
        <f>_xlfn.XLOOKUP($A53,Inputs!$A:$A,Inputs!J:J,,0)</f>
        <v>43864</v>
      </c>
      <c r="K53" s="60">
        <f>_xlfn.XLOOKUP($A53,Inputs!$A:$A,Inputs!K:K,,0)</f>
        <v>44567</v>
      </c>
      <c r="L53" s="60">
        <f>_xlfn.XLOOKUP($A53,Inputs!$A:$A,Inputs!L:L,,0)</f>
        <v>38082</v>
      </c>
      <c r="M53" s="60">
        <f>_xlfn.XLOOKUP($A53,Inputs!$A:$A,Inputs!M:M,,0)</f>
        <v>37942</v>
      </c>
      <c r="N53" s="50"/>
    </row>
    <row r="54" spans="1:14" ht="12.75">
      <c r="A54" s="59" t="s">
        <v>511</v>
      </c>
      <c r="B54" s="60">
        <f>_xlfn.XLOOKUP($A54,Inputs!$A:$A,Inputs!B:B,,0)</f>
        <v>6107</v>
      </c>
      <c r="C54" s="60">
        <f>_xlfn.XLOOKUP($A54,Inputs!$A:$A,Inputs!C:C,,0)</f>
        <v>6473</v>
      </c>
      <c r="D54" s="60">
        <f>_xlfn.XLOOKUP($A54,Inputs!$A:$A,Inputs!D:D,,0)</f>
        <v>3740</v>
      </c>
      <c r="E54" s="60">
        <f>_xlfn.XLOOKUP($A54,Inputs!$A:$A,Inputs!E:E,,0)</f>
        <v>3891</v>
      </c>
      <c r="F54" s="60">
        <f>_xlfn.XLOOKUP($A54,Inputs!$A:$A,Inputs!F:F,,0)</f>
        <v>0</v>
      </c>
      <c r="G54" s="60">
        <f>_xlfn.XLOOKUP($A54,Inputs!$A:$A,Inputs!G:G,,0)</f>
        <v>0</v>
      </c>
      <c r="H54" s="60">
        <f>_xlfn.XLOOKUP($A54,Inputs!$A:$A,Inputs!H:H,,0)</f>
        <v>0</v>
      </c>
      <c r="I54" s="60">
        <f>_xlfn.XLOOKUP($A54,Inputs!$A:$A,Inputs!I:I,,0)</f>
        <v>0</v>
      </c>
      <c r="J54" s="60">
        <f>_xlfn.XLOOKUP($A54,Inputs!$A:$A,Inputs!J:J,,0)</f>
        <v>0</v>
      </c>
      <c r="K54" s="60">
        <f>_xlfn.XLOOKUP($A54,Inputs!$A:$A,Inputs!K:K,,0)</f>
        <v>0</v>
      </c>
      <c r="L54" s="60">
        <f>_xlfn.XLOOKUP($A54,Inputs!$A:$A,Inputs!L:L,,0)</f>
        <v>0</v>
      </c>
      <c r="M54" s="60">
        <f>_xlfn.XLOOKUP($A54,Inputs!$A:$A,Inputs!M:M,,0)</f>
        <v>0</v>
      </c>
      <c r="N54" s="50"/>
    </row>
    <row r="55" spans="1:14" ht="12.75">
      <c r="A55" s="62" t="s">
        <v>512</v>
      </c>
      <c r="B55" s="60">
        <f>_xlfn.XLOOKUP($A55,Inputs!$A:$A,Inputs!B:B,,0)</f>
        <v>44098</v>
      </c>
      <c r="C55" s="60">
        <f>_xlfn.XLOOKUP($A55,Inputs!$A:$A,Inputs!C:C,,0)</f>
        <v>46104</v>
      </c>
      <c r="D55" s="60">
        <f>_xlfn.XLOOKUP($A55,Inputs!$A:$A,Inputs!D:D,,0)</f>
        <v>45228</v>
      </c>
      <c r="E55" s="60">
        <f>_xlfn.XLOOKUP($A55,Inputs!$A:$A,Inputs!E:E,,0)</f>
        <v>43574</v>
      </c>
      <c r="F55" s="60">
        <f>_xlfn.XLOOKUP($A55,Inputs!$A:$A,Inputs!F:F,,0)</f>
        <v>45123</v>
      </c>
      <c r="G55" s="60">
        <f>_xlfn.XLOOKUP($A55,Inputs!$A:$A,Inputs!G:G,,0)</f>
        <v>37431</v>
      </c>
      <c r="H55" s="60">
        <f>_xlfn.XLOOKUP($A55,Inputs!$A:$A,Inputs!H:H,,0)</f>
        <v>49456</v>
      </c>
      <c r="I55" s="60">
        <f>_xlfn.XLOOKUP($A55,Inputs!$A:$A,Inputs!I:I,,0)</f>
        <v>47133</v>
      </c>
      <c r="J55" s="60">
        <f>_xlfn.XLOOKUP($A55,Inputs!$A:$A,Inputs!J:J,,0)</f>
        <v>45201</v>
      </c>
      <c r="K55" s="60">
        <f>_xlfn.XLOOKUP($A55,Inputs!$A:$A,Inputs!K:K,,0)</f>
        <v>44640</v>
      </c>
      <c r="L55" s="60">
        <f>_xlfn.XLOOKUP($A55,Inputs!$A:$A,Inputs!L:L,,0)</f>
        <v>60819</v>
      </c>
      <c r="M55" s="60">
        <f>_xlfn.XLOOKUP($A55,Inputs!$A:$A,Inputs!M:M,,0)</f>
        <v>59361</v>
      </c>
      <c r="N55" s="50"/>
    </row>
    <row r="56" spans="1:14" ht="12.75">
      <c r="A56" s="72" t="s">
        <v>49</v>
      </c>
      <c r="B56" s="70">
        <f>_xlfn.XLOOKUP($A56,Inputs!$A:$A,Inputs!B:B,,0)</f>
        <v>176332</v>
      </c>
      <c r="C56" s="70">
        <f>_xlfn.XLOOKUP($A56,Inputs!$A:$A,Inputs!C:C,,0)</f>
        <v>179813</v>
      </c>
      <c r="D56" s="70">
        <f>_xlfn.XLOOKUP($A56,Inputs!$A:$A,Inputs!D:D,,0)</f>
        <v>183546</v>
      </c>
      <c r="E56" s="70">
        <f>_xlfn.XLOOKUP($A56,Inputs!$A:$A,Inputs!E:E,,0)</f>
        <v>180688</v>
      </c>
      <c r="F56" s="70">
        <f>_xlfn.XLOOKUP($A56,Inputs!$A:$A,Inputs!F:F,,0)</f>
        <v>180071</v>
      </c>
      <c r="G56" s="70">
        <f>_xlfn.XLOOKUP($A56,Inputs!$A:$A,Inputs!G:G,,0)</f>
        <v>118846</v>
      </c>
      <c r="H56" s="70">
        <f>_xlfn.XLOOKUP($A56,Inputs!$A:$A,Inputs!H:H,,0)</f>
        <v>126557</v>
      </c>
      <c r="I56" s="70">
        <f>_xlfn.XLOOKUP($A56,Inputs!$A:$A,Inputs!I:I,,0)</f>
        <v>114305</v>
      </c>
      <c r="J56" s="70">
        <f>_xlfn.XLOOKUP($A56,Inputs!$A:$A,Inputs!J:J,,0)</f>
        <v>106475</v>
      </c>
      <c r="K56" s="70">
        <f>_xlfn.XLOOKUP($A56,Inputs!$A:$A,Inputs!K:K,,0)</f>
        <v>108119</v>
      </c>
      <c r="L56" s="70">
        <f>_xlfn.XLOOKUP($A56,Inputs!$A:$A,Inputs!L:L,,0)</f>
        <v>115615</v>
      </c>
      <c r="M56" s="70">
        <f>_xlfn.XLOOKUP($A56,Inputs!$A:$A,Inputs!M:M,,0)</f>
        <v>110544</v>
      </c>
      <c r="N56" s="50"/>
    </row>
    <row r="57" spans="1:14" ht="12.75">
      <c r="B57"/>
      <c r="C57"/>
      <c r="D57"/>
      <c r="E57"/>
      <c r="F57"/>
      <c r="G57"/>
      <c r="H57"/>
      <c r="I57"/>
      <c r="J57"/>
      <c r="K57"/>
      <c r="L57"/>
      <c r="M57"/>
      <c r="N57" s="50"/>
    </row>
    <row r="58" spans="1:14" ht="12.75">
      <c r="A58" s="72" t="s">
        <v>513</v>
      </c>
      <c r="B58" s="70">
        <f t="shared" ref="B58:M58" si="20">B49+B53</f>
        <v>98240</v>
      </c>
      <c r="C58" s="70">
        <f t="shared" si="20"/>
        <v>97888</v>
      </c>
      <c r="D58" s="70">
        <f t="shared" si="20"/>
        <v>105782</v>
      </c>
      <c r="E58" s="70">
        <f t="shared" si="20"/>
        <v>102931</v>
      </c>
      <c r="F58" s="70">
        <f t="shared" si="20"/>
        <v>107345</v>
      </c>
      <c r="G58" s="70">
        <f t="shared" si="20"/>
        <v>59422</v>
      </c>
      <c r="H58" s="70">
        <f t="shared" si="20"/>
        <v>55566</v>
      </c>
      <c r="I58" s="70">
        <f t="shared" si="20"/>
        <v>48994</v>
      </c>
      <c r="J58" s="70">
        <f t="shared" si="20"/>
        <v>43864</v>
      </c>
      <c r="K58" s="70">
        <f t="shared" si="20"/>
        <v>44567</v>
      </c>
      <c r="L58" s="70">
        <f t="shared" si="20"/>
        <v>38082</v>
      </c>
      <c r="M58" s="71">
        <f t="shared" si="20"/>
        <v>37942</v>
      </c>
      <c r="N58" s="50"/>
    </row>
    <row r="59" spans="1:14" ht="12.75">
      <c r="A59" s="73" t="s">
        <v>73</v>
      </c>
      <c r="B59" s="63">
        <f>IFERROR(B58/B44,"-")</f>
        <v>0.38184821688854337</v>
      </c>
      <c r="C59" s="63">
        <f t="shared" ref="C59:M59" si="21">IFERROR(C58/C44,"-")</f>
        <v>0.35478878599517949</v>
      </c>
      <c r="D59" s="63">
        <f t="shared" si="21"/>
        <v>0.38625036057385098</v>
      </c>
      <c r="E59" s="63">
        <f t="shared" si="21"/>
        <v>0.39075751478660969</v>
      </c>
      <c r="F59" s="63">
        <f t="shared" si="21"/>
        <v>0.42650704852116145</v>
      </c>
      <c r="G59" s="63">
        <f t="shared" si="21"/>
        <v>0.31698157493251966</v>
      </c>
      <c r="H59" s="63">
        <f t="shared" si="21"/>
        <v>0.30784487534626037</v>
      </c>
      <c r="I59" s="63">
        <f t="shared" si="21"/>
        <v>0.29412753490940963</v>
      </c>
      <c r="J59" s="63">
        <f t="shared" si="21"/>
        <v>0.27555187013933385</v>
      </c>
      <c r="K59" s="63">
        <f t="shared" si="21"/>
        <v>0.28062564147771279</v>
      </c>
      <c r="L59" s="63">
        <f t="shared" si="21"/>
        <v>0.23084057197931757</v>
      </c>
      <c r="M59" s="63">
        <f t="shared" si="21"/>
        <v>0.24041617559467235</v>
      </c>
      <c r="N59" s="50"/>
    </row>
    <row r="60" spans="1:14" ht="12.75">
      <c r="B60"/>
      <c r="C60"/>
      <c r="D60"/>
      <c r="E60"/>
      <c r="F60"/>
      <c r="G60"/>
      <c r="H60"/>
      <c r="I60"/>
      <c r="J60"/>
      <c r="K60"/>
      <c r="L60"/>
      <c r="M60"/>
      <c r="N60" s="50"/>
    </row>
    <row r="61" spans="1:14" s="51" customFormat="1" ht="12.75">
      <c r="A61" s="72" t="s">
        <v>514</v>
      </c>
      <c r="B61" s="70">
        <f>_xlfn.XLOOKUP($A61,Inputs!$A:$A,Inputs!B:B,,0)</f>
        <v>1095</v>
      </c>
      <c r="C61" s="70">
        <f>_xlfn.XLOOKUP($A61,Inputs!$A:$A,Inputs!C:C,,0)</f>
        <v>1917</v>
      </c>
      <c r="D61" s="70">
        <f>_xlfn.XLOOKUP($A61,Inputs!$A:$A,Inputs!D:D,,0)</f>
        <v>2695</v>
      </c>
      <c r="E61" s="70">
        <f>_xlfn.XLOOKUP($A61,Inputs!$A:$A,Inputs!E:E,,0)</f>
        <v>2520</v>
      </c>
      <c r="F61" s="70">
        <f>_xlfn.XLOOKUP($A61,Inputs!$A:$A,Inputs!F:F,,0)</f>
        <v>2205</v>
      </c>
      <c r="G61" s="70">
        <f>_xlfn.XLOOKUP($A61,Inputs!$A:$A,Inputs!G:G,,0)</f>
        <v>2200</v>
      </c>
      <c r="H61" s="70">
        <f>_xlfn.XLOOKUP($A61,Inputs!$A:$A,Inputs!H:H,,0)</f>
        <v>3677</v>
      </c>
      <c r="I61" s="70">
        <f>_xlfn.XLOOKUP($A61,Inputs!$A:$A,Inputs!I:I,,0)</f>
        <v>2930</v>
      </c>
      <c r="J61" s="70">
        <f>_xlfn.XLOOKUP($A61,Inputs!$A:$A,Inputs!J:J,,0)</f>
        <v>1423</v>
      </c>
      <c r="K61" s="70">
        <f>_xlfn.XLOOKUP($A61,Inputs!$A:$A,Inputs!K:K,,0)</f>
        <v>1321</v>
      </c>
      <c r="L61" s="70">
        <f>_xlfn.XLOOKUP($A61,Inputs!$A:$A,Inputs!L:L,,0)</f>
        <v>17438</v>
      </c>
      <c r="M61" s="70">
        <f>_xlfn.XLOOKUP($A61,Inputs!$A:$A,Inputs!M:M,,0)</f>
        <v>16395</v>
      </c>
      <c r="N61" s="52"/>
    </row>
    <row r="62" spans="1:14" ht="12.75">
      <c r="B62"/>
      <c r="C62"/>
      <c r="D62"/>
      <c r="E62"/>
      <c r="F62"/>
      <c r="G62"/>
      <c r="H62"/>
      <c r="I62"/>
      <c r="J62"/>
      <c r="K62"/>
      <c r="L62"/>
      <c r="M62"/>
      <c r="N62" s="50"/>
    </row>
    <row r="63" spans="1:14" ht="12.75">
      <c r="A63" s="72" t="s">
        <v>515</v>
      </c>
      <c r="B63" s="70">
        <f>_xlfn.XLOOKUP($A63,Inputs!$A:$A,Inputs!B:B,,0)</f>
        <v>79848</v>
      </c>
      <c r="C63" s="70">
        <f>_xlfn.XLOOKUP($A63,Inputs!$A:$A,Inputs!C:C,,0)</f>
        <v>94175</v>
      </c>
      <c r="D63" s="70">
        <f>_xlfn.XLOOKUP($A63,Inputs!$A:$A,Inputs!D:D,,0)</f>
        <v>87628</v>
      </c>
      <c r="E63" s="70">
        <f>_xlfn.XLOOKUP($A63,Inputs!$A:$A,Inputs!E:E,,0)</f>
        <v>80206</v>
      </c>
      <c r="F63" s="70">
        <f>_xlfn.XLOOKUP($A63,Inputs!$A:$A,Inputs!F:F,,0)</f>
        <v>69408</v>
      </c>
      <c r="G63" s="70">
        <f>_xlfn.XLOOKUP($A63,Inputs!$A:$A,Inputs!G:G,,0)</f>
        <v>66416</v>
      </c>
      <c r="H63" s="70">
        <f>_xlfn.XLOOKUP($A63,Inputs!$A:$A,Inputs!H:H,,0)</f>
        <v>50266</v>
      </c>
      <c r="I63" s="70">
        <f>_xlfn.XLOOKUP($A63,Inputs!$A:$A,Inputs!I:I,,0)</f>
        <v>49339</v>
      </c>
      <c r="J63" s="70">
        <f>_xlfn.XLOOKUP($A63,Inputs!$A:$A,Inputs!J:J,,0)</f>
        <v>51288</v>
      </c>
      <c r="K63" s="70">
        <f>_xlfn.XLOOKUP($A63,Inputs!$A:$A,Inputs!K:K,,0)</f>
        <v>49373</v>
      </c>
      <c r="L63" s="70">
        <f>_xlfn.XLOOKUP($A63,Inputs!$A:$A,Inputs!L:L,,0)</f>
        <v>31918</v>
      </c>
      <c r="M63" s="70">
        <f>_xlfn.XLOOKUP($A63,Inputs!$A:$A,Inputs!M:M,,0)</f>
        <v>30879</v>
      </c>
      <c r="N63" s="50"/>
    </row>
    <row r="64" spans="1:14" ht="12" customHeight="1">
      <c r="K64" s="46"/>
      <c r="L64" s="46"/>
      <c r="M64" s="46"/>
      <c r="N64" s="50"/>
    </row>
    <row r="65" spans="1:236" ht="12" customHeight="1">
      <c r="K65" s="46"/>
      <c r="L65" s="46"/>
      <c r="M65" s="46"/>
      <c r="N65" s="50"/>
    </row>
    <row r="66" spans="1:236" ht="20.25">
      <c r="A66" s="1003" t="s">
        <v>516</v>
      </c>
      <c r="B66" s="1003"/>
      <c r="C66" s="1003"/>
      <c r="D66" s="1003"/>
      <c r="E66" s="1003"/>
      <c r="F66" s="1003"/>
      <c r="G66" s="1003"/>
      <c r="H66" s="1003"/>
      <c r="I66" s="1003"/>
      <c r="J66" s="1003"/>
      <c r="K66" s="1003"/>
      <c r="L66" s="1003"/>
      <c r="M66" s="1003"/>
    </row>
    <row r="67" spans="1:236" ht="12.75">
      <c r="A67" s="59" t="s">
        <v>517</v>
      </c>
      <c r="B67" s="60" t="e">
        <f>_xlfn.XLOOKUP($A67,Inputs!$A:$A,Inputs!B:B,,0)</f>
        <v>#N/A</v>
      </c>
      <c r="C67" s="60" t="e">
        <f>_xlfn.XLOOKUP($A67,Inputs!$A:$A,Inputs!C:C,,0)</f>
        <v>#N/A</v>
      </c>
      <c r="D67" s="60" t="e">
        <f>_xlfn.XLOOKUP($A67,Inputs!$A:$A,Inputs!D:D,,0)</f>
        <v>#N/A</v>
      </c>
      <c r="E67" s="60" t="e">
        <f>_xlfn.XLOOKUP($A67,Inputs!$A:$A,Inputs!E:E,,0)</f>
        <v>#N/A</v>
      </c>
      <c r="F67" s="60" t="e">
        <f>_xlfn.XLOOKUP($A67,Inputs!$A:$A,Inputs!F:F,,0)</f>
        <v>#N/A</v>
      </c>
      <c r="G67" s="60" t="e">
        <f>_xlfn.XLOOKUP($A67,Inputs!$A:$A,Inputs!G:G,,0)</f>
        <v>#N/A</v>
      </c>
      <c r="H67" s="60" t="e">
        <f>_xlfn.XLOOKUP($A67,Inputs!$A:$A,Inputs!H:H,,0)</f>
        <v>#N/A</v>
      </c>
      <c r="I67" s="60" t="e">
        <f>_xlfn.XLOOKUP($A67,Inputs!$A:$A,Inputs!I:I,,0)</f>
        <v>#N/A</v>
      </c>
      <c r="J67" s="60" t="e">
        <f>_xlfn.XLOOKUP($A67,Inputs!$A:$A,Inputs!J:J,,0)</f>
        <v>#N/A</v>
      </c>
      <c r="K67" s="60" t="e">
        <f>_xlfn.XLOOKUP($A67,Inputs!$A:$A,Inputs!K:K,,0)</f>
        <v>#N/A</v>
      </c>
      <c r="L67" s="60" t="e">
        <f>_xlfn.XLOOKUP($A67,Inputs!$A:$A,Inputs!L:L,,0)</f>
        <v>#N/A</v>
      </c>
      <c r="M67" s="60" t="e">
        <f>_xlfn.XLOOKUP($A67,Inputs!$A:$A,Inputs!M:M,,0)</f>
        <v>#N/A</v>
      </c>
    </row>
    <row r="68" spans="1:236" ht="12.75">
      <c r="A68" s="73" t="s">
        <v>518</v>
      </c>
      <c r="B68" s="60" t="e">
        <f>_xlfn.XLOOKUP($A68,Inputs!$A:$A,Inputs!B:B,,0)</f>
        <v>#N/A</v>
      </c>
      <c r="C68" s="60" t="e">
        <f>_xlfn.XLOOKUP($A68,Inputs!$A:$A,Inputs!C:C,,0)</f>
        <v>#N/A</v>
      </c>
      <c r="D68" s="60" t="e">
        <f>_xlfn.XLOOKUP($A68,Inputs!$A:$A,Inputs!D:D,,0)</f>
        <v>#N/A</v>
      </c>
      <c r="E68" s="60" t="e">
        <f>_xlfn.XLOOKUP($A68,Inputs!$A:$A,Inputs!E:E,,0)</f>
        <v>#N/A</v>
      </c>
      <c r="F68" s="60" t="e">
        <f>_xlfn.XLOOKUP($A68,Inputs!$A:$A,Inputs!F:F,,0)</f>
        <v>#N/A</v>
      </c>
      <c r="G68" s="60" t="e">
        <f>_xlfn.XLOOKUP($A68,Inputs!$A:$A,Inputs!G:G,,0)</f>
        <v>#N/A</v>
      </c>
      <c r="H68" s="60" t="e">
        <f>_xlfn.XLOOKUP($A68,Inputs!$A:$A,Inputs!H:H,,0)</f>
        <v>#N/A</v>
      </c>
      <c r="I68" s="60" t="e">
        <f>_xlfn.XLOOKUP($A68,Inputs!$A:$A,Inputs!I:I,,0)</f>
        <v>#N/A</v>
      </c>
      <c r="J68" s="60" t="e">
        <f>_xlfn.XLOOKUP($A68,Inputs!$A:$A,Inputs!J:J,,0)</f>
        <v>#N/A</v>
      </c>
      <c r="K68" s="60" t="e">
        <f>_xlfn.XLOOKUP($A68,Inputs!$A:$A,Inputs!K:K,,0)</f>
        <v>#N/A</v>
      </c>
      <c r="L68" s="60" t="e">
        <f>_xlfn.XLOOKUP($A68,Inputs!$A:$A,Inputs!L:L,,0)</f>
        <v>#N/A</v>
      </c>
      <c r="M68" s="60" t="e">
        <f>_xlfn.XLOOKUP($A68,Inputs!$A:$A,Inputs!M:M,,0)</f>
        <v>#N/A</v>
      </c>
    </row>
    <row r="69" spans="1:236" ht="12.75">
      <c r="A69" s="59" t="s">
        <v>47</v>
      </c>
      <c r="B69" s="60">
        <f>_xlfn.XLOOKUP($A69,Inputs!$A:$A,Inputs!B:B,,0)</f>
        <v>0.99</v>
      </c>
      <c r="C69" s="60" t="str">
        <f>_xlfn.XLOOKUP($A69,Inputs!$A:$A,Inputs!C:C,,0)</f>
        <v>Yahoo finance</v>
      </c>
      <c r="D69" s="60">
        <f>_xlfn.XLOOKUP($A69,Inputs!$A:$A,Inputs!D:D,,0)</f>
        <v>0</v>
      </c>
      <c r="E69" s="60">
        <f>_xlfn.XLOOKUP($A69,Inputs!$A:$A,Inputs!E:E,,0)</f>
        <v>0</v>
      </c>
      <c r="F69" s="60">
        <f>_xlfn.XLOOKUP($A69,Inputs!$A:$A,Inputs!F:F,,0)</f>
        <v>0</v>
      </c>
      <c r="G69" s="60">
        <f>_xlfn.XLOOKUP($A69,Inputs!$A:$A,Inputs!G:G,,0)</f>
        <v>0</v>
      </c>
      <c r="H69" s="60">
        <f>_xlfn.XLOOKUP($A69,Inputs!$A:$A,Inputs!H:H,,0)</f>
        <v>0</v>
      </c>
      <c r="I69" s="60">
        <f>_xlfn.XLOOKUP($A69,Inputs!$A:$A,Inputs!I:I,,0)</f>
        <v>0</v>
      </c>
      <c r="J69" s="60">
        <f>_xlfn.XLOOKUP($A69,Inputs!$A:$A,Inputs!J:J,,0)</f>
        <v>0</v>
      </c>
      <c r="K69" s="60">
        <f>_xlfn.XLOOKUP($A69,Inputs!$A:$A,Inputs!K:K,,0)</f>
        <v>0</v>
      </c>
      <c r="L69" s="60">
        <f>_xlfn.XLOOKUP($A69,Inputs!$A:$A,Inputs!L:L,,0)</f>
        <v>0</v>
      </c>
      <c r="M69" s="60">
        <f>_xlfn.XLOOKUP($A69,Inputs!$A:$A,Inputs!M:M,,0)</f>
        <v>0</v>
      </c>
    </row>
    <row r="70" spans="1:236" ht="12.75">
      <c r="A70" s="73" t="s">
        <v>52</v>
      </c>
      <c r="B70" s="60">
        <f>_xlfn.XLOOKUP($A70,Inputs!$A:$A,Inputs!B:B,,0)</f>
        <v>7.4000000000000003E-3</v>
      </c>
      <c r="C70" s="60" t="str">
        <f>_xlfn.XLOOKUP($A70,Inputs!$A:$A,Inputs!C:C,,0)</f>
        <v>Yahoo finance</v>
      </c>
      <c r="D70" s="60">
        <f>_xlfn.XLOOKUP($A70,Inputs!$A:$A,Inputs!D:D,,0)</f>
        <v>0</v>
      </c>
      <c r="E70" s="60">
        <f>_xlfn.XLOOKUP($A70,Inputs!$A:$A,Inputs!E:E,,0)</f>
        <v>0</v>
      </c>
      <c r="F70" s="60">
        <f>_xlfn.XLOOKUP($A70,Inputs!$A:$A,Inputs!F:F,,0)</f>
        <v>0</v>
      </c>
      <c r="G70" s="60">
        <f>_xlfn.XLOOKUP($A70,Inputs!$A:$A,Inputs!G:G,,0)</f>
        <v>0</v>
      </c>
      <c r="H70" s="60">
        <f>_xlfn.XLOOKUP($A70,Inputs!$A:$A,Inputs!H:H,,0)</f>
        <v>0</v>
      </c>
      <c r="I70" s="60">
        <f>_xlfn.XLOOKUP($A70,Inputs!$A:$A,Inputs!I:I,,0)</f>
        <v>0</v>
      </c>
      <c r="J70" s="60">
        <f>_xlfn.XLOOKUP($A70,Inputs!$A:$A,Inputs!J:J,,0)</f>
        <v>0</v>
      </c>
      <c r="K70" s="60">
        <f>_xlfn.XLOOKUP($A70,Inputs!$A:$A,Inputs!K:K,,0)</f>
        <v>0</v>
      </c>
      <c r="L70" s="60">
        <f>_xlfn.XLOOKUP($A70,Inputs!$A:$A,Inputs!L:L,,0)</f>
        <v>0</v>
      </c>
      <c r="M70" s="60">
        <f>_xlfn.XLOOKUP($A70,Inputs!$A:$A,Inputs!M:M,,0)</f>
        <v>0</v>
      </c>
    </row>
    <row r="71" spans="1:236" ht="12.75">
      <c r="A71" s="59" t="s">
        <v>519</v>
      </c>
      <c r="B71" s="60" t="str">
        <f>_xlfn.XLOOKUP($A71,Inputs!$A:$A,Inputs!B:B,,0)</f>
        <v>A-</v>
      </c>
      <c r="C71" s="60" t="str">
        <f>_xlfn.XLOOKUP($A71,Inputs!$A:$A,Inputs!C:C,,0)</f>
        <v>10-K</v>
      </c>
      <c r="D71" s="60">
        <f>_xlfn.XLOOKUP($A71,Inputs!$A:$A,Inputs!D:D,,0)</f>
        <v>0</v>
      </c>
      <c r="E71" s="60">
        <f>_xlfn.XLOOKUP($A71,Inputs!$A:$A,Inputs!E:E,,0)</f>
        <v>0</v>
      </c>
      <c r="F71" s="60">
        <f>_xlfn.XLOOKUP($A71,Inputs!$A:$A,Inputs!F:F,,0)</f>
        <v>0</v>
      </c>
      <c r="G71" s="60">
        <f>_xlfn.XLOOKUP($A71,Inputs!$A:$A,Inputs!G:G,,0)</f>
        <v>0</v>
      </c>
      <c r="H71" s="60">
        <f>_xlfn.XLOOKUP($A71,Inputs!$A:$A,Inputs!H:H,,0)</f>
        <v>0</v>
      </c>
      <c r="I71" s="60">
        <f>_xlfn.XLOOKUP($A71,Inputs!$A:$A,Inputs!I:I,,0)</f>
        <v>0</v>
      </c>
      <c r="J71" s="60">
        <f>_xlfn.XLOOKUP($A71,Inputs!$A:$A,Inputs!J:J,,0)</f>
        <v>0</v>
      </c>
      <c r="K71" s="60">
        <f>_xlfn.XLOOKUP($A71,Inputs!$A:$A,Inputs!K:K,,0)</f>
        <v>0</v>
      </c>
      <c r="L71" s="60">
        <f>_xlfn.XLOOKUP($A71,Inputs!$A:$A,Inputs!L:L,,0)</f>
        <v>0</v>
      </c>
      <c r="M71" s="60">
        <f>_xlfn.XLOOKUP($A71,Inputs!$A:$A,Inputs!M:M,,0)</f>
        <v>0</v>
      </c>
    </row>
    <row r="72" spans="1:236" ht="12.75">
      <c r="A72" s="59" t="s">
        <v>520</v>
      </c>
      <c r="B72" s="60" t="e">
        <f>_xlfn.XLOOKUP($A72,Inputs!$A:$A,Inputs!B:B,,0)</f>
        <v>#N/A</v>
      </c>
      <c r="C72" s="60" t="e">
        <f>_xlfn.XLOOKUP($A72,Inputs!$A:$A,Inputs!C:C,,0)</f>
        <v>#N/A</v>
      </c>
      <c r="D72" s="60" t="e">
        <f>_xlfn.XLOOKUP($A72,Inputs!$A:$A,Inputs!D:D,,0)</f>
        <v>#N/A</v>
      </c>
      <c r="E72" s="60" t="e">
        <f>_xlfn.XLOOKUP($A72,Inputs!$A:$A,Inputs!E:E,,0)</f>
        <v>#N/A</v>
      </c>
      <c r="F72" s="60" t="e">
        <f>_xlfn.XLOOKUP($A72,Inputs!$A:$A,Inputs!F:F,,0)</f>
        <v>#N/A</v>
      </c>
      <c r="G72" s="60" t="e">
        <f>_xlfn.XLOOKUP($A72,Inputs!$A:$A,Inputs!G:G,,0)</f>
        <v>#N/A</v>
      </c>
      <c r="H72" s="60" t="e">
        <f>_xlfn.XLOOKUP($A72,Inputs!$A:$A,Inputs!H:H,,0)</f>
        <v>#N/A</v>
      </c>
      <c r="I72" s="60" t="e">
        <f>_xlfn.XLOOKUP($A72,Inputs!$A:$A,Inputs!I:I,,0)</f>
        <v>#N/A</v>
      </c>
      <c r="J72" s="60" t="e">
        <f>_xlfn.XLOOKUP($A72,Inputs!$A:$A,Inputs!J:J,,0)</f>
        <v>#N/A</v>
      </c>
      <c r="K72" s="60" t="e">
        <f>_xlfn.XLOOKUP($A72,Inputs!$A:$A,Inputs!K:K,,0)</f>
        <v>#N/A</v>
      </c>
      <c r="L72" s="60" t="e">
        <f>_xlfn.XLOOKUP($A72,Inputs!$A:$A,Inputs!L:L,,0)</f>
        <v>#N/A</v>
      </c>
      <c r="M72" s="60" t="e">
        <f>_xlfn.XLOOKUP($A72,Inputs!$A:$A,Inputs!M:M,,0)</f>
        <v>#N/A</v>
      </c>
    </row>
    <row r="73" spans="1:236" ht="12.75">
      <c r="A73" s="73" t="s">
        <v>521</v>
      </c>
      <c r="B73" s="60">
        <f>_xlfn.XLOOKUP($A73,Inputs!$A:$A,Inputs!B:B,,0)</f>
        <v>0</v>
      </c>
      <c r="C73" s="60" t="str">
        <f>_xlfn.XLOOKUP($A73,Inputs!$A:$A,Inputs!C:C,,0)</f>
        <v>Yahoo Finance</v>
      </c>
      <c r="D73" s="60">
        <f>_xlfn.XLOOKUP($A73,Inputs!$A:$A,Inputs!D:D,,0)</f>
        <v>0</v>
      </c>
      <c r="E73" s="60">
        <f>_xlfn.XLOOKUP($A73,Inputs!$A:$A,Inputs!E:E,,0)</f>
        <v>0</v>
      </c>
      <c r="F73" s="60">
        <f>_xlfn.XLOOKUP($A73,Inputs!$A:$A,Inputs!F:F,,0)</f>
        <v>0</v>
      </c>
      <c r="G73" s="60">
        <f>_xlfn.XLOOKUP($A73,Inputs!$A:$A,Inputs!G:G,,0)</f>
        <v>0</v>
      </c>
      <c r="H73" s="60">
        <f>_xlfn.XLOOKUP($A73,Inputs!$A:$A,Inputs!H:H,,0)</f>
        <v>0</v>
      </c>
      <c r="I73" s="60">
        <f>_xlfn.XLOOKUP($A73,Inputs!$A:$A,Inputs!I:I,,0)</f>
        <v>0</v>
      </c>
      <c r="J73" s="60">
        <f>_xlfn.XLOOKUP($A73,Inputs!$A:$A,Inputs!J:J,,0)</f>
        <v>0</v>
      </c>
      <c r="K73" s="60">
        <f>_xlfn.XLOOKUP($A73,Inputs!$A:$A,Inputs!K:K,,0)</f>
        <v>0</v>
      </c>
      <c r="L73" s="60">
        <f>_xlfn.XLOOKUP($A73,Inputs!$A:$A,Inputs!L:L,,0)</f>
        <v>0</v>
      </c>
      <c r="M73" s="60">
        <f>_xlfn.XLOOKUP($A73,Inputs!$A:$A,Inputs!M:M,,0)</f>
        <v>0</v>
      </c>
      <c r="IB73" s="46"/>
    </row>
    <row r="74" spans="1:236" ht="12" customHeight="1">
      <c r="B74" s="49"/>
      <c r="C74" s="49"/>
      <c r="D74" s="49"/>
      <c r="E74" s="49"/>
      <c r="F74" s="49"/>
      <c r="G74" s="49"/>
      <c r="H74" s="49"/>
      <c r="I74" s="49"/>
      <c r="J74" s="49"/>
      <c r="K74" s="49"/>
      <c r="L74" s="49"/>
      <c r="M74" s="49"/>
      <c r="IB74" s="46"/>
    </row>
    <row r="75" spans="1:236" ht="12" customHeight="1">
      <c r="B75" s="47">
        <v>2020</v>
      </c>
      <c r="C75" s="47">
        <v>2021</v>
      </c>
      <c r="D75" s="47">
        <v>2022</v>
      </c>
      <c r="G75" s="47"/>
      <c r="H75" s="49"/>
      <c r="I75" s="49"/>
      <c r="J75" s="49"/>
      <c r="K75" s="49"/>
      <c r="L75" s="49"/>
      <c r="M75" s="49"/>
      <c r="IB75" s="46"/>
    </row>
    <row r="76" spans="1:236" ht="12.75">
      <c r="A76" s="59" t="s">
        <v>522</v>
      </c>
      <c r="B76" s="66">
        <v>0</v>
      </c>
      <c r="C76" s="66">
        <v>0</v>
      </c>
      <c r="D76" s="67">
        <v>0</v>
      </c>
      <c r="G76" s="49"/>
      <c r="H76" s="49"/>
      <c r="I76" s="49"/>
      <c r="J76" s="49"/>
      <c r="K76" s="49"/>
      <c r="L76" s="49"/>
      <c r="M76" s="49"/>
      <c r="IB76" s="46"/>
    </row>
    <row r="77" spans="1:236" ht="12.75">
      <c r="A77" s="73" t="s">
        <v>75</v>
      </c>
      <c r="B77" s="66">
        <v>0</v>
      </c>
      <c r="C77" s="66">
        <v>0</v>
      </c>
      <c r="D77" s="67">
        <v>0</v>
      </c>
    </row>
    <row r="78" spans="1:236" ht="12" customHeight="1"/>
    <row r="79" spans="1:236">
      <c r="A79" s="48" t="s">
        <v>523</v>
      </c>
      <c r="B79" s="47" t="s">
        <v>524</v>
      </c>
      <c r="C79" s="47" t="s">
        <v>525</v>
      </c>
      <c r="D79" s="47" t="s">
        <v>526</v>
      </c>
      <c r="E79" s="47" t="s">
        <v>527</v>
      </c>
      <c r="G79" s="47"/>
    </row>
    <row r="80" spans="1:236" ht="12.75">
      <c r="B80" s="74" t="e">
        <f>VLOOKUP($A80,Inputs!$A$5:$M$98,MATCH(B$4,Inputs!$B$5:$M$5,0)+1,FALSE)</f>
        <v>#N/A</v>
      </c>
      <c r="C80" s="74" t="e">
        <f>VLOOKUP($A80,Inputs!$A$5:$M$98,MATCH(C$4,Inputs!$B$5:$M$5,0)+1,FALSE)</f>
        <v>#N/A</v>
      </c>
      <c r="D80" s="74" t="e">
        <f>VLOOKUP($A80,Inputs!$A$5:$M$98,MATCH(D$4,Inputs!$B$5:$M$5,0)+1,FALSE)</f>
        <v>#N/A</v>
      </c>
      <c r="E80" s="74" t="e">
        <f>VLOOKUP($A80,Inputs!$A$5:$M$98,MATCH(E$4,Inputs!$B$5:$M$5,0)+1,FALSE)</f>
        <v>#N/A</v>
      </c>
    </row>
    <row r="81" spans="2:6" ht="12.75">
      <c r="B81" s="75"/>
      <c r="C81" s="75"/>
      <c r="D81" s="2"/>
      <c r="E81" s="75"/>
      <c r="F81" s="2"/>
    </row>
    <row r="82" spans="2:6" ht="12.75">
      <c r="B82" s="75"/>
      <c r="C82" s="75"/>
      <c r="D82" s="2"/>
      <c r="E82" s="75"/>
      <c r="F82" s="2"/>
    </row>
    <row r="83" spans="2:6" ht="12.75">
      <c r="B83" s="75"/>
      <c r="C83" s="75"/>
      <c r="D83" s="2"/>
      <c r="E83" s="75"/>
      <c r="F83" s="2"/>
    </row>
    <row r="84" spans="2:6" ht="12.75">
      <c r="B84" s="75"/>
      <c r="C84" s="75"/>
      <c r="D84" s="2"/>
      <c r="E84" s="75"/>
      <c r="F84" s="2"/>
    </row>
    <row r="85" spans="2:6" ht="12.75">
      <c r="B85" s="75"/>
      <c r="C85" s="75"/>
      <c r="D85" s="2"/>
      <c r="E85" s="75"/>
      <c r="F85" s="2"/>
    </row>
    <row r="86" spans="2:6" ht="12.75">
      <c r="B86" s="75"/>
      <c r="C86" s="75"/>
      <c r="D86" s="2"/>
      <c r="E86" s="75"/>
      <c r="F86" s="2"/>
    </row>
    <row r="87" spans="2:6" ht="12.75">
      <c r="B87" s="75"/>
      <c r="C87" s="75"/>
      <c r="D87" s="2"/>
      <c r="E87" s="75"/>
      <c r="F87" s="2"/>
    </row>
    <row r="88" spans="2:6" ht="12.75">
      <c r="B88" s="75"/>
      <c r="C88" s="75"/>
      <c r="D88" s="2"/>
      <c r="E88" s="75"/>
      <c r="F88" s="2"/>
    </row>
  </sheetData>
  <mergeCells count="6">
    <mergeCell ref="A66:M66"/>
    <mergeCell ref="A1:M1"/>
    <mergeCell ref="A2:M2"/>
    <mergeCell ref="A3:M3"/>
    <mergeCell ref="A38:M38"/>
    <mergeCell ref="A47:M47"/>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A1EF-C416-4C33-BB6F-D1B1681D8429}">
  <dimension ref="B2:AI72"/>
  <sheetViews>
    <sheetView showGridLines="0" zoomScaleNormal="100" workbookViewId="0">
      <selection activeCell="AE22" sqref="AE22"/>
    </sheetView>
  </sheetViews>
  <sheetFormatPr defaultColWidth="8.85546875" defaultRowHeight="12.75"/>
  <cols>
    <col min="1" max="1" width="2" customWidth="1"/>
    <col min="2" max="2" width="9.85546875" customWidth="1"/>
    <col min="3" max="3" width="13.42578125" customWidth="1"/>
    <col min="4" max="4" width="12.7109375" customWidth="1"/>
    <col min="5" max="8" width="10.85546875" bestFit="1" customWidth="1"/>
    <col min="9" max="9" width="13.42578125" bestFit="1" customWidth="1"/>
    <col min="10" max="13" width="10.42578125" bestFit="1" customWidth="1"/>
    <col min="14" max="14" width="11.85546875" customWidth="1"/>
    <col min="15" max="15" width="9.42578125" customWidth="1"/>
  </cols>
  <sheetData>
    <row r="2" spans="2:34">
      <c r="B2" s="1007" t="s">
        <v>528</v>
      </c>
      <c r="C2" s="1007"/>
      <c r="D2" s="1007"/>
      <c r="E2" s="704">
        <f>+AVERAGE(DCF!D5:F5)</f>
        <v>3.9251287057860886E-2</v>
      </c>
    </row>
    <row r="3" spans="2:34">
      <c r="B3" s="1007" t="s">
        <v>529</v>
      </c>
      <c r="C3" s="1007"/>
      <c r="D3" s="1007"/>
      <c r="E3" s="704">
        <f>AVERAGE('Fin. Data'!B6:F6)</f>
        <v>7.6392344398950221E-2</v>
      </c>
    </row>
    <row r="4" spans="2:34">
      <c r="B4" s="1007" t="s">
        <v>530</v>
      </c>
      <c r="C4" s="1007"/>
      <c r="D4" s="1007"/>
      <c r="E4" s="699">
        <v>6.9599999999999995E-2</v>
      </c>
    </row>
    <row r="6" spans="2:34">
      <c r="B6" t="s">
        <v>531</v>
      </c>
      <c r="I6" s="14" t="s">
        <v>532</v>
      </c>
    </row>
    <row r="7" spans="2:34">
      <c r="B7" s="11" t="s">
        <v>533</v>
      </c>
      <c r="C7" s="14">
        <v>2017</v>
      </c>
      <c r="D7" s="14">
        <v>2018</v>
      </c>
      <c r="E7" s="14">
        <v>2019</v>
      </c>
      <c r="F7" s="14">
        <v>2020</v>
      </c>
      <c r="G7" s="14">
        <v>2021</v>
      </c>
      <c r="H7" s="700">
        <v>2022</v>
      </c>
      <c r="I7" s="14">
        <v>2023</v>
      </c>
      <c r="J7" s="14">
        <f t="shared" ref="J7:AH7" si="0">+I7+1</f>
        <v>2024</v>
      </c>
      <c r="K7" s="14">
        <f t="shared" si="0"/>
        <v>2025</v>
      </c>
      <c r="L7" s="14">
        <f t="shared" si="0"/>
        <v>2026</v>
      </c>
      <c r="M7" s="14">
        <f t="shared" si="0"/>
        <v>2027</v>
      </c>
      <c r="N7" s="14">
        <f t="shared" si="0"/>
        <v>2028</v>
      </c>
      <c r="O7" s="14">
        <f t="shared" si="0"/>
        <v>2029</v>
      </c>
      <c r="P7" s="14">
        <f t="shared" si="0"/>
        <v>2030</v>
      </c>
      <c r="Q7" s="14">
        <f t="shared" si="0"/>
        <v>2031</v>
      </c>
      <c r="R7" s="14">
        <f t="shared" si="0"/>
        <v>2032</v>
      </c>
      <c r="S7" s="14">
        <f t="shared" si="0"/>
        <v>2033</v>
      </c>
      <c r="T7" s="14">
        <f t="shared" si="0"/>
        <v>2034</v>
      </c>
      <c r="U7" s="14">
        <f t="shared" si="0"/>
        <v>2035</v>
      </c>
      <c r="V7" s="14">
        <f t="shared" si="0"/>
        <v>2036</v>
      </c>
      <c r="W7" s="14">
        <f t="shared" si="0"/>
        <v>2037</v>
      </c>
      <c r="X7" s="14">
        <f t="shared" si="0"/>
        <v>2038</v>
      </c>
      <c r="Y7" s="14">
        <f t="shared" si="0"/>
        <v>2039</v>
      </c>
      <c r="Z7" s="14">
        <f t="shared" si="0"/>
        <v>2040</v>
      </c>
      <c r="AA7" s="14">
        <f t="shared" si="0"/>
        <v>2041</v>
      </c>
      <c r="AB7" s="14">
        <f t="shared" si="0"/>
        <v>2042</v>
      </c>
      <c r="AC7" s="14">
        <f t="shared" si="0"/>
        <v>2043</v>
      </c>
      <c r="AD7" s="14">
        <f t="shared" si="0"/>
        <v>2044</v>
      </c>
      <c r="AE7" s="14">
        <f t="shared" si="0"/>
        <v>2045</v>
      </c>
      <c r="AF7" s="14">
        <f t="shared" si="0"/>
        <v>2046</v>
      </c>
      <c r="AG7" s="14">
        <f t="shared" si="0"/>
        <v>2047</v>
      </c>
      <c r="AH7" s="14">
        <f t="shared" si="0"/>
        <v>2048</v>
      </c>
    </row>
    <row r="8" spans="2:34">
      <c r="B8" s="711" t="s">
        <v>534</v>
      </c>
      <c r="C8" s="712">
        <f>'Fin. Data'!G5</f>
        <v>85029</v>
      </c>
      <c r="D8" s="712">
        <f>'Fin. Data'!F5</f>
        <v>94507</v>
      </c>
      <c r="E8" s="712">
        <f>'Fin. Data'!E5</f>
        <v>108942</v>
      </c>
      <c r="F8" s="712">
        <f>'Fin. Data'!D5</f>
        <v>103564</v>
      </c>
      <c r="G8" s="712">
        <f>'Fin. Data'!C5</f>
        <v>116385</v>
      </c>
      <c r="H8" s="712">
        <f>'Fin. Data'!B5</f>
        <v>121427</v>
      </c>
      <c r="I8" s="697">
        <f t="shared" ref="I8:P8" si="1">+H8*(1+I9)</f>
        <v>125676.94499999999</v>
      </c>
      <c r="J8" s="697">
        <f t="shared" si="1"/>
        <v>130255.17656785714</v>
      </c>
      <c r="K8" s="697">
        <f t="shared" si="1"/>
        <v>135217.27853234694</v>
      </c>
      <c r="L8" s="697">
        <f t="shared" si="1"/>
        <v>140593.77508351405</v>
      </c>
      <c r="M8" s="697">
        <f t="shared" si="1"/>
        <v>146418.37433697391</v>
      </c>
      <c r="N8" s="697">
        <f t="shared" si="1"/>
        <v>152728.30904054351</v>
      </c>
      <c r="O8" s="697">
        <f t="shared" si="1"/>
        <v>159564.71906426307</v>
      </c>
      <c r="P8" s="697">
        <f t="shared" si="1"/>
        <v>166745.1314221549</v>
      </c>
      <c r="Q8" s="697">
        <f t="shared" ref="Q8:AH8" si="2">+P8*(1+Q9)</f>
        <v>173414.9366790411</v>
      </c>
      <c r="R8" s="697">
        <f t="shared" si="2"/>
        <v>179484.45946280751</v>
      </c>
      <c r="S8" s="697">
        <f t="shared" si="2"/>
        <v>184868.99324669174</v>
      </c>
      <c r="T8" s="697">
        <f t="shared" si="2"/>
        <v>189490.71807785903</v>
      </c>
      <c r="U8" s="697">
        <f t="shared" si="2"/>
        <v>193280.53243941622</v>
      </c>
      <c r="V8" s="697">
        <f t="shared" si="2"/>
        <v>197146.14308820455</v>
      </c>
      <c r="W8" s="697">
        <f t="shared" si="2"/>
        <v>201089.06594996864</v>
      </c>
      <c r="X8" s="697">
        <f t="shared" si="2"/>
        <v>205110.84726896803</v>
      </c>
      <c r="Y8" s="697">
        <f t="shared" si="2"/>
        <v>209213.0642143474</v>
      </c>
      <c r="Z8" s="697">
        <f t="shared" si="2"/>
        <v>213397.32549863434</v>
      </c>
      <c r="AA8" s="697">
        <f t="shared" si="2"/>
        <v>217665.27200860702</v>
      </c>
      <c r="AB8" s="697">
        <f t="shared" si="2"/>
        <v>222018.57744877916</v>
      </c>
      <c r="AC8" s="697">
        <f t="shared" si="2"/>
        <v>226458.94899775475</v>
      </c>
      <c r="AD8" s="697">
        <f t="shared" si="2"/>
        <v>230988.12797770984</v>
      </c>
      <c r="AE8" s="697">
        <f t="shared" si="2"/>
        <v>235607.89053726403</v>
      </c>
      <c r="AF8" s="697">
        <f t="shared" si="2"/>
        <v>240320.04834800932</v>
      </c>
      <c r="AG8" s="697">
        <f t="shared" si="2"/>
        <v>245126.4493149695</v>
      </c>
      <c r="AH8" s="697">
        <f t="shared" si="2"/>
        <v>250028.97830126889</v>
      </c>
    </row>
    <row r="9" spans="2:34">
      <c r="B9" s="713" t="s">
        <v>535</v>
      </c>
      <c r="C9" s="388"/>
      <c r="D9" s="690">
        <f>(D8/C8)-1</f>
        <v>0.11146785214456245</v>
      </c>
      <c r="E9" s="690">
        <f>(E8/D8)-1</f>
        <v>0.15274000867660598</v>
      </c>
      <c r="F9" s="690">
        <f>(F8/E8)-1</f>
        <v>-4.9365717537772413E-2</v>
      </c>
      <c r="G9" s="690">
        <f>(G8/F8)-1</f>
        <v>0.12379784481093825</v>
      </c>
      <c r="H9" s="690">
        <f>(H8/G8)-1</f>
        <v>4.3321733900416826E-2</v>
      </c>
      <c r="I9" s="714">
        <v>3.5000000000000003E-2</v>
      </c>
      <c r="J9" s="715">
        <f>I9+($P9-$I9)/7</f>
        <v>3.6428571428571428E-2</v>
      </c>
      <c r="K9" s="715">
        <f>J9+($P9-$I9)/6</f>
        <v>3.8095238095238092E-2</v>
      </c>
      <c r="L9" s="715">
        <f>K9+($P9-$I9)/6</f>
        <v>3.9761904761904755E-2</v>
      </c>
      <c r="M9" s="715">
        <f>L9+($P9-$I9)/6</f>
        <v>4.1428571428571419E-2</v>
      </c>
      <c r="N9" s="715">
        <f>M9+($P9-$I9)/6</f>
        <v>4.3095238095238082E-2</v>
      </c>
      <c r="O9" s="715">
        <f>N9+($P9-$I9)/6</f>
        <v>4.4761904761904746E-2</v>
      </c>
      <c r="P9" s="714">
        <v>4.4999999999999998E-2</v>
      </c>
      <c r="Q9" s="693">
        <f>+P9+($U$9-$P$9)/5</f>
        <v>0.04</v>
      </c>
      <c r="R9" s="693">
        <f>+Q9+($U$9-$P$9)/5</f>
        <v>3.5000000000000003E-2</v>
      </c>
      <c r="S9" s="693">
        <f>+R9+($U$9-$P$9)/5</f>
        <v>3.0000000000000006E-2</v>
      </c>
      <c r="T9" s="693">
        <f>+S9+($U$9-$P$9)/5</f>
        <v>2.5000000000000008E-2</v>
      </c>
      <c r="U9" s="714">
        <v>0.02</v>
      </c>
      <c r="V9" s="716">
        <v>0.02</v>
      </c>
      <c r="W9" s="716">
        <v>0.02</v>
      </c>
      <c r="X9" s="716">
        <v>0.02</v>
      </c>
      <c r="Y9" s="716">
        <v>0.02</v>
      </c>
      <c r="Z9" s="716">
        <v>0.02</v>
      </c>
      <c r="AA9" s="716">
        <v>0.02</v>
      </c>
      <c r="AB9" s="716">
        <v>0.02</v>
      </c>
      <c r="AC9" s="716">
        <v>0.02</v>
      </c>
      <c r="AD9" s="716">
        <v>0.02</v>
      </c>
      <c r="AE9" s="716">
        <v>0.02</v>
      </c>
      <c r="AF9" s="716">
        <v>0.02</v>
      </c>
      <c r="AG9" s="716">
        <v>0.02</v>
      </c>
      <c r="AH9" s="716">
        <v>0.02</v>
      </c>
    </row>
    <row r="10" spans="2:34">
      <c r="H10" s="687"/>
    </row>
    <row r="12" spans="2:34">
      <c r="D12" s="14">
        <v>2018</v>
      </c>
      <c r="E12" s="14">
        <v>2019</v>
      </c>
      <c r="F12" s="14">
        <v>2020</v>
      </c>
      <c r="G12" s="14">
        <v>2021</v>
      </c>
      <c r="H12" s="700">
        <v>2022</v>
      </c>
      <c r="I12" s="14" t="s">
        <v>536</v>
      </c>
    </row>
    <row r="13" spans="2:34">
      <c r="B13" s="1006" t="s">
        <v>537</v>
      </c>
      <c r="C13" s="1006"/>
      <c r="D13" s="693">
        <f>+'Fin. Data'!F32/'Fin. Data'!F5</f>
        <v>-0.10342091062037732</v>
      </c>
      <c r="E13" s="693">
        <f>+'Fin. Data'!E32/'Fin. Data'!E5</f>
        <v>-9.1360540471076349E-2</v>
      </c>
      <c r="F13" s="693">
        <f>+'Fin. Data'!D32/'Fin. Data'!D5</f>
        <v>-8.863118458151481E-2</v>
      </c>
      <c r="G13" s="693">
        <f>+'Fin. Data'!C32/'Fin. Data'!C5</f>
        <v>-7.8824590797783214E-2</v>
      </c>
      <c r="H13" s="693">
        <f>+'Fin. Data'!B32/'Fin. Data'!B5</f>
        <v>-8.7509367768288771E-2</v>
      </c>
      <c r="I13" s="688">
        <f>AVERAGE(D13:H13)</f>
        <v>-8.9949318847808088E-2</v>
      </c>
      <c r="J13" s="688" cm="1">
        <f t="array" ref="J13">+AVERAGE('Fin. Data'!B32:L32/'Fin. Data'!B5:L5)</f>
        <v>-9.9136182206013237E-2</v>
      </c>
    </row>
    <row r="14" spans="2:34">
      <c r="B14" s="1006" t="s">
        <v>538</v>
      </c>
      <c r="C14" s="1006"/>
      <c r="D14" s="689">
        <f>+'Fin. Data'!F33</f>
        <v>-38219</v>
      </c>
      <c r="E14" s="689">
        <f>+'Fin. Data'!E33</f>
        <v>-370</v>
      </c>
      <c r="F14" s="689">
        <f>+'Fin. Data'!D33</f>
        <v>-233</v>
      </c>
      <c r="G14" s="689">
        <f>+'Fin. Data'!C33</f>
        <v>-1374</v>
      </c>
      <c r="H14" s="689">
        <f>+'Fin. Data'!B33</f>
        <v>-12</v>
      </c>
      <c r="I14" s="688">
        <f>(AVERAGE(E14:H14)/AVERAGE(E8:H8))</f>
        <v>-4.4168787390244223E-3</v>
      </c>
      <c r="J14" s="688">
        <f>(AVERAGE('Fin. Data'!B33:M33)/AVERAGE('Fin. Data'!B5:M5))</f>
        <v>-4.70960823342437E-2</v>
      </c>
    </row>
    <row r="15" spans="2:34">
      <c r="B15" s="1006" t="s">
        <v>539</v>
      </c>
      <c r="C15" s="1006"/>
      <c r="D15" s="388"/>
      <c r="E15" s="388"/>
      <c r="F15" s="693">
        <f>+DCF!D9/DCF!D40</f>
        <v>-0.14916007816561788</v>
      </c>
      <c r="G15" s="693">
        <f>+DCF!E9/DCF!E40</f>
        <v>-0.14257857685824768</v>
      </c>
      <c r="H15" s="693">
        <f>+DCF!F9/DCF!F40</f>
        <v>-0.1418951888357568</v>
      </c>
      <c r="I15" s="688">
        <f>AVERAGE(F15:H15)</f>
        <v>-0.14454461461987411</v>
      </c>
    </row>
    <row r="16" spans="2:34">
      <c r="B16" s="1006" t="s">
        <v>540</v>
      </c>
      <c r="C16" s="1006"/>
      <c r="D16" s="388"/>
      <c r="E16" s="388"/>
      <c r="F16" s="690">
        <f>+DCF!D10/DCF!D38</f>
        <v>-5.0446419148531992E-2</v>
      </c>
      <c r="G16" s="690">
        <f>+DCF!E10/DCF!E38</f>
        <v>-5.5688249090869966E-2</v>
      </c>
      <c r="H16" s="690">
        <f>+DCF!F10/DCF!F38</f>
        <v>-5.752821670428894E-2</v>
      </c>
      <c r="I16" s="688">
        <f>AVERAGE(F16:H16)</f>
        <v>-5.4554294981230302E-2</v>
      </c>
    </row>
    <row r="17" spans="2:35">
      <c r="F17" s="695"/>
      <c r="G17" s="695"/>
      <c r="H17" s="346"/>
      <c r="I17" s="346"/>
    </row>
    <row r="18" spans="2:35" ht="15.75" customHeight="1">
      <c r="B18" s="1008" t="s">
        <v>541</v>
      </c>
      <c r="C18" s="1008"/>
    </row>
    <row r="19" spans="2:35">
      <c r="B19" s="1008"/>
      <c r="C19" s="1009"/>
      <c r="D19" s="690">
        <f>-826/D8</f>
        <v>-8.7400933264202649E-3</v>
      </c>
      <c r="E19" s="690">
        <f>-1021/E8</f>
        <v>-9.3719593912357027E-3</v>
      </c>
      <c r="F19" s="690">
        <f>DCF!D11/DCF!D6</f>
        <v>-1.1519446912054383E-2</v>
      </c>
      <c r="G19" s="690">
        <f>DCF!E11/DCF!E6</f>
        <v>-1.1298706878034111E-2</v>
      </c>
      <c r="H19" s="690">
        <f>DCF!F11/DCF!F6</f>
        <v>-1.1002495326410107E-2</v>
      </c>
      <c r="I19" s="699">
        <f>AVERAGE(D19:H19)</f>
        <v>-1.0386540366830914E-2</v>
      </c>
    </row>
    <row r="20" spans="2:35">
      <c r="B20" s="1008"/>
      <c r="C20" s="1008"/>
      <c r="F20" s="695"/>
      <c r="G20" s="695"/>
      <c r="H20" s="695"/>
      <c r="I20" s="695"/>
    </row>
    <row r="21" spans="2:35">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row>
    <row r="22" spans="2:35">
      <c r="B22" s="1006" t="s">
        <v>64</v>
      </c>
      <c r="C22" s="1006"/>
      <c r="D22" s="701">
        <f>'Fin. Data'!F58/'Fin. Data'!F19</f>
        <v>3.5889334670678701</v>
      </c>
      <c r="E22" s="701">
        <f>'Fin. Data'!E58/'Fin. Data'!E19</f>
        <v>3.1967003567181926</v>
      </c>
      <c r="F22" s="701">
        <f>'Fin. Data'!D58/'Fin. Data'!D19</f>
        <v>3.7454557809261715</v>
      </c>
      <c r="G22" s="701">
        <f>'Fin. Data'!C58/'Fin. Data'!C19</f>
        <v>3.2785591766723843</v>
      </c>
      <c r="H22" s="701">
        <f>'Fin. Data'!B58/'Fin. Data'!B19</f>
        <v>3.6563729415451034</v>
      </c>
      <c r="I22" s="729">
        <f>AVERAGE(D22:H22)</f>
        <v>3.4932043445859442</v>
      </c>
      <c r="J22">
        <f>2-0.1</f>
        <v>1.9</v>
      </c>
      <c r="K22">
        <f>+J22-0.1</f>
        <v>1.7999999999999998</v>
      </c>
      <c r="L22">
        <f t="shared" ref="L22:AB22" si="3">+K22-0.1</f>
        <v>1.6999999999999997</v>
      </c>
      <c r="M22">
        <f t="shared" si="3"/>
        <v>1.5999999999999996</v>
      </c>
      <c r="N22">
        <f t="shared" si="3"/>
        <v>1.4999999999999996</v>
      </c>
      <c r="O22">
        <f t="shared" si="3"/>
        <v>1.3999999999999995</v>
      </c>
      <c r="P22">
        <f t="shared" si="3"/>
        <v>1.2999999999999994</v>
      </c>
      <c r="Q22">
        <f t="shared" si="3"/>
        <v>1.1999999999999993</v>
      </c>
      <c r="R22">
        <f t="shared" si="3"/>
        <v>1.0999999999999992</v>
      </c>
      <c r="S22">
        <f t="shared" si="3"/>
        <v>0.99999999999999922</v>
      </c>
      <c r="T22">
        <f t="shared" si="3"/>
        <v>0.89999999999999925</v>
      </c>
      <c r="U22">
        <f t="shared" si="3"/>
        <v>0.79999999999999927</v>
      </c>
      <c r="V22">
        <f t="shared" si="3"/>
        <v>0.69999999999999929</v>
      </c>
      <c r="W22">
        <f t="shared" si="3"/>
        <v>0.59999999999999931</v>
      </c>
      <c r="X22">
        <f t="shared" si="3"/>
        <v>0.49999999999999933</v>
      </c>
      <c r="Y22">
        <f t="shared" si="3"/>
        <v>0.39999999999999936</v>
      </c>
      <c r="Z22">
        <f t="shared" si="3"/>
        <v>0.29999999999999938</v>
      </c>
      <c r="AA22">
        <f t="shared" si="3"/>
        <v>0.19999999999999937</v>
      </c>
      <c r="AB22">
        <f t="shared" si="3"/>
        <v>9.9999999999999367E-2</v>
      </c>
      <c r="AC22">
        <v>0.1</v>
      </c>
      <c r="AD22">
        <v>0.1</v>
      </c>
      <c r="AE22">
        <v>0.1</v>
      </c>
      <c r="AF22">
        <v>0.1</v>
      </c>
    </row>
    <row r="23" spans="2:35">
      <c r="B23" s="1010" t="s">
        <v>542</v>
      </c>
      <c r="C23" s="1010"/>
      <c r="I23" s="388"/>
    </row>
    <row r="24" spans="2:35">
      <c r="B24" s="1006" t="s">
        <v>543</v>
      </c>
      <c r="C24" s="1006"/>
      <c r="J24" s="388">
        <f>+(DCF!G44-DCF!G43)/DCF!G12</f>
        <v>3.3068486300002622</v>
      </c>
      <c r="K24" s="388">
        <f>+(DCF!H44-DCF!H43)/DCF!H12</f>
        <v>2.8564124302914196</v>
      </c>
      <c r="L24" s="388">
        <f>+(DCF!I44-DCF!I43)/DCF!I12</f>
        <v>2.4658681465328764</v>
      </c>
      <c r="M24" s="388">
        <f>+(DCF!J44-DCF!J43)/DCF!J12</f>
        <v>2.0786895773506449</v>
      </c>
      <c r="N24" s="388">
        <f>+(DCF!K44-DCF!K43)/DCF!K12</f>
        <v>2.0105700475719468</v>
      </c>
      <c r="O24" s="388">
        <f>+(DCF!L44-DCF!L43)/DCF!L12</f>
        <v>1.8169774865977859</v>
      </c>
      <c r="P24" s="388">
        <f>+(DCF!M44-DCF!M43)/DCF!M12</f>
        <v>1.6120998249414382</v>
      </c>
      <c r="Q24" s="388">
        <f>+(DCF!N44-DCF!N43)/DCF!N12</f>
        <v>1.3996855444387477</v>
      </c>
      <c r="R24" s="388">
        <f>+(DCF!O44-DCF!O43)/DCF!O12</f>
        <v>1.1825489805451634</v>
      </c>
      <c r="S24" s="388">
        <f>+(DCF!P44-DCF!P43)/DCF!P12</f>
        <v>0.9555321892020967</v>
      </c>
      <c r="T24" s="388">
        <f>+(DCF!Q44-DCF!Q43)/DCF!Q12</f>
        <v>0.71721253399052398</v>
      </c>
      <c r="U24" s="388">
        <f>+(DCF!R44-DCF!R43)/DCF!R12</f>
        <v>0.46630610364422981</v>
      </c>
      <c r="V24" s="388">
        <f>+(DCF!S44-DCF!S43)/DCF!S12</f>
        <v>0.20144147971482917</v>
      </c>
      <c r="W24" s="388">
        <f>+(DCF!T44-DCF!T43)/DCF!T12</f>
        <v>-7.5493026128124599E-2</v>
      </c>
      <c r="X24" s="388">
        <f>+(DCF!U44-DCF!U43)/DCF!U12</f>
        <v>-0.36228612683518047</v>
      </c>
      <c r="Y24" s="388">
        <f>+(DCF!V44-DCF!V43)/DCF!V12</f>
        <v>-0.65783048055784288</v>
      </c>
      <c r="Z24" s="388">
        <f>+(DCF!W44-DCF!W43)/DCF!W12</f>
        <v>-0.96112677252086753</v>
      </c>
      <c r="AA24" s="388">
        <f>+(DCF!X44-DCF!X43)/DCF!X12</f>
        <v>-1.2713279416355361</v>
      </c>
      <c r="AB24" s="388">
        <f>+(DCF!Y44-DCF!Y43)/DCF!Y12</f>
        <v>-1.587682998313223</v>
      </c>
      <c r="AC24" s="388">
        <f>+(DCF!Z44-DCF!Z43)/DCF!Z12</f>
        <v>-1.9095244520140378</v>
      </c>
      <c r="AD24" s="388">
        <f>+(DCF!AA44-DCF!AA43)/DCF!AA12</f>
        <v>-2.2362649762428863</v>
      </c>
      <c r="AE24" s="388">
        <f>+(DCF!AB44-DCF!AB43)/DCF!AB12</f>
        <v>-2.5673797392454762</v>
      </c>
      <c r="AF24" s="388">
        <f>+(DCF!AC44-DCF!AC43)/DCF!AC12</f>
        <v>-2.9023990743530628</v>
      </c>
      <c r="AG24" s="388">
        <f>+(DCF!AD44-DCF!AD43)/DCF!AD12</f>
        <v>-3.2399769480967926</v>
      </c>
      <c r="AH24" s="388">
        <f>+(DCF!AE44-DCF!AE43)/DCF!AE12</f>
        <v>-3.5797617705398528</v>
      </c>
      <c r="AI24" s="388">
        <f>+(DCF!AF44-DCF!AF43)/DCF!AF12</f>
        <v>-3.9214359528954961</v>
      </c>
    </row>
    <row r="26" spans="2:35">
      <c r="B26" s="1006" t="s">
        <v>138</v>
      </c>
      <c r="C26" s="1006"/>
    </row>
    <row r="27" spans="2:35">
      <c r="B27" s="1006" t="s">
        <v>544</v>
      </c>
      <c r="C27" s="1006"/>
      <c r="D27" s="690">
        <f>'Fin. Data'!F27/'Fin. Data'!F23</f>
        <v>-0.28258303827347836</v>
      </c>
      <c r="E27" s="690">
        <f>'Fin. Data'!E27/'Fin. Data'!E23</f>
        <v>-0.28034226525557304</v>
      </c>
      <c r="F27" s="690">
        <f>'Fin. Data'!D27/'Fin. Data'!D23</f>
        <v>-0.3868797308662742</v>
      </c>
      <c r="G27" s="690">
        <f>'Fin. Data'!C27/'Fin. Data'!C23</f>
        <v>-0.32762235234583964</v>
      </c>
      <c r="H27" s="690">
        <f>'Fin. Data'!B27/'Fin. Data'!B23</f>
        <v>-0.96263959390862941</v>
      </c>
      <c r="I27" s="703">
        <f>AVERAGE(D27:H27)</f>
        <v>-0.44801339612995894</v>
      </c>
      <c r="J27" s="703" cm="1">
        <f t="array" ref="J27">AVERAGE('Fin. Data'!B27:M27/'Fin. Data'!B23:M23)</f>
        <v>-0.32631985784183448</v>
      </c>
    </row>
    <row r="29" spans="2:35">
      <c r="B29" s="1006" t="s">
        <v>545</v>
      </c>
      <c r="C29" s="1006"/>
    </row>
    <row r="30" spans="2:35">
      <c r="B30" s="1006" t="s">
        <v>544</v>
      </c>
      <c r="C30" s="1016"/>
      <c r="D30" s="690">
        <f>+'Fin. Data'!F28/'Fin. Data'!F23</f>
        <v>-0.44849097959871859</v>
      </c>
      <c r="E30" s="690">
        <f>+'Fin. Data'!E28/'Fin. Data'!E23</f>
        <v>-3.7829317721233956E-2</v>
      </c>
      <c r="F30" s="690">
        <f>+'Fin. Data'!D28/'Fin. Data'!D23</f>
        <v>-4.9901878329128117E-2</v>
      </c>
      <c r="G30" s="690">
        <f>+'Fin. Data'!C28/'Fin. Data'!C23</f>
        <v>-0.33774307814646137</v>
      </c>
      <c r="H30" s="690">
        <f>+'Fin. Data'!B28/'Fin. Data'!B23</f>
        <v>-2.7061928934010151</v>
      </c>
      <c r="I30" s="704">
        <f>AVERAGE(D30:G30)</f>
        <v>-0.2184913134488855</v>
      </c>
      <c r="K30" s="373" cm="1">
        <f t="array" ref="K30">AVERAGE(('Fin. Data'!B28:K28/'Fin. Data'!B23:K23))</f>
        <v>-0.46903972716565157</v>
      </c>
    </row>
    <row r="32" spans="2:35">
      <c r="B32" s="1006" t="s">
        <v>546</v>
      </c>
      <c r="C32" s="1006"/>
      <c r="D32" s="1006"/>
      <c r="E32" s="1016"/>
      <c r="F32" s="388"/>
      <c r="G32" s="388"/>
      <c r="H32" s="388"/>
      <c r="I32" s="702">
        <f>-AVERAGE('Fin. Data'!C36:G36)</f>
        <v>0.50285509210699242</v>
      </c>
    </row>
    <row r="34" spans="2:15">
      <c r="B34" s="1006" t="s">
        <v>547</v>
      </c>
      <c r="C34" s="1016"/>
      <c r="D34" s="692">
        <v>-0.222</v>
      </c>
      <c r="E34" s="692">
        <v>-0.216</v>
      </c>
      <c r="F34" s="690">
        <f>DCF!D16/DCF!D15</f>
        <v>-0.23917525773195877</v>
      </c>
      <c r="G34" s="690">
        <f>DCF!E16/DCF!E15</f>
        <v>-0.27545568824638594</v>
      </c>
      <c r="H34" s="690">
        <f>DCF!F16/DCF!F15</f>
        <v>-0.46951744937526929</v>
      </c>
      <c r="I34" s="704">
        <f>AVERAGE(D34:G34)</f>
        <v>-0.23815773649458616</v>
      </c>
      <c r="J34" s="346">
        <f>-3013/10970</f>
        <v>-0.2746581586144029</v>
      </c>
    </row>
    <row r="37" spans="2:15">
      <c r="B37" s="697" t="s">
        <v>39</v>
      </c>
      <c r="C37" s="719" t="s">
        <v>166</v>
      </c>
      <c r="D37" s="1006" t="s">
        <v>548</v>
      </c>
      <c r="E37" s="1006"/>
      <c r="F37" s="1006" t="s">
        <v>549</v>
      </c>
      <c r="G37" s="1006"/>
    </row>
    <row r="38" spans="2:15">
      <c r="B38" s="697" t="s">
        <v>550</v>
      </c>
      <c r="C38" s="716">
        <f>Segments!B5</f>
        <v>0.11018966127796948</v>
      </c>
      <c r="D38" s="1020">
        <v>0</v>
      </c>
      <c r="E38" s="1007"/>
      <c r="F38" s="1020">
        <v>0.05</v>
      </c>
      <c r="G38" s="1007"/>
    </row>
    <row r="39" spans="2:15">
      <c r="B39" s="720" t="s">
        <v>551</v>
      </c>
      <c r="C39" s="716">
        <f>Segments!B6</f>
        <v>0.79423027827418946</v>
      </c>
      <c r="D39" s="1021">
        <v>9.1000000000000004E-3</v>
      </c>
      <c r="E39" s="1007"/>
      <c r="F39" s="1021">
        <v>5.91E-2</v>
      </c>
      <c r="G39" s="1007"/>
    </row>
    <row r="40" spans="2:15">
      <c r="B40" s="697" t="str">
        <f>Segments!C8</f>
        <v>Other</v>
      </c>
      <c r="C40" s="716">
        <f>Segments!B8</f>
        <v>9.5580060447841092E-2</v>
      </c>
      <c r="D40" s="1024">
        <f>+(0+0.0333+0.0091+0.0061)/4</f>
        <v>1.2125000000000002E-2</v>
      </c>
      <c r="E40" s="1025"/>
      <c r="F40" s="1026">
        <f>+(0.05+0.0833+0.0591+0.0561)/4</f>
        <v>6.2125E-2</v>
      </c>
      <c r="G40" s="1025"/>
    </row>
    <row r="41" spans="2:15">
      <c r="B41" s="698" t="s">
        <v>446</v>
      </c>
      <c r="C41" s="721">
        <f>SUM(C38:C40)</f>
        <v>1</v>
      </c>
      <c r="D41" s="1022">
        <f>D38*C38+C39*D39+C40*D40</f>
        <v>8.3864037652251981E-3</v>
      </c>
      <c r="E41" s="1023"/>
      <c r="F41" s="1022">
        <f>F38*C38+C39*F39+C40*F40</f>
        <v>5.8386403765225199E-2</v>
      </c>
      <c r="G41" s="1022"/>
    </row>
    <row r="44" spans="2:15">
      <c r="B44" s="1006" t="s">
        <v>552</v>
      </c>
      <c r="C44" s="1006"/>
      <c r="D44" s="691">
        <v>2022</v>
      </c>
      <c r="E44" s="691">
        <v>2021</v>
      </c>
      <c r="F44" s="691">
        <v>2020</v>
      </c>
      <c r="G44" s="691">
        <v>2019</v>
      </c>
      <c r="H44" s="691">
        <v>2018</v>
      </c>
      <c r="I44" s="691">
        <v>2017</v>
      </c>
      <c r="J44" s="691">
        <v>2016</v>
      </c>
      <c r="K44" s="691">
        <v>2015</v>
      </c>
      <c r="L44" s="691">
        <v>2014</v>
      </c>
      <c r="M44" s="691">
        <v>2013</v>
      </c>
      <c r="N44" s="691">
        <v>2012</v>
      </c>
      <c r="O44" s="698" t="s">
        <v>220</v>
      </c>
    </row>
    <row r="45" spans="2:15">
      <c r="B45" s="697" t="s">
        <v>553</v>
      </c>
      <c r="C45" s="697"/>
      <c r="D45" s="690">
        <f>+Inputs!B62/(Inputs!B6-Inputs!C6)</f>
        <v>-0.59619198730662437</v>
      </c>
      <c r="E45" s="690">
        <f>+Inputs!C62/(Inputs!C6-Inputs!D6)</f>
        <v>-0.11691755713282895</v>
      </c>
      <c r="F45" s="690">
        <f>+Inputs!D62/(Inputs!D6-Inputs!E6)</f>
        <v>3.3097805875790254E-2</v>
      </c>
      <c r="G45" s="690">
        <f>+Inputs!E62/(Inputs!E6-Inputs!F6)</f>
        <v>-0.16175961205403533</v>
      </c>
      <c r="H45" s="690">
        <f>+Inputs!F62/(Inputs!F6-Inputs!G6)</f>
        <v>-0.13853133572483647</v>
      </c>
      <c r="I45" s="690">
        <f>+Inputs!G62/(Inputs!G6-Inputs!H6)</f>
        <v>-0.12718378756114604</v>
      </c>
      <c r="J45" s="690">
        <f>+Inputs!H62/(Inputs!H6-Inputs!I6)</f>
        <v>-0.22550594282043046</v>
      </c>
      <c r="K45" s="690">
        <f>+Inputs!I62/(Inputs!I6-Inputs!J6)</f>
        <v>-4.6556233653007845E-2</v>
      </c>
      <c r="L45" s="690">
        <f>+Inputs!J62/(Inputs!J6-Inputs!K6)</f>
        <v>-8.6692569208353568E-2</v>
      </c>
      <c r="M45" s="690">
        <f>+Inputs!K62/(Inputs!K6-Inputs!L6)</f>
        <v>4.4561571633924296E-2</v>
      </c>
      <c r="N45" s="690">
        <f>+Inputs!L62/(Inputs!L6-Inputs!M6)</f>
        <v>-6.2128418549346018E-2</v>
      </c>
      <c r="O45" s="704">
        <f>AVERAGE(D45:N45)</f>
        <v>-0.13489164240917223</v>
      </c>
    </row>
    <row r="47" spans="2:15">
      <c r="B47" s="697" t="s">
        <v>554</v>
      </c>
      <c r="C47" s="697"/>
      <c r="D47" s="691">
        <v>2022</v>
      </c>
      <c r="E47" s="691">
        <v>2021</v>
      </c>
      <c r="F47" s="691">
        <v>2020</v>
      </c>
      <c r="G47" s="691">
        <v>2019</v>
      </c>
      <c r="H47" s="691">
        <v>2018</v>
      </c>
      <c r="I47" s="698" t="s">
        <v>220</v>
      </c>
    </row>
    <row r="48" spans="2:15">
      <c r="B48" s="697" t="s">
        <v>555</v>
      </c>
      <c r="C48" s="706"/>
      <c r="D48" s="701">
        <f>+'Fin. Data'!B16/3896</f>
        <v>3.8249486652977414</v>
      </c>
      <c r="E48" s="701">
        <f>+'Fin. Data'!C16/4281</f>
        <v>4.2655921513665032</v>
      </c>
      <c r="F48" s="701">
        <f>+'Fin. Data'!D16/4588</f>
        <v>3.5599389712292937</v>
      </c>
      <c r="G48" s="701">
        <f>+'Fin. Data'!E16/4567</f>
        <v>4.5296693671994746</v>
      </c>
      <c r="H48" s="701">
        <f>+'Fin. Data'!F16/3542</f>
        <v>5.4302653867871262</v>
      </c>
      <c r="I48" s="707">
        <f>AVERAGE(D48:H48)</f>
        <v>4.3220829083760277</v>
      </c>
    </row>
    <row r="49" spans="2:15">
      <c r="B49" s="14"/>
    </row>
    <row r="50" spans="2:15">
      <c r="B50" s="1015" t="s">
        <v>556</v>
      </c>
      <c r="C50" s="1015"/>
    </row>
    <row r="51" spans="2:15">
      <c r="B51" s="1013" t="s">
        <v>557</v>
      </c>
      <c r="C51" s="1014"/>
      <c r="D51" s="696"/>
      <c r="E51" s="696"/>
      <c r="F51" s="696"/>
      <c r="G51" s="696"/>
      <c r="H51" s="696"/>
      <c r="I51" s="709">
        <v>1.6199999999999999E-2</v>
      </c>
    </row>
    <row r="52" spans="2:15">
      <c r="B52" s="1011" t="s">
        <v>558</v>
      </c>
      <c r="C52" s="1012"/>
      <c r="D52" s="708"/>
      <c r="E52" s="708"/>
      <c r="F52" s="708"/>
      <c r="G52" s="708"/>
      <c r="H52" s="708"/>
      <c r="I52" s="690">
        <v>3.9100000000000003E-2</v>
      </c>
    </row>
    <row r="53" spans="2:15">
      <c r="B53" s="1011" t="s">
        <v>559</v>
      </c>
      <c r="C53" s="1012"/>
      <c r="D53" s="708"/>
      <c r="E53" s="708"/>
      <c r="F53" s="708"/>
      <c r="G53" s="708"/>
      <c r="H53" s="708"/>
      <c r="I53" s="690">
        <v>4.1799999999999997E-2</v>
      </c>
    </row>
    <row r="54" spans="2:15">
      <c r="B54" s="1011" t="s">
        <v>560</v>
      </c>
      <c r="C54" s="1012"/>
      <c r="D54" s="708"/>
      <c r="E54" s="708"/>
      <c r="F54" s="708"/>
      <c r="G54" s="708"/>
      <c r="H54" s="708"/>
      <c r="I54" s="690">
        <v>0</v>
      </c>
    </row>
    <row r="55" spans="2:15">
      <c r="B55" s="1018" t="s">
        <v>561</v>
      </c>
      <c r="C55" s="1019"/>
      <c r="D55" s="717"/>
      <c r="E55" s="717"/>
      <c r="F55" s="717"/>
      <c r="G55" s="717"/>
      <c r="H55" s="717"/>
      <c r="I55" s="704">
        <f>I51+I53+I54</f>
        <v>5.7999999999999996E-2</v>
      </c>
    </row>
    <row r="56" spans="2:15">
      <c r="B56" s="1018" t="s">
        <v>562</v>
      </c>
      <c r="C56" s="1019"/>
      <c r="D56" s="717"/>
      <c r="E56" s="717"/>
      <c r="F56" s="717"/>
      <c r="G56" s="717"/>
      <c r="H56" s="717"/>
      <c r="I56" s="704">
        <f>I54+I52+I51</f>
        <v>5.5300000000000002E-2</v>
      </c>
    </row>
    <row r="58" spans="2:15">
      <c r="B58" s="1006" t="s">
        <v>563</v>
      </c>
      <c r="C58" s="1006"/>
      <c r="F58" s="11"/>
    </row>
    <row r="59" spans="2:15">
      <c r="B59" s="1007" t="s">
        <v>564</v>
      </c>
      <c r="C59" s="1017"/>
      <c r="D59" s="704">
        <f>AVERAGE('Fin. Data'!B12:H12)</f>
        <v>0.1826899110864047</v>
      </c>
      <c r="F59" s="713" t="s">
        <v>565</v>
      </c>
      <c r="G59" s="704">
        <f>6709/30513</f>
        <v>0.2198734965424573</v>
      </c>
      <c r="H59" s="713" t="s">
        <v>566</v>
      </c>
      <c r="I59" s="704">
        <f>6367/30016</f>
        <v>0.2121202025586354</v>
      </c>
    </row>
    <row r="60" spans="2:15">
      <c r="B60" s="1007" t="s">
        <v>567</v>
      </c>
      <c r="C60" s="1017"/>
      <c r="D60" s="704">
        <f>AVERAGE('Fin. Data'!B12:K12)</f>
        <v>0.19200139352510695</v>
      </c>
      <c r="F60" s="713" t="s">
        <v>568</v>
      </c>
      <c r="G60" s="704">
        <f>12355/60205</f>
        <v>0.205215513661656</v>
      </c>
      <c r="H60" s="713" t="s">
        <v>569</v>
      </c>
      <c r="I60" s="704">
        <f>11936/61026</f>
        <v>0.1955887654442369</v>
      </c>
    </row>
    <row r="62" spans="2:15">
      <c r="B62" s="388" t="s">
        <v>570</v>
      </c>
      <c r="C62" s="691">
        <v>2022</v>
      </c>
      <c r="D62" s="691">
        <f t="shared" ref="D62:M62" si="4">+C62-1</f>
        <v>2021</v>
      </c>
      <c r="E62" s="691">
        <f t="shared" si="4"/>
        <v>2020</v>
      </c>
      <c r="F62" s="691">
        <f t="shared" si="4"/>
        <v>2019</v>
      </c>
      <c r="G62" s="691">
        <f t="shared" si="4"/>
        <v>2018</v>
      </c>
      <c r="H62" s="691">
        <f t="shared" si="4"/>
        <v>2017</v>
      </c>
      <c r="I62" s="691">
        <f t="shared" si="4"/>
        <v>2016</v>
      </c>
      <c r="J62" s="691">
        <f t="shared" si="4"/>
        <v>2015</v>
      </c>
      <c r="K62" s="691">
        <f t="shared" si="4"/>
        <v>2014</v>
      </c>
      <c r="L62" s="691">
        <f t="shared" si="4"/>
        <v>2013</v>
      </c>
      <c r="M62" s="691">
        <f t="shared" si="4"/>
        <v>2012</v>
      </c>
      <c r="N62" s="730" t="s">
        <v>571</v>
      </c>
      <c r="O62" s="691" t="s">
        <v>572</v>
      </c>
    </row>
    <row r="63" spans="2:15">
      <c r="B63" s="388"/>
      <c r="C63" s="701">
        <f>'Fin. Data'!B58/'Fin. Data'!B19</f>
        <v>3.6563729415451034</v>
      </c>
      <c r="D63" s="701">
        <f>'Fin. Data'!C58/'Fin. Data'!C19</f>
        <v>3.2785591766723843</v>
      </c>
      <c r="E63" s="701">
        <f>'Fin. Data'!D58/'Fin. Data'!D19</f>
        <v>3.7454557809261715</v>
      </c>
      <c r="F63" s="701">
        <f>'Fin. Data'!E58/'Fin. Data'!E19</f>
        <v>3.1967003567181926</v>
      </c>
      <c r="G63" s="701">
        <f>'Fin. Data'!F58/'Fin. Data'!F19</f>
        <v>3.5889334670678701</v>
      </c>
      <c r="H63" s="701">
        <f>'Fin. Data'!G58/'Fin. Data'!G19</f>
        <v>2.1778266446765624</v>
      </c>
      <c r="I63" s="701">
        <f>'Fin. Data'!H58/'Fin. Data'!H19</f>
        <v>2.1520526723470179</v>
      </c>
      <c r="J63" s="701">
        <f>'Fin. Data'!I58/'Fin. Data'!I19</f>
        <v>1.9914641086090561</v>
      </c>
      <c r="K63" s="701">
        <f>'Fin. Data'!J58/'Fin. Data'!J19</f>
        <v>1.9285117608265552</v>
      </c>
      <c r="L63" s="701">
        <f>'Fin. Data'!K58/'Fin. Data'!K19</f>
        <v>2.091561854702459</v>
      </c>
      <c r="M63" s="701">
        <f>'Fin. Data'!L58/'Fin. Data'!L19</f>
        <v>2.1126151115056029</v>
      </c>
      <c r="N63" s="701">
        <f>AVERAGE(C63:M63)</f>
        <v>2.7200048977815428</v>
      </c>
    </row>
    <row r="64" spans="2:15">
      <c r="C64" s="789"/>
      <c r="D64" s="789"/>
      <c r="E64" s="789"/>
      <c r="F64" s="789"/>
      <c r="G64" s="789"/>
      <c r="H64" s="789"/>
      <c r="I64" s="789"/>
      <c r="J64" s="789"/>
      <c r="K64" s="789"/>
      <c r="L64" s="789"/>
      <c r="M64" s="789"/>
      <c r="N64" s="789"/>
    </row>
    <row r="65" spans="2:15">
      <c r="B65" s="713" t="s">
        <v>573</v>
      </c>
      <c r="C65" s="701">
        <f>-Inputs!B10/+'Fin. Data'!B58</f>
        <v>3.7096989202262384E-2</v>
      </c>
      <c r="D65" s="701">
        <f>-Inputs!C10/+'Fin. Data'!C58</f>
        <v>4.0722174132240052E-2</v>
      </c>
      <c r="E65" s="701">
        <f>-Inputs!D10/+'Fin. Data'!D58</f>
        <v>4.1618287373004353E-2</v>
      </c>
      <c r="F65" s="701">
        <f>-Inputs!E10/+'Fin. Data'!E58</f>
        <v>4.2469103657345846E-2</v>
      </c>
      <c r="G65" s="701">
        <f>-Inputs!F10/+'Fin. Data'!F58</f>
        <v>3.2996413433322463E-2</v>
      </c>
      <c r="H65" s="701">
        <f>-Inputs!G10/+'Fin. Data'!G58</f>
        <v>5.1933627276093026E-2</v>
      </c>
      <c r="I65" s="701">
        <f>-Inputs!H10/+'Fin. Data'!H58</f>
        <v>5.2946046143325057E-2</v>
      </c>
      <c r="J65" s="701">
        <f>-Inputs!I10/+'Fin. Data'!I58</f>
        <v>5.5149610156345674E-2</v>
      </c>
      <c r="K65" s="701">
        <f>-Inputs!J10/+'Fin. Data'!J58</f>
        <v>5.9661681561189131E-2</v>
      </c>
      <c r="L65" s="701">
        <f>-Inputs!K10/+'Fin. Data'!K58</f>
        <v>5.7755738550945769E-2</v>
      </c>
      <c r="M65" s="701">
        <f>-Inputs!L10/+'Fin. Data'!L58</f>
        <v>6.6199254240848701E-2</v>
      </c>
      <c r="N65" s="790">
        <f>+AVERAGE(C65:M65)</f>
        <v>4.8958993247902045E-2</v>
      </c>
      <c r="O65" s="790">
        <f>+AVERAGE(C65:G65)</f>
        <v>3.898059355963502E-2</v>
      </c>
    </row>
    <row r="66" spans="2:15">
      <c r="B66" s="11"/>
      <c r="C66" s="789"/>
      <c r="D66" s="789"/>
      <c r="E66" s="789"/>
      <c r="F66" s="789"/>
      <c r="G66" s="789"/>
      <c r="H66" s="789"/>
      <c r="I66" s="789"/>
      <c r="J66" s="789"/>
      <c r="K66" s="789"/>
      <c r="L66" s="789"/>
      <c r="M66" s="789"/>
      <c r="N66" s="790"/>
      <c r="O66" s="790"/>
    </row>
    <row r="67" spans="2:15">
      <c r="C67" s="789"/>
      <c r="D67" s="789"/>
      <c r="E67" s="789"/>
      <c r="F67" s="789"/>
      <c r="G67" s="789"/>
      <c r="H67" s="789"/>
      <c r="I67" s="789"/>
      <c r="J67" s="789"/>
      <c r="K67" s="789"/>
      <c r="L67" s="789"/>
      <c r="M67" s="789"/>
      <c r="N67" s="789"/>
    </row>
    <row r="69" spans="2:15">
      <c r="B69" s="14" t="s">
        <v>484</v>
      </c>
    </row>
    <row r="70" spans="2:15">
      <c r="B70" t="s">
        <v>574</v>
      </c>
    </row>
    <row r="71" spans="2:15">
      <c r="B71" t="s">
        <v>575</v>
      </c>
    </row>
    <row r="72" spans="2:15">
      <c r="B72" s="718" t="s">
        <v>576</v>
      </c>
    </row>
  </sheetData>
  <mergeCells count="38">
    <mergeCell ref="F37:G37"/>
    <mergeCell ref="F38:G38"/>
    <mergeCell ref="F39:G39"/>
    <mergeCell ref="F41:G41"/>
    <mergeCell ref="B58:C58"/>
    <mergeCell ref="D38:E38"/>
    <mergeCell ref="D39:E39"/>
    <mergeCell ref="D41:E41"/>
    <mergeCell ref="D40:E40"/>
    <mergeCell ref="F40:G40"/>
    <mergeCell ref="B59:C59"/>
    <mergeCell ref="B60:C60"/>
    <mergeCell ref="B55:C55"/>
    <mergeCell ref="B56:C56"/>
    <mergeCell ref="B27:C27"/>
    <mergeCell ref="B26:C26"/>
    <mergeCell ref="B29:C29"/>
    <mergeCell ref="B23:C23"/>
    <mergeCell ref="B54:C54"/>
    <mergeCell ref="B51:C51"/>
    <mergeCell ref="B52:C52"/>
    <mergeCell ref="B53:C53"/>
    <mergeCell ref="B24:C24"/>
    <mergeCell ref="B50:C50"/>
    <mergeCell ref="B30:C30"/>
    <mergeCell ref="B32:E32"/>
    <mergeCell ref="B34:C34"/>
    <mergeCell ref="B44:C44"/>
    <mergeCell ref="D37:E37"/>
    <mergeCell ref="B16:C16"/>
    <mergeCell ref="B2:D2"/>
    <mergeCell ref="B3:D3"/>
    <mergeCell ref="B4:D4"/>
    <mergeCell ref="B22:C22"/>
    <mergeCell ref="B13:C13"/>
    <mergeCell ref="B14:C14"/>
    <mergeCell ref="B15:C15"/>
    <mergeCell ref="B18:C20"/>
  </mergeCells>
  <hyperlinks>
    <hyperlink ref="B72" r:id="rId1" display="https://pages.stern.nyu.edu/~adamodar/New_Home_Page/datafile/ctryprem.html" xr:uid="{3BBF09DD-8729-49BD-BF92-C00A69E7001A}"/>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17" zoomScale="85" workbookViewId="0">
      <selection activeCell="E20" sqref="E20"/>
    </sheetView>
  </sheetViews>
  <sheetFormatPr defaultColWidth="11.42578125" defaultRowHeight="12.75"/>
  <cols>
    <col min="1" max="1" width="36.140625" style="11" customWidth="1"/>
    <col min="2" max="10" width="12.42578125" style="46" customWidth="1"/>
    <col min="11" max="12" width="12.42578125" style="55" customWidth="1"/>
    <col min="13" max="13" width="12.140625" style="55" bestFit="1" customWidth="1"/>
    <col min="14" max="16384" width="11.42578125" style="45"/>
  </cols>
  <sheetData>
    <row r="1" spans="1:25" ht="15.75">
      <c r="A1" s="1004" t="e" vm="1">
        <f>Inputs!H3</f>
        <v>#VALUE!</v>
      </c>
      <c r="B1" s="1004"/>
      <c r="C1" s="1004"/>
      <c r="D1" s="1004"/>
      <c r="E1" s="1004"/>
      <c r="F1" s="1004"/>
      <c r="G1" s="1004"/>
      <c r="H1" s="1004"/>
      <c r="I1" s="1004"/>
      <c r="J1" s="1004"/>
      <c r="K1" s="1004"/>
      <c r="L1" s="1004"/>
      <c r="M1" s="1004"/>
    </row>
    <row r="2" spans="1:25" ht="12">
      <c r="A2" s="1005" t="str">
        <f>Inputs!G2</f>
        <v>Figures in Millions of USD</v>
      </c>
      <c r="B2" s="1005"/>
      <c r="C2" s="1005"/>
      <c r="D2" s="1005"/>
      <c r="E2" s="1005"/>
      <c r="F2" s="1005"/>
      <c r="G2" s="1005"/>
      <c r="H2" s="1005"/>
      <c r="I2" s="1005"/>
      <c r="J2" s="1005"/>
      <c r="K2" s="1005"/>
      <c r="L2" s="1005"/>
      <c r="M2" s="1005"/>
    </row>
    <row r="3" spans="1:25" ht="20.25">
      <c r="A3" s="1003" t="s">
        <v>485</v>
      </c>
      <c r="B3" s="1003"/>
      <c r="C3" s="1003"/>
      <c r="D3" s="1003"/>
      <c r="E3" s="1003"/>
      <c r="F3" s="1003"/>
      <c r="G3" s="1003"/>
      <c r="H3" s="1003"/>
      <c r="I3" s="1003"/>
      <c r="J3" s="1003"/>
      <c r="K3" s="1003"/>
      <c r="L3" s="1003"/>
      <c r="M3" s="1003"/>
    </row>
    <row r="4" spans="1:25">
      <c r="A4" s="139"/>
      <c r="B4" s="58">
        <f>OP!J19</f>
        <v>2022</v>
      </c>
      <c r="C4" s="47">
        <f>B4-1</f>
        <v>2021</v>
      </c>
      <c r="D4" s="47">
        <f t="shared" ref="D4:M4" si="0">C4-1</f>
        <v>2020</v>
      </c>
      <c r="E4" s="47">
        <f t="shared" si="0"/>
        <v>2019</v>
      </c>
      <c r="F4" s="47">
        <f t="shared" si="0"/>
        <v>2018</v>
      </c>
      <c r="G4" s="47">
        <f t="shared" si="0"/>
        <v>2017</v>
      </c>
      <c r="H4" s="47">
        <f t="shared" si="0"/>
        <v>2016</v>
      </c>
      <c r="I4" s="47">
        <f t="shared" si="0"/>
        <v>2015</v>
      </c>
      <c r="J4" s="47">
        <f>I4-1</f>
        <v>2014</v>
      </c>
      <c r="K4" s="47">
        <f t="shared" si="0"/>
        <v>2013</v>
      </c>
      <c r="L4" s="47">
        <f t="shared" si="0"/>
        <v>2012</v>
      </c>
      <c r="M4" s="47">
        <f t="shared" si="0"/>
        <v>2011</v>
      </c>
    </row>
    <row r="5" spans="1:25">
      <c r="A5" s="140" t="s">
        <v>127</v>
      </c>
      <c r="B5" s="60">
        <f>_xlfn.XLOOKUP($A5,Inputs!$A:$A,Inputs!B:B,,0)</f>
        <v>121427</v>
      </c>
      <c r="C5" s="60">
        <f>_xlfn.XLOOKUP($A5,Inputs!$A:$A,Inputs!C:C,,0)</f>
        <v>116385</v>
      </c>
      <c r="D5" s="60">
        <f>_xlfn.XLOOKUP($A5,Inputs!$A:$A,Inputs!D:D,,0)</f>
        <v>103564</v>
      </c>
      <c r="E5" s="60">
        <f>_xlfn.XLOOKUP($A5,Inputs!$A:$A,Inputs!E:E,,0)</f>
        <v>108942</v>
      </c>
      <c r="F5" s="60">
        <f>_xlfn.XLOOKUP($A5,Inputs!$A:$A,Inputs!F:F,,0)</f>
        <v>94507</v>
      </c>
      <c r="G5" s="60">
        <f>_xlfn.XLOOKUP($A5,Inputs!$A:$A,Inputs!G:G,,0)</f>
        <v>85029</v>
      </c>
      <c r="H5" s="60">
        <f>_xlfn.XLOOKUP($A5,Inputs!$A:$A,Inputs!H:H,,0)</f>
        <v>80736</v>
      </c>
      <c r="I5" s="60">
        <f>_xlfn.XLOOKUP($A5,Inputs!$A:$A,Inputs!I:I,,0)</f>
        <v>74510</v>
      </c>
      <c r="J5" s="60">
        <f>_xlfn.XLOOKUP($A5,Inputs!$A:$A,Inputs!J:J,,0)</f>
        <v>68775</v>
      </c>
      <c r="K5" s="60">
        <f>_xlfn.XLOOKUP($A5,Inputs!$A:$A,Inputs!K:K,,0)</f>
        <v>64657</v>
      </c>
      <c r="L5" s="60">
        <f>_xlfn.XLOOKUP($A5,Inputs!$A:$A,Inputs!L:L,,0)</f>
        <v>62570</v>
      </c>
      <c r="M5" s="61">
        <f>_xlfn.XLOOKUP($A5,Inputs!$A:$A,Inputs!M:M,,0)</f>
        <v>55842</v>
      </c>
    </row>
    <row r="6" spans="1:25">
      <c r="A6" s="141" t="s">
        <v>486</v>
      </c>
      <c r="B6" s="63">
        <f t="shared" ref="B6:L6" si="1">IFERROR(B5/C5-1,"-")</f>
        <v>4.3321733900416826E-2</v>
      </c>
      <c r="C6" s="63">
        <f t="shared" si="1"/>
        <v>0.12379784481093825</v>
      </c>
      <c r="D6" s="63">
        <f t="shared" si="1"/>
        <v>-4.9365717537772413E-2</v>
      </c>
      <c r="E6" s="63">
        <f t="shared" si="1"/>
        <v>0.15274000867660598</v>
      </c>
      <c r="F6" s="63">
        <f t="shared" si="1"/>
        <v>0.11146785214456245</v>
      </c>
      <c r="G6" s="63">
        <f t="shared" si="1"/>
        <v>5.3173305588585018E-2</v>
      </c>
      <c r="H6" s="63">
        <f t="shared" si="1"/>
        <v>8.355925379143736E-2</v>
      </c>
      <c r="I6" s="63">
        <f t="shared" si="1"/>
        <v>8.3387858960378036E-2</v>
      </c>
      <c r="J6" s="63">
        <f t="shared" si="1"/>
        <v>6.3689933031226387E-2</v>
      </c>
      <c r="K6" s="63">
        <f t="shared" si="1"/>
        <v>3.3354642800063949E-2</v>
      </c>
      <c r="L6" s="63">
        <f t="shared" si="1"/>
        <v>0.12048279073099111</v>
      </c>
      <c r="M6" s="64" t="str">
        <f>IFERROR(M5/#REF!-1,"-")</f>
        <v>-</v>
      </c>
      <c r="N6" s="588"/>
    </row>
    <row r="7" spans="1:25">
      <c r="A7" s="140" t="s">
        <v>487</v>
      </c>
      <c r="B7" s="60">
        <f>_xlfn.XLOOKUP($A7,Inputs!$A:$A,Inputs!B:B,,0)</f>
        <v>36445</v>
      </c>
      <c r="C7" s="60">
        <f>_xlfn.XLOOKUP($A7,Inputs!$A:$A,Inputs!C:C,,0)</f>
        <v>34621</v>
      </c>
      <c r="D7" s="60">
        <f>_xlfn.XLOOKUP($A7,Inputs!$A:$A,Inputs!D:D,,0)</f>
        <v>30593</v>
      </c>
      <c r="E7" s="60">
        <f>_xlfn.XLOOKUP($A7,Inputs!$A:$A,Inputs!E:E,,0)</f>
        <v>34078</v>
      </c>
      <c r="F7" s="60">
        <f>_xlfn.XLOOKUP($A7,Inputs!$A:$A,Inputs!F:F,,0)</f>
        <v>29685</v>
      </c>
      <c r="G7" s="60">
        <f>_xlfn.XLOOKUP($A7,Inputs!$A:$A,Inputs!G:G,,0)</f>
        <v>27706</v>
      </c>
      <c r="H7" s="60">
        <f>_xlfn.XLOOKUP($A7,Inputs!$A:$A,Inputs!H:H,,0)</f>
        <v>26257</v>
      </c>
      <c r="I7" s="60">
        <f>_xlfn.XLOOKUP($A7,Inputs!$A:$A,Inputs!I:I,,0)</f>
        <v>24678</v>
      </c>
      <c r="J7" s="60">
        <f>_xlfn.XLOOKUP($A7,Inputs!$A:$A,Inputs!J:J,,0)</f>
        <v>22923</v>
      </c>
      <c r="K7" s="60">
        <f>_xlfn.XLOOKUP($A7,Inputs!$A:$A,Inputs!K:K,,0)</f>
        <v>21434</v>
      </c>
      <c r="L7" s="60">
        <f>_xlfn.XLOOKUP($A7,Inputs!$A:$A,Inputs!L:L,,0)</f>
        <v>19977</v>
      </c>
      <c r="M7" s="61">
        <f>_xlfn.XLOOKUP($A7,Inputs!$A:$A,Inputs!M:M,,0)</f>
        <v>24440</v>
      </c>
    </row>
    <row r="8" spans="1:25">
      <c r="A8" s="141" t="s">
        <v>488</v>
      </c>
      <c r="B8" s="63">
        <f>IFERROR(B7/B$5,"-")</f>
        <v>0.30013917827171882</v>
      </c>
      <c r="C8" s="63">
        <f t="shared" ref="C8:M8" si="2">IFERROR(C7/C$5,"-")</f>
        <v>0.29746960518967219</v>
      </c>
      <c r="D8" s="63">
        <f t="shared" si="2"/>
        <v>0.29540187710015064</v>
      </c>
      <c r="E8" s="63">
        <f t="shared" si="2"/>
        <v>0.31280865047456446</v>
      </c>
      <c r="F8" s="63">
        <f t="shared" si="2"/>
        <v>0.31410371718497043</v>
      </c>
      <c r="G8" s="63">
        <f t="shared" si="2"/>
        <v>0.32584177163085537</v>
      </c>
      <c r="H8" s="63">
        <f t="shared" si="2"/>
        <v>0.32522047166072138</v>
      </c>
      <c r="I8" s="63">
        <f t="shared" si="2"/>
        <v>0.33120386525298617</v>
      </c>
      <c r="J8" s="63">
        <f t="shared" si="2"/>
        <v>0.33330425299890948</v>
      </c>
      <c r="K8" s="63">
        <f t="shared" si="2"/>
        <v>0.33150316284393028</v>
      </c>
      <c r="L8" s="63">
        <f t="shared" si="2"/>
        <v>0.31927441265782325</v>
      </c>
      <c r="M8" s="64">
        <f t="shared" si="2"/>
        <v>0.43766340747107912</v>
      </c>
    </row>
    <row r="9" spans="1:25">
      <c r="A9" s="140" t="s">
        <v>489</v>
      </c>
      <c r="B9" s="60">
        <f t="shared" ref="B9:M9" si="3">B5-B11</f>
        <v>107386</v>
      </c>
      <c r="C9" s="60">
        <f t="shared" si="3"/>
        <v>95568</v>
      </c>
      <c r="D9" s="60">
        <f t="shared" si="3"/>
        <v>86071</v>
      </c>
      <c r="E9" s="60">
        <f t="shared" si="3"/>
        <v>87817</v>
      </c>
      <c r="F9" s="60">
        <f t="shared" si="3"/>
        <v>75498</v>
      </c>
      <c r="G9" s="60">
        <f t="shared" si="3"/>
        <v>67011</v>
      </c>
      <c r="H9" s="60">
        <f t="shared" si="3"/>
        <v>63905</v>
      </c>
      <c r="I9" s="60">
        <f t="shared" si="3"/>
        <v>58512</v>
      </c>
      <c r="J9" s="60">
        <f t="shared" si="3"/>
        <v>53871</v>
      </c>
      <c r="K9" s="60">
        <f t="shared" si="3"/>
        <v>51094</v>
      </c>
      <c r="L9" s="60">
        <f t="shared" si="3"/>
        <v>50391</v>
      </c>
      <c r="M9" s="61">
        <f t="shared" si="3"/>
        <v>45121</v>
      </c>
    </row>
    <row r="10" spans="1:25">
      <c r="A10" s="141" t="s">
        <v>488</v>
      </c>
      <c r="B10" s="63">
        <f>IFERROR(B9/B$5,"-")</f>
        <v>0.88436673886367945</v>
      </c>
      <c r="C10" s="63">
        <f t="shared" ref="C10:M10" si="4">IFERROR(C9/C$5,"-")</f>
        <v>0.82113674442582807</v>
      </c>
      <c r="D10" s="63">
        <f t="shared" si="4"/>
        <v>0.83108995403808272</v>
      </c>
      <c r="E10" s="63">
        <f t="shared" si="4"/>
        <v>0.80608947880523585</v>
      </c>
      <c r="F10" s="63">
        <f t="shared" si="4"/>
        <v>0.79886145999767211</v>
      </c>
      <c r="G10" s="63">
        <f t="shared" si="4"/>
        <v>0.78809582612990858</v>
      </c>
      <c r="H10" s="63">
        <f t="shared" si="4"/>
        <v>0.79153042013476016</v>
      </c>
      <c r="I10" s="63">
        <f t="shared" si="4"/>
        <v>0.78529056502482886</v>
      </c>
      <c r="J10" s="63">
        <f t="shared" si="4"/>
        <v>0.78329334787350058</v>
      </c>
      <c r="K10" s="63">
        <f t="shared" si="4"/>
        <v>0.79023152945543407</v>
      </c>
      <c r="L10" s="63">
        <f t="shared" si="4"/>
        <v>0.80535400351606201</v>
      </c>
      <c r="M10" s="64">
        <f t="shared" si="4"/>
        <v>0.80801189069159418</v>
      </c>
    </row>
    <row r="11" spans="1:25">
      <c r="A11" s="140" t="s">
        <v>261</v>
      </c>
      <c r="B11" s="60">
        <f>_xlfn.XLOOKUP($A11,Inputs!$A:$A,Inputs!B:B,,0)</f>
        <v>14041</v>
      </c>
      <c r="C11" s="60">
        <f>_xlfn.XLOOKUP($A11,Inputs!$A:$A,Inputs!C:C,,0)</f>
        <v>20817</v>
      </c>
      <c r="D11" s="60">
        <f>_xlfn.XLOOKUP($A11,Inputs!$A:$A,Inputs!D:D,,0)</f>
        <v>17493</v>
      </c>
      <c r="E11" s="60">
        <f>_xlfn.XLOOKUP($A11,Inputs!$A:$A,Inputs!E:E,,0)</f>
        <v>21125</v>
      </c>
      <c r="F11" s="60">
        <f>_xlfn.XLOOKUP($A11,Inputs!$A:$A,Inputs!F:F,,0)</f>
        <v>19009</v>
      </c>
      <c r="G11" s="60">
        <f>_xlfn.XLOOKUP($A11,Inputs!$A:$A,Inputs!G:G,,0)</f>
        <v>18018</v>
      </c>
      <c r="H11" s="60">
        <f>_xlfn.XLOOKUP($A11,Inputs!$A:$A,Inputs!H:H,,0)</f>
        <v>16831</v>
      </c>
      <c r="I11" s="60">
        <f>_xlfn.XLOOKUP($A11,Inputs!$A:$A,Inputs!I:I,,0)</f>
        <v>15998</v>
      </c>
      <c r="J11" s="60">
        <f>_xlfn.XLOOKUP($A11,Inputs!$A:$A,Inputs!J:J,,0)</f>
        <v>14904</v>
      </c>
      <c r="K11" s="60">
        <f>_xlfn.XLOOKUP($A11,Inputs!$A:$A,Inputs!K:K,,0)</f>
        <v>13563</v>
      </c>
      <c r="L11" s="60">
        <f>_xlfn.XLOOKUP($A11,Inputs!$A:$A,Inputs!L:L,,0)</f>
        <v>12179</v>
      </c>
      <c r="M11" s="61">
        <f>_xlfn.XLOOKUP($A11,Inputs!$A:$A,Inputs!M:M,,0)</f>
        <v>10721</v>
      </c>
    </row>
    <row r="12" spans="1:25">
      <c r="A12" s="141" t="s">
        <v>128</v>
      </c>
      <c r="B12" s="792">
        <f>IFERROR(B11/B$5,"-")</f>
        <v>0.11563326113632058</v>
      </c>
      <c r="C12" s="63">
        <f t="shared" ref="C12:M12" si="5">IFERROR(C11/C$5,"-")</f>
        <v>0.17886325557417193</v>
      </c>
      <c r="D12" s="63">
        <f t="shared" si="5"/>
        <v>0.16891004596191728</v>
      </c>
      <c r="E12" s="63">
        <f t="shared" si="5"/>
        <v>0.19391052119476418</v>
      </c>
      <c r="F12" s="63">
        <f t="shared" si="5"/>
        <v>0.20113854000232786</v>
      </c>
      <c r="G12" s="63">
        <f t="shared" si="5"/>
        <v>0.21190417387009139</v>
      </c>
      <c r="H12" s="63">
        <f t="shared" si="5"/>
        <v>0.20846957986523978</v>
      </c>
      <c r="I12" s="63">
        <f t="shared" si="5"/>
        <v>0.21470943497517112</v>
      </c>
      <c r="J12" s="63">
        <f t="shared" si="5"/>
        <v>0.21670665212649945</v>
      </c>
      <c r="K12" s="63">
        <f t="shared" si="5"/>
        <v>0.20976847054456593</v>
      </c>
      <c r="L12" s="63">
        <f t="shared" si="5"/>
        <v>0.19464599648393799</v>
      </c>
      <c r="M12" s="64">
        <f t="shared" si="5"/>
        <v>0.19198810930840585</v>
      </c>
    </row>
    <row r="13" spans="1:25">
      <c r="A13" s="140" t="s">
        <v>490</v>
      </c>
      <c r="B13" s="63">
        <f t="shared" ref="B13" si="6">IFERROR(B12/C12-1,"-")</f>
        <v>-0.35351025136423742</v>
      </c>
      <c r="C13" s="63">
        <f t="shared" ref="C13" si="7">IFERROR(C12/D12-1,"-")</f>
        <v>5.8926096168955722E-2</v>
      </c>
      <c r="D13" s="63">
        <f t="shared" ref="D13" si="8">IFERROR(D12/E12-1,"-")</f>
        <v>-0.12892789457120979</v>
      </c>
      <c r="E13" s="63">
        <f t="shared" ref="E13" si="9">IFERROR(E12/F12-1,"-")</f>
        <v>-3.5935523880605058E-2</v>
      </c>
      <c r="F13" s="63">
        <f t="shared" ref="F13" si="10">IFERROR(F12/G12-1,"-")</f>
        <v>-5.0804255863140413E-2</v>
      </c>
      <c r="G13" s="63">
        <f t="shared" ref="G13" si="11">IFERROR(G12/H12-1,"-")</f>
        <v>1.6475276666609195E-2</v>
      </c>
      <c r="H13" s="63">
        <f t="shared" ref="H13" si="12">IFERROR(H12/I12-1,"-")</f>
        <v>-2.9061857997311091E-2</v>
      </c>
      <c r="I13" s="63">
        <f t="shared" ref="I13" si="13">IFERROR(I12/J12-1,"-")</f>
        <v>-9.2162244754835365E-3</v>
      </c>
      <c r="J13" s="63">
        <f t="shared" ref="J13" si="14">IFERROR(J12/K12-1,"-")</f>
        <v>3.3075426273175168E-2</v>
      </c>
      <c r="K13" s="63">
        <f t="shared" ref="K13" si="15">IFERROR(K12/L12-1,"-")</f>
        <v>7.7692191639173291E-2</v>
      </c>
      <c r="L13" s="63">
        <f t="shared" ref="L13" si="16">IFERROR(L12/M12-1,"-")</f>
        <v>1.3844019742194291E-2</v>
      </c>
      <c r="M13" s="64" t="str">
        <f>IFERROR(M12/#REF!-1,"-")</f>
        <v>-</v>
      </c>
    </row>
    <row r="14" spans="1:25">
      <c r="A14" s="142" t="s">
        <v>262</v>
      </c>
      <c r="B14" s="60">
        <f>_xlfn.XLOOKUP($A14,Inputs!$A:$A,Inputs!B:B,,0)</f>
        <v>-3896</v>
      </c>
      <c r="C14" s="60">
        <f>_xlfn.XLOOKUP($A14,Inputs!$A:$A,Inputs!C:C,,0)</f>
        <v>-4281</v>
      </c>
      <c r="D14" s="60">
        <f>_xlfn.XLOOKUP($A14,Inputs!$A:$A,Inputs!D:D,,0)</f>
        <v>-4588</v>
      </c>
      <c r="E14" s="60">
        <f>_xlfn.XLOOKUP($A14,Inputs!$A:$A,Inputs!E:E,,0)</f>
        <v>-4567</v>
      </c>
      <c r="F14" s="60">
        <f>_xlfn.XLOOKUP($A14,Inputs!$A:$A,Inputs!F:F,,0)</f>
        <v>-3542</v>
      </c>
      <c r="G14" s="60">
        <f>_xlfn.XLOOKUP($A14,Inputs!$A:$A,Inputs!G:G,,0)</f>
        <v>-3086</v>
      </c>
      <c r="H14" s="60">
        <f>_xlfn.XLOOKUP($A14,Inputs!$A:$A,Inputs!H:H,,0)</f>
        <v>-2942</v>
      </c>
      <c r="I14" s="60">
        <f>_xlfn.XLOOKUP($A14,Inputs!$A:$A,Inputs!I:I,,0)</f>
        <v>-2702</v>
      </c>
      <c r="J14" s="60">
        <f>_xlfn.XLOOKUP($A14,Inputs!$A:$A,Inputs!J:J,,0)</f>
        <v>-2617</v>
      </c>
      <c r="K14" s="60">
        <f>_xlfn.XLOOKUP($A14,Inputs!$A:$A,Inputs!K:K,,0)</f>
        <v>-2574</v>
      </c>
      <c r="L14" s="60">
        <f>_xlfn.XLOOKUP($A14,Inputs!$A:$A,Inputs!L:L,,0)</f>
        <v>-2521</v>
      </c>
      <c r="M14" s="61">
        <f>_xlfn.XLOOKUP($A14,Inputs!$A:$A,Inputs!M:M,,0)</f>
        <v>-2505</v>
      </c>
    </row>
    <row r="15" spans="1:25">
      <c r="A15" s="140" t="s">
        <v>491</v>
      </c>
      <c r="B15" s="60">
        <f>_xlfn.XLOOKUP($A15,Inputs!$A:$A,Inputs!B:B,,0)</f>
        <v>-861</v>
      </c>
      <c r="C15" s="60">
        <f>_xlfn.XLOOKUP($A15,Inputs!$A:$A,Inputs!C:C,,0)</f>
        <v>2556</v>
      </c>
      <c r="D15" s="60">
        <f>_xlfn.XLOOKUP($A15,Inputs!$A:$A,Inputs!D:D,,0)</f>
        <v>1160</v>
      </c>
      <c r="E15" s="60">
        <f>_xlfn.XLOOKUP($A15,Inputs!$A:$A,Inputs!E:E,,0)</f>
        <v>438</v>
      </c>
      <c r="F15" s="60">
        <f>_xlfn.XLOOKUP($A15,Inputs!$A:$A,Inputs!F:F,,0)</f>
        <v>-225</v>
      </c>
      <c r="G15" s="60">
        <f>_xlfn.XLOOKUP($A15,Inputs!$A:$A,Inputs!G:G,,0)</f>
        <v>421</v>
      </c>
      <c r="H15" s="60">
        <f>_xlfn.XLOOKUP($A15,Inputs!$A:$A,Inputs!H:H,,0)</f>
        <v>437</v>
      </c>
      <c r="I15" s="60">
        <f>_xlfn.XLOOKUP($A15,Inputs!$A:$A,Inputs!I:I,,0)</f>
        <v>76</v>
      </c>
      <c r="J15" s="60">
        <f>_xlfn.XLOOKUP($A15,Inputs!$A:$A,Inputs!J:J,,0)</f>
        <v>178</v>
      </c>
      <c r="K15" s="60">
        <f>_xlfn.XLOOKUP($A15,Inputs!$A:$A,Inputs!K:K,,0)</f>
        <v>126</v>
      </c>
      <c r="L15" s="60">
        <f>_xlfn.XLOOKUP($A15,Inputs!$A:$A,Inputs!L:L,,0)</f>
        <v>1951</v>
      </c>
      <c r="M15" s="61">
        <f>_xlfn.XLOOKUP($A15,Inputs!$A:$A,Inputs!M:M,,0)</f>
        <v>-9</v>
      </c>
      <c r="O15" s="57">
        <f>AVERAGE(B15:L15)</f>
        <v>568.81818181818187</v>
      </c>
    </row>
    <row r="16" spans="1:25">
      <c r="A16" s="142" t="s">
        <v>65</v>
      </c>
      <c r="B16" s="60">
        <f>B11-B15</f>
        <v>14902</v>
      </c>
      <c r="C16" s="60">
        <f t="shared" ref="C16:M16" si="17">C11-C15</f>
        <v>18261</v>
      </c>
      <c r="D16" s="60">
        <f t="shared" si="17"/>
        <v>16333</v>
      </c>
      <c r="E16" s="60">
        <f t="shared" si="17"/>
        <v>20687</v>
      </c>
      <c r="F16" s="60">
        <f t="shared" si="17"/>
        <v>19234</v>
      </c>
      <c r="G16" s="60">
        <f t="shared" si="17"/>
        <v>17597</v>
      </c>
      <c r="H16" s="60">
        <f t="shared" si="17"/>
        <v>16394</v>
      </c>
      <c r="I16" s="60">
        <f t="shared" si="17"/>
        <v>15922</v>
      </c>
      <c r="J16" s="60">
        <f t="shared" si="17"/>
        <v>14726</v>
      </c>
      <c r="K16" s="60">
        <f t="shared" si="17"/>
        <v>13437</v>
      </c>
      <c r="L16" s="60">
        <f t="shared" si="17"/>
        <v>10228</v>
      </c>
      <c r="M16" s="61">
        <f t="shared" si="17"/>
        <v>10730</v>
      </c>
      <c r="N16" s="57"/>
      <c r="O16" s="57"/>
      <c r="P16" s="57"/>
      <c r="Q16" s="57"/>
      <c r="R16" s="57"/>
      <c r="S16" s="57"/>
      <c r="T16" s="57"/>
      <c r="U16" s="57"/>
      <c r="V16" s="57"/>
      <c r="W16" s="57"/>
      <c r="X16" s="57"/>
      <c r="Y16" s="57"/>
    </row>
    <row r="17" spans="1:18">
      <c r="A17" s="140" t="s">
        <v>60</v>
      </c>
      <c r="B17" s="60">
        <f>_xlfn.XLOOKUP($A17,Inputs!$A:$A,Inputs!B:B,,0)</f>
        <v>13821</v>
      </c>
      <c r="C17" s="60">
        <f>_xlfn.XLOOKUP($A17,Inputs!$A:$A,Inputs!C:C,,0)</f>
        <v>13804</v>
      </c>
      <c r="D17" s="60">
        <f>_xlfn.XLOOKUP($A17,Inputs!$A:$A,Inputs!D:D,,0)</f>
        <v>13100</v>
      </c>
      <c r="E17" s="60">
        <f>_xlfn.XLOOKUP($A17,Inputs!$A:$A,Inputs!E:E,,0)</f>
        <v>12953</v>
      </c>
      <c r="F17" s="60">
        <f>_xlfn.XLOOKUP($A17,Inputs!$A:$A,Inputs!F:F,,0)</f>
        <v>10676</v>
      </c>
      <c r="G17" s="60">
        <f>_xlfn.XLOOKUP($A17,Inputs!$A:$A,Inputs!G:G,,0)</f>
        <v>9688</v>
      </c>
      <c r="H17" s="60">
        <f>_xlfn.XLOOKUP($A17,Inputs!$A:$A,Inputs!H:H,,0)</f>
        <v>9426</v>
      </c>
      <c r="I17" s="60">
        <f>_xlfn.XLOOKUP($A17,Inputs!$A:$A,Inputs!I:I,,0)</f>
        <v>8680</v>
      </c>
      <c r="J17" s="60">
        <f>_xlfn.XLOOKUP($A17,Inputs!$A:$A,Inputs!J:J,,0)</f>
        <v>8019</v>
      </c>
      <c r="K17" s="60">
        <f>_xlfn.XLOOKUP($A17,Inputs!$A:$A,Inputs!K:K,,0)</f>
        <v>7871</v>
      </c>
      <c r="L17" s="60">
        <f>_xlfn.XLOOKUP($A17,Inputs!$A:$A,Inputs!L:L,,0)</f>
        <v>7798</v>
      </c>
      <c r="M17" s="61">
        <f>_xlfn.XLOOKUP($A17,Inputs!$A:$A,Inputs!M:M,,0)</f>
        <v>7636</v>
      </c>
      <c r="N17" s="363"/>
    </row>
    <row r="18" spans="1:18">
      <c r="A18" s="142" t="s">
        <v>493</v>
      </c>
      <c r="B18" s="60">
        <f>_xlfn.XLOOKUP($A18,Inputs!$A:$A,Inputs!B:B,,0)</f>
        <v>2442</v>
      </c>
      <c r="C18" s="60">
        <f>_xlfn.XLOOKUP($A18,Inputs!$A:$A,Inputs!C:C,,0)</f>
        <v>543</v>
      </c>
      <c r="D18" s="60">
        <f>_xlfn.XLOOKUP($A18,Inputs!$A:$A,Inputs!D:D,,0)</f>
        <v>-3395</v>
      </c>
      <c r="E18" s="60">
        <f>_xlfn.XLOOKUP($A18,Inputs!$A:$A,Inputs!E:E,,0)</f>
        <v>-831</v>
      </c>
      <c r="F18" s="60">
        <f>_xlfn.XLOOKUP($A18,Inputs!$A:$A,Inputs!F:F,,0)</f>
        <v>-491</v>
      </c>
      <c r="G18" s="60">
        <f>_xlfn.XLOOKUP($A18,Inputs!$A:$A,Inputs!G:G,,0)</f>
        <v>-603</v>
      </c>
      <c r="H18" s="60">
        <f>_xlfn.XLOOKUP($A18,Inputs!$A:$A,Inputs!H:H,,0)</f>
        <v>-305</v>
      </c>
      <c r="I18" s="60">
        <f>_xlfn.XLOOKUP($A18,Inputs!$A:$A,Inputs!I:I,,0)</f>
        <v>-381</v>
      </c>
      <c r="J18" s="60">
        <f>_xlfn.XLOOKUP($A18,Inputs!$A:$A,Inputs!J:J,,0)</f>
        <v>-1234</v>
      </c>
      <c r="K18" s="60">
        <f>_xlfn.XLOOKUP($A18,Inputs!$A:$A,Inputs!K:K,,0)</f>
        <v>1119</v>
      </c>
      <c r="L18" s="60">
        <f>_xlfn.XLOOKUP($A18,Inputs!$A:$A,Inputs!L:L,,0)</f>
        <v>-1386</v>
      </c>
      <c r="M18" s="61">
        <f>_xlfn.XLOOKUP($A18,Inputs!$A:$A,Inputs!M:M,,0)</f>
        <v>-6288</v>
      </c>
    </row>
    <row r="19" spans="1:18">
      <c r="A19" s="140" t="s">
        <v>55</v>
      </c>
      <c r="B19" s="60">
        <f>B11-B15+B17</f>
        <v>28723</v>
      </c>
      <c r="C19" s="60">
        <f t="shared" ref="C19:M19" si="18">C11-C15+C17</f>
        <v>32065</v>
      </c>
      <c r="D19" s="60">
        <f t="shared" si="18"/>
        <v>29433</v>
      </c>
      <c r="E19" s="60">
        <f t="shared" si="18"/>
        <v>33640</v>
      </c>
      <c r="F19" s="60">
        <f t="shared" si="18"/>
        <v>29910</v>
      </c>
      <c r="G19" s="60">
        <f t="shared" si="18"/>
        <v>27285</v>
      </c>
      <c r="H19" s="60">
        <f t="shared" si="18"/>
        <v>25820</v>
      </c>
      <c r="I19" s="60">
        <f t="shared" si="18"/>
        <v>24602</v>
      </c>
      <c r="J19" s="60">
        <f t="shared" si="18"/>
        <v>22745</v>
      </c>
      <c r="K19" s="60">
        <f t="shared" si="18"/>
        <v>21308</v>
      </c>
      <c r="L19" s="60">
        <f t="shared" si="18"/>
        <v>18026</v>
      </c>
      <c r="M19" s="61">
        <f t="shared" si="18"/>
        <v>18366</v>
      </c>
    </row>
    <row r="20" spans="1:18">
      <c r="A20" s="141" t="s">
        <v>577</v>
      </c>
      <c r="B20" s="63">
        <f t="shared" ref="B20" si="19">IFERROR(B19/B$5,"-")</f>
        <v>0.23654541411712388</v>
      </c>
      <c r="C20" s="63">
        <f t="shared" ref="C20" si="20">IFERROR(C19/C$5,"-")</f>
        <v>0.275508012200885</v>
      </c>
      <c r="D20" s="63">
        <f t="shared" ref="D20" si="21">IFERROR(D19/D$5,"-")</f>
        <v>0.28420107373218495</v>
      </c>
      <c r="E20" s="63">
        <f t="shared" ref="E20" si="22">IFERROR(E19/E$5,"-")</f>
        <v>0.30878816250849078</v>
      </c>
      <c r="F20" s="63">
        <f t="shared" ref="F20" si="23">IFERROR(F19/F$5,"-")</f>
        <v>0.316484493212143</v>
      </c>
      <c r="G20" s="63">
        <f t="shared" ref="G20" si="24">IFERROR(G19/G$5,"-")</f>
        <v>0.32089051970504179</v>
      </c>
      <c r="H20" s="63">
        <f t="shared" ref="H20" si="25">IFERROR(H19/H$5,"-")</f>
        <v>0.31980776852952836</v>
      </c>
      <c r="I20" s="63">
        <f t="shared" ref="I20" si="26">IFERROR(I19/I$5,"-")</f>
        <v>0.33018386793718962</v>
      </c>
      <c r="J20" s="63">
        <f t="shared" ref="J20" si="27">IFERROR(J19/J$5,"-")</f>
        <v>0.33071610323518719</v>
      </c>
      <c r="K20" s="63">
        <f t="shared" ref="K20" si="28">IFERROR(K19/K$5,"-")</f>
        <v>0.32955441792845325</v>
      </c>
      <c r="L20" s="63">
        <f t="shared" ref="L20" si="29">IFERROR(L19/L$5,"-")</f>
        <v>0.28809333546428001</v>
      </c>
      <c r="M20" s="64">
        <f t="shared" ref="M20" si="30">IFERROR(M19/M$5,"-")</f>
        <v>0.32889223165359405</v>
      </c>
      <c r="P20" s="363"/>
      <c r="Q20" s="363"/>
      <c r="R20" s="363"/>
    </row>
    <row r="21" spans="1:18">
      <c r="A21" s="140" t="s">
        <v>263</v>
      </c>
      <c r="B21" s="60">
        <f>_xlfn.XLOOKUP($A21,Inputs!$A:$A,Inputs!B:B,,0)</f>
        <v>-4359</v>
      </c>
      <c r="C21" s="60">
        <f>_xlfn.XLOOKUP($A21,Inputs!$A:$A,Inputs!C:C,,0)</f>
        <v>-5259</v>
      </c>
      <c r="D21" s="60">
        <f>_xlfn.XLOOKUP($A21,Inputs!$A:$A,Inputs!D:D,,0)</f>
        <v>-3364</v>
      </c>
      <c r="E21" s="60">
        <f>_xlfn.XLOOKUP($A21,Inputs!$A:$A,Inputs!E:E,,0)</f>
        <v>-3673</v>
      </c>
      <c r="F21" s="60">
        <f>_xlfn.XLOOKUP($A21,Inputs!$A:$A,Inputs!F:F,,0)</f>
        <v>-3380</v>
      </c>
      <c r="G21" s="60">
        <f>_xlfn.XLOOKUP($A21,Inputs!$A:$A,Inputs!G:G,,0)</f>
        <v>7569</v>
      </c>
      <c r="H21" s="60">
        <f>_xlfn.XLOOKUP($A21,Inputs!$A:$A,Inputs!H:H,,0)</f>
        <v>-5298</v>
      </c>
      <c r="I21" s="60">
        <f>_xlfn.XLOOKUP($A21,Inputs!$A:$A,Inputs!I:I,,0)</f>
        <v>-4959</v>
      </c>
      <c r="J21" s="60">
        <f>_xlfn.XLOOKUP($A21,Inputs!$A:$A,Inputs!J:J,,0)</f>
        <v>-3873</v>
      </c>
      <c r="K21" s="60">
        <f>_xlfn.XLOOKUP($A21,Inputs!$A:$A,Inputs!K:K,,0)</f>
        <v>-3980</v>
      </c>
      <c r="L21" s="60">
        <f>_xlfn.XLOOKUP($A21,Inputs!$A:$A,Inputs!L:L,,0)</f>
        <v>-3744</v>
      </c>
      <c r="M21" s="61">
        <f>_xlfn.XLOOKUP($A21,Inputs!$A:$A,Inputs!M:M,,0)</f>
        <v>-3050</v>
      </c>
    </row>
    <row r="22" spans="1:18">
      <c r="A22" s="141" t="s">
        <v>494</v>
      </c>
      <c r="B22" s="63">
        <f t="shared" ref="B22" si="31">IFERROR(B21/B$5,"-")</f>
        <v>-3.5898111622621E-2</v>
      </c>
      <c r="C22" s="63">
        <f t="shared" ref="C22" si="32">IFERROR(C21/C$5,"-")</f>
        <v>-4.518623533960562E-2</v>
      </c>
      <c r="D22" s="63">
        <f t="shared" ref="D22" si="33">IFERROR(D21/D$5,"-")</f>
        <v>-3.248232976710054E-2</v>
      </c>
      <c r="E22" s="63">
        <f t="shared" ref="E22" si="34">IFERROR(E21/E$5,"-")</f>
        <v>-3.371518789814764E-2</v>
      </c>
      <c r="F22" s="63">
        <f t="shared" ref="F22" si="35">IFERROR(F21/F$5,"-")</f>
        <v>-3.5764546541526027E-2</v>
      </c>
      <c r="G22" s="63">
        <f t="shared" ref="G22" si="36">IFERROR(G21/G$5,"-")</f>
        <v>8.9016688423949469E-2</v>
      </c>
      <c r="H22" s="63">
        <f t="shared" ref="H22" si="37">IFERROR(H21/H$5,"-")</f>
        <v>-6.5621284185493456E-2</v>
      </c>
      <c r="I22" s="63">
        <f t="shared" ref="I22" si="38">IFERROR(I21/I$5,"-")</f>
        <v>-6.655482485572406E-2</v>
      </c>
      <c r="J22" s="63">
        <f t="shared" ref="J22" si="39">IFERROR(J21/J$5,"-")</f>
        <v>-5.6314067611777534E-2</v>
      </c>
      <c r="K22" s="63">
        <f t="shared" ref="K22" si="40">IFERROR(K21/K$5,"-")</f>
        <v>-6.1555593361894305E-2</v>
      </c>
      <c r="L22" s="63">
        <f t="shared" ref="L22" si="41">IFERROR(L21/L$5,"-")</f>
        <v>-5.983698257951095E-2</v>
      </c>
      <c r="M22" s="64">
        <f t="shared" ref="M22" si="42">IFERROR(M21/M$5,"-")</f>
        <v>-5.4618387593567568E-2</v>
      </c>
    </row>
    <row r="23" spans="1:18">
      <c r="A23" s="140" t="s">
        <v>69</v>
      </c>
      <c r="B23" s="60">
        <f>_xlfn.XLOOKUP($A23,Inputs!$A:$A,Inputs!B:B,,0)</f>
        <v>4925</v>
      </c>
      <c r="C23" s="60">
        <f>_xlfn.XLOOKUP($A23,Inputs!$A:$A,Inputs!C:C,,0)</f>
        <v>13833</v>
      </c>
      <c r="D23" s="60">
        <f>_xlfn.XLOOKUP($A23,Inputs!$A:$A,Inputs!D:D,,0)</f>
        <v>10701</v>
      </c>
      <c r="E23" s="60">
        <f>_xlfn.XLOOKUP($A23,Inputs!$A:$A,Inputs!E:E,,0)</f>
        <v>13323</v>
      </c>
      <c r="F23" s="60">
        <f>_xlfn.XLOOKUP($A23,Inputs!$A:$A,Inputs!F:F,,0)</f>
        <v>11862</v>
      </c>
      <c r="G23" s="60">
        <f>_xlfn.XLOOKUP($A23,Inputs!$A:$A,Inputs!G:G,,0)</f>
        <v>22922</v>
      </c>
      <c r="H23" s="60">
        <f>_xlfn.XLOOKUP($A23,Inputs!$A:$A,Inputs!H:H,,0)</f>
        <v>9028</v>
      </c>
      <c r="I23" s="60">
        <f>_xlfn.XLOOKUP($A23,Inputs!$A:$A,Inputs!I:I,,0)</f>
        <v>8413</v>
      </c>
      <c r="J23" s="60">
        <f>_xlfn.XLOOKUP($A23,Inputs!$A:$A,Inputs!J:J,,0)</f>
        <v>8592</v>
      </c>
      <c r="K23" s="60">
        <f>_xlfn.XLOOKUP($A23,Inputs!$A:$A,Inputs!K:K,,0)</f>
        <v>7135</v>
      </c>
      <c r="L23" s="60">
        <f>_xlfn.XLOOKUP($A23,Inputs!$A:$A,Inputs!L:L,,0)</f>
        <v>7865</v>
      </c>
      <c r="M23" s="61">
        <f>_xlfn.XLOOKUP($A23,Inputs!$A:$A,Inputs!M:M,,0)</f>
        <v>5157</v>
      </c>
    </row>
    <row r="24" spans="1:18">
      <c r="A24" s="141" t="s">
        <v>227</v>
      </c>
      <c r="B24" s="63">
        <f t="shared" ref="B24" si="43">IFERROR(B23/B$5,"-")</f>
        <v>4.0559348415097139E-2</v>
      </c>
      <c r="C24" s="63">
        <f t="shared" ref="C24" si="44">IFERROR(C23/C$5,"-")</f>
        <v>0.11885552261889419</v>
      </c>
      <c r="D24" s="63">
        <f t="shared" ref="D24" si="45">IFERROR(D23/D$5,"-")</f>
        <v>0.10332741106948361</v>
      </c>
      <c r="E24" s="63">
        <f t="shared" ref="E24" si="46">IFERROR(E23/E$5,"-")</f>
        <v>0.12229443189954288</v>
      </c>
      <c r="F24" s="63">
        <f t="shared" ref="F24" si="47">IFERROR(F23/F$5,"-")</f>
        <v>0.12551451215253898</v>
      </c>
      <c r="G24" s="63">
        <f t="shared" ref="G24" si="48">IFERROR(G23/G$5,"-")</f>
        <v>0.26957861435510239</v>
      </c>
      <c r="H24" s="63">
        <f t="shared" ref="H24" si="49">IFERROR(H23/H$5,"-")</f>
        <v>0.11182124455013873</v>
      </c>
      <c r="I24" s="63">
        <f t="shared" ref="I24" si="50">IFERROR(I23/I$5,"-")</f>
        <v>0.11291101865521407</v>
      </c>
      <c r="J24" s="63">
        <f t="shared" ref="J24" si="51">IFERROR(J23/J$5,"-")</f>
        <v>0.12492911668484187</v>
      </c>
      <c r="K24" s="63">
        <f t="shared" ref="K24" si="52">IFERROR(K23/K$5,"-")</f>
        <v>0.11035154739626027</v>
      </c>
      <c r="L24" s="63">
        <f t="shared" ref="L24" si="53">IFERROR(L23/L$5,"-")</f>
        <v>0.12569921687709765</v>
      </c>
      <c r="M24" s="64">
        <f t="shared" ref="M24" si="54">IFERROR(M23/M$5,"-")</f>
        <v>9.2349844203287845E-2</v>
      </c>
    </row>
    <row r="25" spans="1:18">
      <c r="A25" s="140" t="s">
        <v>486</v>
      </c>
      <c r="B25" s="63">
        <f t="shared" ref="B25" si="55">IFERROR(B24/C24-1,"-")</f>
        <v>-0.65875083023992764</v>
      </c>
      <c r="C25" s="63">
        <f t="shared" ref="C25" si="56">IFERROR(C24/D24-1,"-")</f>
        <v>0.15028066017224173</v>
      </c>
      <c r="D25" s="63">
        <f t="shared" ref="D25" si="57">IFERROR(D24/E24-1,"-")</f>
        <v>-0.15509308588668602</v>
      </c>
      <c r="E25" s="63">
        <f t="shared" ref="E25" si="58">IFERROR(E24/F24-1,"-")</f>
        <v>-2.5655043371261343E-2</v>
      </c>
      <c r="F25" s="63">
        <f t="shared" ref="F25" si="59">IFERROR(F24/G24-1,"-")</f>
        <v>-0.53440478781004119</v>
      </c>
      <c r="G25" s="63">
        <f t="shared" ref="G25" si="60">IFERROR(G24/H24-1,"-")</f>
        <v>1.4107996243435474</v>
      </c>
      <c r="H25" s="63">
        <f t="shared" ref="H25" si="61">IFERROR(H24/I24-1,"-")</f>
        <v>-9.6516187530207853E-3</v>
      </c>
      <c r="I25" s="63">
        <f t="shared" ref="I25" si="62">IFERROR(I24/J24-1,"-")</f>
        <v>-9.6199335659643004E-2</v>
      </c>
      <c r="J25" s="63">
        <f t="shared" ref="J25" si="63">IFERROR(J24/K24-1,"-")</f>
        <v>0.13210117694349277</v>
      </c>
      <c r="K25" s="63">
        <f t="shared" ref="K25" si="64">IFERROR(K24/L24-1,"-")</f>
        <v>-0.12209836991938905</v>
      </c>
      <c r="L25" s="63">
        <f t="shared" ref="L25" si="65">IFERROR(L24/M24-1,"-")</f>
        <v>0.36111996681227199</v>
      </c>
      <c r="M25" s="64" t="str">
        <f>IFERROR(M24/#REF!-1,"-")</f>
        <v>-</v>
      </c>
    </row>
    <row r="26" spans="1:18">
      <c r="A26" s="141" t="s">
        <v>495</v>
      </c>
      <c r="B26" s="66">
        <f>B39-C39</f>
        <v>-3962</v>
      </c>
      <c r="C26" s="66">
        <f t="shared" ref="C26:M26" si="66">C39-D39</f>
        <v>-3029</v>
      </c>
      <c r="D26" s="66">
        <f t="shared" si="66"/>
        <v>6240</v>
      </c>
      <c r="E26" s="66">
        <f t="shared" si="66"/>
        <v>1686</v>
      </c>
      <c r="F26" s="66">
        <f t="shared" si="66"/>
        <v>386</v>
      </c>
      <c r="G26" s="66">
        <f t="shared" si="66"/>
        <v>127</v>
      </c>
      <c r="H26" s="66">
        <f t="shared" si="66"/>
        <v>1006</v>
      </c>
      <c r="I26" s="66">
        <f t="shared" si="66"/>
        <v>-1615</v>
      </c>
      <c r="J26" s="66">
        <f t="shared" si="66"/>
        <v>2192</v>
      </c>
      <c r="K26" s="66">
        <f t="shared" si="66"/>
        <v>-9233</v>
      </c>
      <c r="L26" s="66">
        <f t="shared" si="66"/>
        <v>9331</v>
      </c>
      <c r="M26" s="61">
        <f t="shared" si="66"/>
        <v>1620</v>
      </c>
    </row>
    <row r="27" spans="1:18">
      <c r="A27" s="140" t="s">
        <v>138</v>
      </c>
      <c r="B27" s="60">
        <f>_xlfn.XLOOKUP($A27,Inputs!$A:$A,Inputs!B:B,,0)</f>
        <v>-4741</v>
      </c>
      <c r="C27" s="60">
        <f>_xlfn.XLOOKUP($A27,Inputs!$A:$A,Inputs!C:C,,0)</f>
        <v>-4532</v>
      </c>
      <c r="D27" s="60">
        <f>_xlfn.XLOOKUP($A27,Inputs!$A:$A,Inputs!D:D,,0)</f>
        <v>-4140</v>
      </c>
      <c r="E27" s="60">
        <f>_xlfn.XLOOKUP($A27,Inputs!$A:$A,Inputs!E:E,,0)</f>
        <v>-3735</v>
      </c>
      <c r="F27" s="60">
        <f>_xlfn.XLOOKUP($A27,Inputs!$A:$A,Inputs!F:F,,0)</f>
        <v>-3352</v>
      </c>
      <c r="G27" s="60">
        <f>_xlfn.XLOOKUP($A27,Inputs!$A:$A,Inputs!G:G,,0)</f>
        <v>-2883</v>
      </c>
      <c r="H27" s="60">
        <f>_xlfn.XLOOKUP($A27,Inputs!$A:$A,Inputs!H:H,,0)</f>
        <v>-2601</v>
      </c>
      <c r="I27" s="60">
        <f>_xlfn.XLOOKUP($A27,Inputs!$A:$A,Inputs!I:I,,0)</f>
        <v>-2437</v>
      </c>
      <c r="J27" s="60">
        <f>_xlfn.XLOOKUP($A27,Inputs!$A:$A,Inputs!J:J,,0)</f>
        <v>-2254</v>
      </c>
      <c r="K27" s="60">
        <f>_xlfn.XLOOKUP($A27,Inputs!$A:$A,Inputs!K:K,,0)</f>
        <v>-1964</v>
      </c>
      <c r="L27" s="60">
        <f>_xlfn.XLOOKUP($A27,Inputs!$A:$A,Inputs!L:L,,0)</f>
        <v>-1608</v>
      </c>
      <c r="M27" s="61">
        <f>_xlfn.XLOOKUP($A27,Inputs!$A:$A,Inputs!M:M,,0)</f>
        <v>-1187</v>
      </c>
    </row>
    <row r="28" spans="1:18">
      <c r="A28" s="142" t="s">
        <v>496</v>
      </c>
      <c r="B28" s="60">
        <f>_xlfn.XLOOKUP($A28,Inputs!$A:$A,Inputs!B:B,,0)</f>
        <v>-13328</v>
      </c>
      <c r="C28" s="60">
        <f>_xlfn.XLOOKUP($A28,Inputs!$A:$A,Inputs!C:C,,0)</f>
        <v>-4672</v>
      </c>
      <c r="D28" s="60">
        <f>_xlfn.XLOOKUP($A28,Inputs!$A:$A,Inputs!D:D,,0)</f>
        <v>-534</v>
      </c>
      <c r="E28" s="60">
        <f>_xlfn.XLOOKUP($A28,Inputs!$A:$A,Inputs!E:E,,0)</f>
        <v>-504</v>
      </c>
      <c r="F28" s="60">
        <f>_xlfn.XLOOKUP($A28,Inputs!$A:$A,Inputs!F:F,,0)</f>
        <v>-5320</v>
      </c>
      <c r="G28" s="60">
        <f>_xlfn.XLOOKUP($A28,Inputs!$A:$A,Inputs!G:G,,0)</f>
        <v>-5435</v>
      </c>
      <c r="H28" s="60">
        <f>_xlfn.XLOOKUP($A28,Inputs!$A:$A,Inputs!H:H,,0)</f>
        <v>-5352</v>
      </c>
      <c r="I28" s="60">
        <f>_xlfn.XLOOKUP($A28,Inputs!$A:$A,Inputs!I:I,,0)</f>
        <v>0</v>
      </c>
      <c r="J28" s="60">
        <f>_xlfn.XLOOKUP($A28,Inputs!$A:$A,Inputs!J:J,,0)</f>
        <v>0</v>
      </c>
      <c r="K28" s="60">
        <f>_xlfn.XLOOKUP($A28,Inputs!$A:$A,Inputs!K:K,,0)</f>
        <v>-2000</v>
      </c>
      <c r="L28" s="60">
        <f>_xlfn.XLOOKUP($A28,Inputs!$A:$A,Inputs!L:L,,0)</f>
        <v>-3000</v>
      </c>
      <c r="M28" s="61">
        <f>_xlfn.XLOOKUP($A28,Inputs!$A:$A,Inputs!M:M,,0)</f>
        <v>-2141</v>
      </c>
    </row>
    <row r="29" spans="1:18">
      <c r="A29" s="140" t="s">
        <v>130</v>
      </c>
      <c r="B29" s="66">
        <f>SUM(B26:B28)</f>
        <v>-22031</v>
      </c>
      <c r="C29" s="66">
        <f t="shared" ref="C29:M29" si="67">SUM(C26:C28)</f>
        <v>-12233</v>
      </c>
      <c r="D29" s="66">
        <f t="shared" si="67"/>
        <v>1566</v>
      </c>
      <c r="E29" s="66">
        <f t="shared" si="67"/>
        <v>-2553</v>
      </c>
      <c r="F29" s="66">
        <f t="shared" si="67"/>
        <v>-8286</v>
      </c>
      <c r="G29" s="66">
        <f t="shared" si="67"/>
        <v>-8191</v>
      </c>
      <c r="H29" s="66">
        <f t="shared" si="67"/>
        <v>-6947</v>
      </c>
      <c r="I29" s="66">
        <f t="shared" si="67"/>
        <v>-4052</v>
      </c>
      <c r="J29" s="66">
        <f t="shared" si="67"/>
        <v>-62</v>
      </c>
      <c r="K29" s="66">
        <f t="shared" si="67"/>
        <v>-13197</v>
      </c>
      <c r="L29" s="66">
        <f t="shared" si="67"/>
        <v>4723</v>
      </c>
      <c r="M29" s="61">
        <f t="shared" si="67"/>
        <v>-1708</v>
      </c>
    </row>
    <row r="30" spans="1:18">
      <c r="A30" s="142" t="s">
        <v>498</v>
      </c>
      <c r="B30" s="66">
        <f>+B29-(B58-C29)</f>
        <v>-139286</v>
      </c>
      <c r="C30" s="66">
        <f t="shared" ref="C30:M30" si="68">+C29-(C58-D29)</f>
        <v>-115794</v>
      </c>
      <c r="D30" s="66">
        <f t="shared" si="68"/>
        <v>-111227</v>
      </c>
      <c r="E30" s="66">
        <f t="shared" si="68"/>
        <v>-118376</v>
      </c>
      <c r="F30" s="66">
        <f t="shared" si="68"/>
        <v>-123822</v>
      </c>
      <c r="G30" s="66">
        <f t="shared" si="68"/>
        <v>-74560</v>
      </c>
      <c r="H30" s="66">
        <f t="shared" si="68"/>
        <v>-66565</v>
      </c>
      <c r="I30" s="66">
        <f t="shared" si="68"/>
        <v>-53108</v>
      </c>
      <c r="J30" s="66">
        <f t="shared" si="68"/>
        <v>-57123</v>
      </c>
      <c r="K30" s="66">
        <f t="shared" si="68"/>
        <v>-53041</v>
      </c>
      <c r="L30" s="66">
        <f t="shared" si="68"/>
        <v>-35067</v>
      </c>
      <c r="M30" s="61">
        <f t="shared" si="68"/>
        <v>-39650</v>
      </c>
    </row>
    <row r="31" spans="1:18">
      <c r="A31" s="140" t="s">
        <v>499</v>
      </c>
      <c r="B31" s="66">
        <f>+B30+B33</f>
        <v>-139298</v>
      </c>
      <c r="C31" s="66">
        <f t="shared" ref="C31:L31" si="69">+C30+C33</f>
        <v>-117168</v>
      </c>
      <c r="D31" s="66">
        <f t="shared" si="69"/>
        <v>-111460</v>
      </c>
      <c r="E31" s="66">
        <f t="shared" si="69"/>
        <v>-118746</v>
      </c>
      <c r="F31" s="66">
        <f t="shared" si="69"/>
        <v>-162041</v>
      </c>
      <c r="G31" s="66">
        <f t="shared" si="69"/>
        <v>-75092</v>
      </c>
      <c r="H31" s="66">
        <f t="shared" si="69"/>
        <v>-70494</v>
      </c>
      <c r="I31" s="66">
        <f t="shared" si="69"/>
        <v>-54894</v>
      </c>
      <c r="J31" s="66">
        <f t="shared" si="69"/>
        <v>-57600</v>
      </c>
      <c r="K31" s="66">
        <f t="shared" si="69"/>
        <v>-54945</v>
      </c>
      <c r="L31" s="66">
        <f t="shared" si="69"/>
        <v>-35067</v>
      </c>
      <c r="M31" s="61">
        <f t="shared" ref="M31" si="70">+M30+M33</f>
        <v>-39650</v>
      </c>
    </row>
    <row r="32" spans="1:18">
      <c r="A32" s="142" t="s">
        <v>135</v>
      </c>
      <c r="B32" s="60">
        <f>_xlfn.XLOOKUP($A32,Inputs!$A:$A,Inputs!B:B,,0)</f>
        <v>-10626</v>
      </c>
      <c r="C32" s="60">
        <f>_xlfn.XLOOKUP($A32,Inputs!$A:$A,Inputs!C:C,,0)</f>
        <v>-9174</v>
      </c>
      <c r="D32" s="60">
        <f>_xlfn.XLOOKUP($A32,Inputs!$A:$A,Inputs!D:D,,0)</f>
        <v>-9179</v>
      </c>
      <c r="E32" s="60">
        <f>_xlfn.XLOOKUP($A32,Inputs!$A:$A,Inputs!E:E,,0)</f>
        <v>-9953</v>
      </c>
      <c r="F32" s="60">
        <f>_xlfn.XLOOKUP($A32,Inputs!$A:$A,Inputs!F:F,,0)</f>
        <v>-9774</v>
      </c>
      <c r="G32" s="60">
        <f>_xlfn.XLOOKUP($A32,Inputs!$A:$A,Inputs!G:G,,0)</f>
        <v>-9550</v>
      </c>
      <c r="H32" s="60">
        <f>_xlfn.XLOOKUP($A32,Inputs!$A:$A,Inputs!H:H,,0)</f>
        <v>-9135</v>
      </c>
      <c r="I32" s="60">
        <f>_xlfn.XLOOKUP($A32,Inputs!$A:$A,Inputs!I:I,,0)</f>
        <v>-8499</v>
      </c>
      <c r="J32" s="60">
        <f>_xlfn.XLOOKUP($A32,Inputs!$A:$A,Inputs!J:J,,0)</f>
        <v>-7420</v>
      </c>
      <c r="K32" s="60">
        <f>_xlfn.XLOOKUP($A32,Inputs!$A:$A,Inputs!K:K,,0)</f>
        <v>-6596</v>
      </c>
      <c r="L32" s="60">
        <f>_xlfn.XLOOKUP($A32,Inputs!$A:$A,Inputs!L:L,,0)</f>
        <v>-5714</v>
      </c>
      <c r="M32" s="61">
        <f>_xlfn.XLOOKUP($A32,Inputs!$A:$A,Inputs!M:M,,0)</f>
        <v>-5307</v>
      </c>
    </row>
    <row r="33" spans="1:13">
      <c r="A33" s="140" t="s">
        <v>136</v>
      </c>
      <c r="B33" s="60">
        <f>_xlfn.XLOOKUP($A33,Inputs!$A:$A,Inputs!B:B,,0)</f>
        <v>-12</v>
      </c>
      <c r="C33" s="60">
        <f>_xlfn.XLOOKUP($A33,Inputs!$A:$A,Inputs!C:C,,0)</f>
        <v>-1374</v>
      </c>
      <c r="D33" s="60">
        <f>_xlfn.XLOOKUP($A33,Inputs!$A:$A,Inputs!D:D,,0)</f>
        <v>-233</v>
      </c>
      <c r="E33" s="60">
        <f>_xlfn.XLOOKUP($A33,Inputs!$A:$A,Inputs!E:E,,0)</f>
        <v>-370</v>
      </c>
      <c r="F33" s="60">
        <f>_xlfn.XLOOKUP($A33,Inputs!$A:$A,Inputs!F:F,,0)</f>
        <v>-38219</v>
      </c>
      <c r="G33" s="60">
        <f>_xlfn.XLOOKUP($A33,Inputs!$A:$A,Inputs!G:G,,0)</f>
        <v>-532</v>
      </c>
      <c r="H33" s="60">
        <f>_xlfn.XLOOKUP($A33,Inputs!$A:$A,Inputs!H:H,,0)</f>
        <v>-3929</v>
      </c>
      <c r="I33" s="60">
        <f>_xlfn.XLOOKUP($A33,Inputs!$A:$A,Inputs!I:I,,0)</f>
        <v>-1786</v>
      </c>
      <c r="J33" s="60">
        <f>_xlfn.XLOOKUP($A33,Inputs!$A:$A,Inputs!J:J,,0)</f>
        <v>-477</v>
      </c>
      <c r="K33" s="60">
        <f>_xlfn.XLOOKUP($A33,Inputs!$A:$A,Inputs!K:K,,0)</f>
        <v>-1904</v>
      </c>
      <c r="L33" s="60">
        <f>_xlfn.XLOOKUP($A33,Inputs!$A:$A,Inputs!L:L,,0)</f>
        <v>0</v>
      </c>
      <c r="M33" s="61">
        <f>_xlfn.XLOOKUP($A33,Inputs!$A:$A,Inputs!M:M,,0)</f>
        <v>0</v>
      </c>
    </row>
    <row r="34" spans="1:13">
      <c r="A34" s="141" t="s">
        <v>131</v>
      </c>
      <c r="B34" s="66">
        <f t="shared" ref="B34:M34" si="71">+B32+B33</f>
        <v>-10638</v>
      </c>
      <c r="C34" s="66">
        <f t="shared" si="71"/>
        <v>-10548</v>
      </c>
      <c r="D34" s="66">
        <f t="shared" si="71"/>
        <v>-9412</v>
      </c>
      <c r="E34" s="66">
        <f t="shared" si="71"/>
        <v>-10323</v>
      </c>
      <c r="F34" s="66">
        <f t="shared" si="71"/>
        <v>-47993</v>
      </c>
      <c r="G34" s="66">
        <f t="shared" si="71"/>
        <v>-10082</v>
      </c>
      <c r="H34" s="66">
        <f t="shared" si="71"/>
        <v>-13064</v>
      </c>
      <c r="I34" s="66">
        <f t="shared" si="71"/>
        <v>-10285</v>
      </c>
      <c r="J34" s="66">
        <f t="shared" si="71"/>
        <v>-7897</v>
      </c>
      <c r="K34" s="66">
        <f t="shared" si="71"/>
        <v>-8500</v>
      </c>
      <c r="L34" s="66">
        <f t="shared" si="71"/>
        <v>-5714</v>
      </c>
      <c r="M34" s="67">
        <f t="shared" si="71"/>
        <v>-5307</v>
      </c>
    </row>
    <row r="35" spans="1:13">
      <c r="A35" s="140" t="s">
        <v>129</v>
      </c>
      <c r="B35" s="66">
        <f t="shared" ref="B35:M35" si="72">+B27+B28</f>
        <v>-18069</v>
      </c>
      <c r="C35" s="66">
        <f t="shared" si="72"/>
        <v>-9204</v>
      </c>
      <c r="D35" s="66">
        <f t="shared" si="72"/>
        <v>-4674</v>
      </c>
      <c r="E35" s="66">
        <f t="shared" si="72"/>
        <v>-4239</v>
      </c>
      <c r="F35" s="66">
        <f t="shared" si="72"/>
        <v>-8672</v>
      </c>
      <c r="G35" s="66">
        <f t="shared" si="72"/>
        <v>-8318</v>
      </c>
      <c r="H35" s="66">
        <f t="shared" si="72"/>
        <v>-7953</v>
      </c>
      <c r="I35" s="66">
        <f t="shared" si="72"/>
        <v>-2437</v>
      </c>
      <c r="J35" s="66">
        <f t="shared" si="72"/>
        <v>-2254</v>
      </c>
      <c r="K35" s="66">
        <f t="shared" si="72"/>
        <v>-3964</v>
      </c>
      <c r="L35" s="66">
        <f t="shared" si="72"/>
        <v>-4608</v>
      </c>
      <c r="M35" s="67">
        <f t="shared" si="72"/>
        <v>-3328</v>
      </c>
    </row>
    <row r="36" spans="1:13">
      <c r="A36" s="142" t="s">
        <v>500</v>
      </c>
      <c r="B36" s="63">
        <f>IFERROR(B35/B23,"-")</f>
        <v>-3.6688324873096447</v>
      </c>
      <c r="C36" s="63">
        <f t="shared" ref="C36:M36" si="73">IFERROR(C35/C23,"-")</f>
        <v>-0.66536543049230101</v>
      </c>
      <c r="D36" s="63">
        <f t="shared" si="73"/>
        <v>-0.43678160919540232</v>
      </c>
      <c r="E36" s="63">
        <f t="shared" si="73"/>
        <v>-0.31817158297680703</v>
      </c>
      <c r="F36" s="63">
        <f t="shared" si="73"/>
        <v>-0.73107401787219695</v>
      </c>
      <c r="G36" s="63">
        <f t="shared" si="73"/>
        <v>-0.36288281999825495</v>
      </c>
      <c r="H36" s="63">
        <f t="shared" si="73"/>
        <v>-0.88092600797518827</v>
      </c>
      <c r="I36" s="63">
        <f t="shared" si="73"/>
        <v>-0.28967074765244266</v>
      </c>
      <c r="J36" s="63">
        <f t="shared" si="73"/>
        <v>-0.26233705772811916</v>
      </c>
      <c r="K36" s="63">
        <f t="shared" si="73"/>
        <v>-0.55557112824106514</v>
      </c>
      <c r="L36" s="63">
        <f t="shared" si="73"/>
        <v>-0.585886840432295</v>
      </c>
      <c r="M36" s="64">
        <f t="shared" si="73"/>
        <v>-0.64533643591235212</v>
      </c>
    </row>
    <row r="37" spans="1:13">
      <c r="A37" s="7"/>
      <c r="B37" s="50"/>
      <c r="C37" s="50"/>
      <c r="D37" s="50"/>
      <c r="E37" s="50"/>
      <c r="F37" s="50"/>
      <c r="G37" s="50"/>
      <c r="H37" s="50"/>
      <c r="I37" s="50"/>
      <c r="J37" s="50"/>
      <c r="K37" s="50"/>
      <c r="L37" s="50"/>
      <c r="M37" s="50"/>
    </row>
    <row r="38" spans="1:13" ht="20.25">
      <c r="A38" s="1003" t="s">
        <v>501</v>
      </c>
      <c r="B38" s="1003"/>
      <c r="C38" s="1003"/>
      <c r="D38" s="1003"/>
      <c r="E38" s="1003"/>
      <c r="F38" s="1003"/>
      <c r="G38" s="1003"/>
      <c r="H38" s="1003"/>
      <c r="I38" s="1003"/>
      <c r="J38" s="1003"/>
      <c r="K38" s="1003"/>
      <c r="L38" s="1003"/>
      <c r="M38" s="1003"/>
    </row>
    <row r="39" spans="1:13">
      <c r="A39" s="143" t="s">
        <v>265</v>
      </c>
      <c r="B39" s="60">
        <f>_xlfn.XLOOKUP($A39,Inputs!$A:$A,Inputs!B:B,,0)</f>
        <v>4749</v>
      </c>
      <c r="C39" s="60">
        <f>_xlfn.XLOOKUP($A39,Inputs!$A:$A,Inputs!C:C,,0)</f>
        <v>8711</v>
      </c>
      <c r="D39" s="60">
        <f>_xlfn.XLOOKUP($A39,Inputs!$A:$A,Inputs!D:D,,0)</f>
        <v>11740</v>
      </c>
      <c r="E39" s="60">
        <f>_xlfn.XLOOKUP($A39,Inputs!$A:$A,Inputs!E:E,,0)</f>
        <v>5500</v>
      </c>
      <c r="F39" s="60">
        <f>_xlfn.XLOOKUP($A39,Inputs!$A:$A,Inputs!F:F,,0)</f>
        <v>3814</v>
      </c>
      <c r="G39" s="60">
        <f>_xlfn.XLOOKUP($A39,Inputs!$A:$A,Inputs!G:G,,0)</f>
        <v>3428</v>
      </c>
      <c r="H39" s="60">
        <f>_xlfn.XLOOKUP($A39,Inputs!$A:$A,Inputs!H:H,,0)</f>
        <v>3301</v>
      </c>
      <c r="I39" s="60">
        <f>_xlfn.XLOOKUP($A39,Inputs!$A:$A,Inputs!I:I,,0)</f>
        <v>2295</v>
      </c>
      <c r="J39" s="60">
        <f>_xlfn.XLOOKUP($A39,Inputs!$A:$A,Inputs!J:J,,0)</f>
        <v>3910</v>
      </c>
      <c r="K39" s="60">
        <f>_xlfn.XLOOKUP($A39,Inputs!$A:$A,Inputs!K:K,,0)</f>
        <v>1718</v>
      </c>
      <c r="L39" s="60">
        <f>_xlfn.XLOOKUP($A39,Inputs!$A:$A,Inputs!L:L,,0)</f>
        <v>10951</v>
      </c>
      <c r="M39" s="61">
        <f>_xlfn.XLOOKUP($A39,Inputs!$A:$A,Inputs!M:M,,0)</f>
        <v>1620</v>
      </c>
    </row>
    <row r="40" spans="1:13">
      <c r="A40" s="141" t="s">
        <v>502</v>
      </c>
      <c r="B40" s="60">
        <f>_xlfn.XLOOKUP($A40,Inputs!$A:$A,Inputs!B:B,,0)</f>
        <v>12671</v>
      </c>
      <c r="C40" s="60">
        <f>_xlfn.XLOOKUP($A40,Inputs!$A:$A,Inputs!C:C,,0)</f>
        <v>12008</v>
      </c>
      <c r="D40" s="60">
        <f>_xlfn.XLOOKUP($A40,Inputs!$A:$A,Inputs!D:D,,0)</f>
        <v>11466</v>
      </c>
      <c r="E40" s="60">
        <f>_xlfn.XLOOKUP($A40,Inputs!$A:$A,Inputs!E:E,,0)</f>
        <v>11292</v>
      </c>
      <c r="F40" s="60">
        <f>_xlfn.XLOOKUP($A40,Inputs!$A:$A,Inputs!F:F,,0)</f>
        <v>11104</v>
      </c>
      <c r="G40" s="60">
        <f>_xlfn.XLOOKUP($A40,Inputs!$A:$A,Inputs!G:G,,0)</f>
        <v>8834</v>
      </c>
      <c r="H40" s="60">
        <f>_xlfn.XLOOKUP($A40,Inputs!$A:$A,Inputs!H:H,,0)</f>
        <v>8372</v>
      </c>
      <c r="I40" s="60">
        <f>_xlfn.XLOOKUP($A40,Inputs!$A:$A,Inputs!I:I,,0)</f>
        <v>7369</v>
      </c>
      <c r="J40" s="60">
        <f>_xlfn.XLOOKUP($A40,Inputs!$A:$A,Inputs!J:J,,0)</f>
        <v>6680</v>
      </c>
      <c r="K40" s="60">
        <f>_xlfn.XLOOKUP($A40,Inputs!$A:$A,Inputs!K:K,,0)</f>
        <v>6751</v>
      </c>
      <c r="L40" s="60">
        <f>_xlfn.XLOOKUP($A40,Inputs!$A:$A,Inputs!L:L,,0)</f>
        <v>5828</v>
      </c>
      <c r="M40" s="61">
        <f>_xlfn.XLOOKUP($A40,Inputs!$A:$A,Inputs!M:M,,0)</f>
        <v>4854</v>
      </c>
    </row>
    <row r="41" spans="1:13">
      <c r="A41" s="143" t="s">
        <v>267</v>
      </c>
      <c r="B41" s="60">
        <f>_xlfn.XLOOKUP($A41,Inputs!$A:$A,Inputs!B:B,,0)</f>
        <v>0</v>
      </c>
      <c r="C41" s="60">
        <f>_xlfn.XLOOKUP($A41,Inputs!$A:$A,Inputs!C:C,,0)</f>
        <v>0</v>
      </c>
      <c r="D41" s="60">
        <f>_xlfn.XLOOKUP($A41,Inputs!$A:$A,Inputs!D:D,,0)</f>
        <v>0</v>
      </c>
      <c r="E41" s="60">
        <f>_xlfn.XLOOKUP($A41,Inputs!$A:$A,Inputs!E:E,,0)</f>
        <v>0</v>
      </c>
      <c r="F41" s="60">
        <f>_xlfn.XLOOKUP($A41,Inputs!$A:$A,Inputs!F:F,,0)</f>
        <v>0</v>
      </c>
      <c r="G41" s="60">
        <f>_xlfn.XLOOKUP($A41,Inputs!$A:$A,Inputs!G:G,,0)</f>
        <v>0</v>
      </c>
      <c r="H41" s="60">
        <f>_xlfn.XLOOKUP($A41,Inputs!$A:$A,Inputs!H:H,,0)</f>
        <v>0</v>
      </c>
      <c r="I41" s="60">
        <f>_xlfn.XLOOKUP($A41,Inputs!$A:$A,Inputs!I:I,,0)</f>
        <v>0</v>
      </c>
      <c r="J41" s="60">
        <f>_xlfn.XLOOKUP($A41,Inputs!$A:$A,Inputs!J:J,,0)</f>
        <v>0</v>
      </c>
      <c r="K41" s="60">
        <f>_xlfn.XLOOKUP($A41,Inputs!$A:$A,Inputs!K:K,,0)</f>
        <v>0</v>
      </c>
      <c r="L41" s="60">
        <f>_xlfn.XLOOKUP($A41,Inputs!$A:$A,Inputs!L:L,,0)</f>
        <v>0</v>
      </c>
      <c r="M41" s="61">
        <f>_xlfn.XLOOKUP($A41,Inputs!$A:$A,Inputs!M:M,,0)</f>
        <v>0</v>
      </c>
    </row>
    <row r="42" spans="1:13">
      <c r="A42" s="141" t="s">
        <v>503</v>
      </c>
      <c r="B42" s="60">
        <f>_xlfn.XLOOKUP($A42,Inputs!$A:$A,Inputs!B:B,,0)</f>
        <v>55485</v>
      </c>
      <c r="C42" s="60">
        <f>_xlfn.XLOOKUP($A42,Inputs!$A:$A,Inputs!C:C,,0)</f>
        <v>54047</v>
      </c>
      <c r="D42" s="60">
        <f>_xlfn.XLOOKUP($A42,Inputs!$A:$A,Inputs!D:D,,0)</f>
        <v>51995</v>
      </c>
      <c r="E42" s="60">
        <f>_xlfn.XLOOKUP($A42,Inputs!$A:$A,Inputs!E:E,,0)</f>
        <v>48322</v>
      </c>
      <c r="F42" s="60">
        <f>_xlfn.XLOOKUP($A42,Inputs!$A:$A,Inputs!F:F,,0)</f>
        <v>44437</v>
      </c>
      <c r="G42" s="60">
        <f>_xlfn.XLOOKUP($A42,Inputs!$A:$A,Inputs!G:G,,0)</f>
        <v>38470</v>
      </c>
      <c r="H42" s="60">
        <f>_xlfn.XLOOKUP($A42,Inputs!$A:$A,Inputs!H:H,,0)</f>
        <v>36253</v>
      </c>
      <c r="I42" s="60">
        <f>_xlfn.XLOOKUP($A42,Inputs!$A:$A,Inputs!I:I,,0)</f>
        <v>33665</v>
      </c>
      <c r="J42" s="60">
        <f>_xlfn.XLOOKUP($A42,Inputs!$A:$A,Inputs!J:J,,0)</f>
        <v>30953</v>
      </c>
      <c r="K42" s="60">
        <f>_xlfn.XLOOKUP($A42,Inputs!$A:$A,Inputs!K:K,,0)</f>
        <v>29840</v>
      </c>
      <c r="L42" s="60">
        <f>_xlfn.XLOOKUP($A42,Inputs!$A:$A,Inputs!L:L,,0)</f>
        <v>27232</v>
      </c>
      <c r="M42" s="61">
        <f>_xlfn.XLOOKUP($A42,Inputs!$A:$A,Inputs!M:M,,0)</f>
        <v>27559</v>
      </c>
    </row>
    <row r="43" spans="1:13">
      <c r="A43" s="143" t="s">
        <v>504</v>
      </c>
      <c r="B43" s="60">
        <f>_xlfn.XLOOKUP($A43,Inputs!$A:$A,Inputs!B:B,,0)</f>
        <v>172952</v>
      </c>
      <c r="C43" s="60">
        <f>_xlfn.XLOOKUP($A43,Inputs!$A:$A,Inputs!C:C,,0)</f>
        <v>188561</v>
      </c>
      <c r="D43" s="60">
        <f>_xlfn.XLOOKUP($A43,Inputs!$A:$A,Inputs!D:D,,0)</f>
        <v>188878</v>
      </c>
      <c r="E43" s="60">
        <f>_xlfn.XLOOKUP($A43,Inputs!$A:$A,Inputs!E:E,,0)</f>
        <v>188915</v>
      </c>
      <c r="F43" s="60">
        <f>_xlfn.XLOOKUP($A43,Inputs!$A:$A,Inputs!F:F,,0)</f>
        <v>188294</v>
      </c>
      <c r="G43" s="60">
        <f>_xlfn.XLOOKUP($A43,Inputs!$A:$A,Inputs!G:G,,0)</f>
        <v>133184</v>
      </c>
      <c r="H43" s="60">
        <f>_xlfn.XLOOKUP($A43,Inputs!$A:$A,Inputs!H:H,,0)</f>
        <v>130198</v>
      </c>
      <c r="I43" s="60">
        <f>_xlfn.XLOOKUP($A43,Inputs!$A:$A,Inputs!I:I,,0)</f>
        <v>122567</v>
      </c>
      <c r="J43" s="60">
        <f>_xlfn.XLOOKUP($A43,Inputs!$A:$A,Inputs!J:J,,0)</f>
        <v>116624</v>
      </c>
      <c r="K43" s="60">
        <f>_xlfn.XLOOKUP($A43,Inputs!$A:$A,Inputs!K:K,,0)</f>
        <v>119515</v>
      </c>
      <c r="L43" s="60">
        <f>_xlfn.XLOOKUP($A43,Inputs!$A:$A,Inputs!L:L,,0)</f>
        <v>119796</v>
      </c>
      <c r="M43" s="61">
        <f>_xlfn.XLOOKUP($A43,Inputs!$A:$A,Inputs!M:M,,0)</f>
        <v>118905</v>
      </c>
    </row>
    <row r="44" spans="1:13">
      <c r="A44" s="144" t="s">
        <v>43</v>
      </c>
      <c r="B44" s="70">
        <f>_xlfn.XLOOKUP($A44,Inputs!$A:$A,Inputs!B:B,,0)</f>
        <v>257275</v>
      </c>
      <c r="C44" s="70">
        <f>_xlfn.XLOOKUP($A44,Inputs!$A:$A,Inputs!C:C,,0)</f>
        <v>275905</v>
      </c>
      <c r="D44" s="70">
        <f>_xlfn.XLOOKUP($A44,Inputs!$A:$A,Inputs!D:D,,0)</f>
        <v>273869</v>
      </c>
      <c r="E44" s="70">
        <f>_xlfn.XLOOKUP($A44,Inputs!$A:$A,Inputs!E:E,,0)</f>
        <v>263414</v>
      </c>
      <c r="F44" s="70">
        <f>_xlfn.XLOOKUP($A44,Inputs!$A:$A,Inputs!F:F,,0)</f>
        <v>251684</v>
      </c>
      <c r="G44" s="70">
        <f>_xlfn.XLOOKUP($A44,Inputs!$A:$A,Inputs!G:G,,0)</f>
        <v>187462</v>
      </c>
      <c r="H44" s="70">
        <f>_xlfn.XLOOKUP($A44,Inputs!$A:$A,Inputs!H:H,,0)</f>
        <v>180500</v>
      </c>
      <c r="I44" s="70">
        <f>_xlfn.XLOOKUP($A44,Inputs!$A:$A,Inputs!I:I,,0)</f>
        <v>166574</v>
      </c>
      <c r="J44" s="70">
        <f>_xlfn.XLOOKUP($A44,Inputs!$A:$A,Inputs!J:J,,0)</f>
        <v>159186</v>
      </c>
      <c r="K44" s="70">
        <f>_xlfn.XLOOKUP($A44,Inputs!$A:$A,Inputs!K:K,,0)</f>
        <v>158813</v>
      </c>
      <c r="L44" s="70">
        <f>_xlfn.XLOOKUP($A44,Inputs!$A:$A,Inputs!L:L,,0)</f>
        <v>164971</v>
      </c>
      <c r="M44" s="70">
        <f>_xlfn.XLOOKUP($A44,Inputs!$A:$A,Inputs!M:M,,0)</f>
        <v>157818</v>
      </c>
    </row>
    <row r="45" spans="1:13">
      <c r="B45"/>
      <c r="C45"/>
      <c r="D45"/>
      <c r="E45"/>
      <c r="F45"/>
      <c r="G45"/>
      <c r="H45"/>
      <c r="I45"/>
      <c r="J45"/>
      <c r="K45"/>
      <c r="L45"/>
      <c r="M45"/>
    </row>
    <row r="46" spans="1:13">
      <c r="B46"/>
      <c r="C46"/>
      <c r="D46"/>
      <c r="E46"/>
      <c r="F46"/>
      <c r="G46"/>
      <c r="H46"/>
      <c r="I46"/>
      <c r="J46"/>
      <c r="K46"/>
      <c r="L46"/>
      <c r="M46"/>
    </row>
    <row r="47" spans="1:13" ht="20.25">
      <c r="A47" s="1003" t="s">
        <v>505</v>
      </c>
      <c r="B47" s="1003"/>
      <c r="C47" s="1003"/>
      <c r="D47" s="1003"/>
      <c r="E47" s="1003"/>
      <c r="F47" s="1003"/>
      <c r="G47" s="1003"/>
      <c r="H47" s="1003"/>
      <c r="I47" s="1003"/>
      <c r="J47" s="1003"/>
      <c r="K47" s="1003"/>
      <c r="L47" s="1003"/>
      <c r="M47" s="1003"/>
    </row>
    <row r="48" spans="1:13">
      <c r="A48" s="145" t="s">
        <v>271</v>
      </c>
      <c r="B48" s="70">
        <f>_xlfn.XLOOKUP($A48,Inputs!$A:$A,Inputs!B:B,,0)</f>
        <v>27887</v>
      </c>
      <c r="C48" s="70">
        <f>_xlfn.XLOOKUP($A48,Inputs!$A:$A,Inputs!C:C,,0)</f>
        <v>29348</v>
      </c>
      <c r="D48" s="70">
        <f>_xlfn.XLOOKUP($A48,Inputs!$A:$A,Inputs!D:D,,0)</f>
        <v>28796</v>
      </c>
      <c r="E48" s="70">
        <f>_xlfn.XLOOKUP($A48,Inputs!$A:$A,Inputs!E:E,,0)</f>
        <v>30292</v>
      </c>
      <c r="F48" s="70">
        <f>_xlfn.XLOOKUP($A48,Inputs!$A:$A,Inputs!F:F,,0)</f>
        <v>27603</v>
      </c>
      <c r="G48" s="70">
        <f>_xlfn.XLOOKUP($A48,Inputs!$A:$A,Inputs!G:G,,0)</f>
        <v>21993</v>
      </c>
      <c r="H48" s="70">
        <f>_xlfn.XLOOKUP($A48,Inputs!$A:$A,Inputs!H:H,,0)</f>
        <v>21535</v>
      </c>
      <c r="I48" s="70">
        <f>_xlfn.XLOOKUP($A48,Inputs!$A:$A,Inputs!I:I,,0)</f>
        <v>18178</v>
      </c>
      <c r="J48" s="70">
        <f>_xlfn.XLOOKUP($A48,Inputs!$A:$A,Inputs!J:J,,0)</f>
        <v>17410</v>
      </c>
      <c r="K48" s="70">
        <f>_xlfn.XLOOKUP($A48,Inputs!$A:$A,Inputs!K:K,,0)</f>
        <v>18912</v>
      </c>
      <c r="L48" s="70">
        <f>_xlfn.XLOOKUP($A48,Inputs!$A:$A,Inputs!L:L,,0)</f>
        <v>16714</v>
      </c>
      <c r="M48" s="70">
        <f>_xlfn.XLOOKUP($A48,Inputs!$A:$A,Inputs!M:M,,0)</f>
        <v>13241</v>
      </c>
    </row>
    <row r="49" spans="1:13">
      <c r="A49" s="146" t="s">
        <v>506</v>
      </c>
      <c r="B49" s="60">
        <f>_xlfn.XLOOKUP($A49,Inputs!$A:$A,Inputs!B:B,,0)</f>
        <v>0</v>
      </c>
      <c r="C49" s="60">
        <f>_xlfn.XLOOKUP($A49,Inputs!$A:$A,Inputs!C:C,,0)</f>
        <v>0</v>
      </c>
      <c r="D49" s="60">
        <f>_xlfn.XLOOKUP($A49,Inputs!$A:$A,Inputs!D:D,,0)</f>
        <v>0</v>
      </c>
      <c r="E49" s="60">
        <f>_xlfn.XLOOKUP($A49,Inputs!$A:$A,Inputs!E:E,,0)</f>
        <v>0</v>
      </c>
      <c r="F49" s="60">
        <f>_xlfn.XLOOKUP($A49,Inputs!$A:$A,Inputs!F:F,,0)</f>
        <v>0</v>
      </c>
      <c r="G49" s="60">
        <f>_xlfn.XLOOKUP($A49,Inputs!$A:$A,Inputs!G:G,,0)</f>
        <v>0</v>
      </c>
      <c r="H49" s="60">
        <f>_xlfn.XLOOKUP($A49,Inputs!$A:$A,Inputs!H:H,,0)</f>
        <v>0</v>
      </c>
      <c r="I49" s="60">
        <f>_xlfn.XLOOKUP($A49,Inputs!$A:$A,Inputs!I:I,,0)</f>
        <v>0</v>
      </c>
      <c r="J49" s="60">
        <f>_xlfn.XLOOKUP($A49,Inputs!$A:$A,Inputs!J:J,,0)</f>
        <v>0</v>
      </c>
      <c r="K49" s="60">
        <f>_xlfn.XLOOKUP($A49,Inputs!$A:$A,Inputs!K:K,,0)</f>
        <v>0</v>
      </c>
      <c r="L49" s="60">
        <f>_xlfn.XLOOKUP($A49,Inputs!$A:$A,Inputs!L:L,,0)</f>
        <v>0</v>
      </c>
      <c r="M49" s="60">
        <f>_xlfn.XLOOKUP($A49,Inputs!$A:$A,Inputs!M:M,,0)</f>
        <v>0</v>
      </c>
    </row>
    <row r="50" spans="1:13">
      <c r="A50" s="140" t="s">
        <v>507</v>
      </c>
      <c r="B50" s="60">
        <f>_xlfn.XLOOKUP($A50,Inputs!$A:$A,Inputs!B:B,,0)</f>
        <v>675</v>
      </c>
      <c r="C50" s="60">
        <f>_xlfn.XLOOKUP($A50,Inputs!$A:$A,Inputs!C:C,,0)</f>
        <v>766</v>
      </c>
      <c r="D50" s="60">
        <f>_xlfn.XLOOKUP($A50,Inputs!$A:$A,Inputs!D:D,,0)</f>
        <v>718</v>
      </c>
      <c r="E50" s="60">
        <f>_xlfn.XLOOKUP($A50,Inputs!$A:$A,Inputs!E:E,,0)</f>
        <v>715</v>
      </c>
      <c r="F50" s="60">
        <f>_xlfn.XLOOKUP($A50,Inputs!$A:$A,Inputs!F:F,,0)</f>
        <v>0</v>
      </c>
      <c r="G50" s="60">
        <f>_xlfn.XLOOKUP($A50,Inputs!$A:$A,Inputs!G:G,,0)</f>
        <v>0</v>
      </c>
      <c r="H50" s="60">
        <f>_xlfn.XLOOKUP($A50,Inputs!$A:$A,Inputs!H:H,,0)</f>
        <v>0</v>
      </c>
      <c r="I50" s="60">
        <f>_xlfn.XLOOKUP($A50,Inputs!$A:$A,Inputs!I:I,,0)</f>
        <v>0</v>
      </c>
      <c r="J50" s="60">
        <f>_xlfn.XLOOKUP($A50,Inputs!$A:$A,Inputs!J:J,,0)</f>
        <v>0</v>
      </c>
      <c r="K50" s="60">
        <f>_xlfn.XLOOKUP($A50,Inputs!$A:$A,Inputs!K:K,,0)</f>
        <v>0</v>
      </c>
      <c r="L50" s="60">
        <f>_xlfn.XLOOKUP($A50,Inputs!$A:$A,Inputs!L:L,,0)</f>
        <v>0</v>
      </c>
      <c r="M50" s="60">
        <f>_xlfn.XLOOKUP($A50,Inputs!$A:$A,Inputs!M:M,,0)</f>
        <v>0</v>
      </c>
    </row>
    <row r="51" spans="1:13">
      <c r="A51" s="141" t="s">
        <v>508</v>
      </c>
      <c r="B51" s="60">
        <f>_xlfn.XLOOKUP($A51,Inputs!$A:$A,Inputs!B:B,,0)</f>
        <v>14668</v>
      </c>
      <c r="C51" s="60">
        <f>_xlfn.XLOOKUP($A51,Inputs!$A:$A,Inputs!C:C,,0)</f>
        <v>16127</v>
      </c>
      <c r="D51" s="60">
        <f>_xlfn.XLOOKUP($A51,Inputs!$A:$A,Inputs!D:D,,0)</f>
        <v>16714</v>
      </c>
      <c r="E51" s="60">
        <f>_xlfn.XLOOKUP($A51,Inputs!$A:$A,Inputs!E:E,,0)</f>
        <v>18751</v>
      </c>
      <c r="F51" s="60">
        <f>_xlfn.XLOOKUP($A51,Inputs!$A:$A,Inputs!F:F,,0)</f>
        <v>19109</v>
      </c>
      <c r="G51" s="60">
        <f>_xlfn.XLOOKUP($A51,Inputs!$A:$A,Inputs!G:G,,0)</f>
        <v>15085</v>
      </c>
      <c r="H51" s="60">
        <f>_xlfn.XLOOKUP($A51,Inputs!$A:$A,Inputs!H:H,,0)</f>
        <v>14620</v>
      </c>
      <c r="I51" s="60">
        <f>_xlfn.XLOOKUP($A51,Inputs!$A:$A,Inputs!I:I,,0)</f>
        <v>11963</v>
      </c>
      <c r="J51" s="60">
        <f>_xlfn.XLOOKUP($A51,Inputs!$A:$A,Inputs!J:J,,0)</f>
        <v>11772</v>
      </c>
      <c r="K51" s="60">
        <f>_xlfn.XLOOKUP($A51,Inputs!$A:$A,Inputs!K:K,,0)</f>
        <v>13384</v>
      </c>
      <c r="L51" s="60">
        <f>_xlfn.XLOOKUP($A51,Inputs!$A:$A,Inputs!L:L,,0)</f>
        <v>10508</v>
      </c>
      <c r="M51" s="60">
        <f>_xlfn.XLOOKUP($A51,Inputs!$A:$A,Inputs!M:M,,0)</f>
        <v>7536</v>
      </c>
    </row>
    <row r="52" spans="1:13">
      <c r="A52" s="145" t="s">
        <v>509</v>
      </c>
      <c r="B52" s="70">
        <f>_xlfn.XLOOKUP($A52,Inputs!$A:$A,Inputs!B:B,,0)</f>
        <v>148445</v>
      </c>
      <c r="C52" s="70">
        <f>_xlfn.XLOOKUP($A52,Inputs!$A:$A,Inputs!C:C,,0)</f>
        <v>150465</v>
      </c>
      <c r="D52" s="70">
        <f>_xlfn.XLOOKUP($A52,Inputs!$A:$A,Inputs!D:D,,0)</f>
        <v>154750</v>
      </c>
      <c r="E52" s="70">
        <f>_xlfn.XLOOKUP($A52,Inputs!$A:$A,Inputs!E:E,,0)</f>
        <v>150396</v>
      </c>
      <c r="F52" s="70">
        <f>_xlfn.XLOOKUP($A52,Inputs!$A:$A,Inputs!F:F,,0)</f>
        <v>152468</v>
      </c>
      <c r="G52" s="70">
        <f>_xlfn.XLOOKUP($A52,Inputs!$A:$A,Inputs!G:G,,0)</f>
        <v>96853</v>
      </c>
      <c r="H52" s="70">
        <f>_xlfn.XLOOKUP($A52,Inputs!$A:$A,Inputs!H:H,,0)</f>
        <v>105022</v>
      </c>
      <c r="I52" s="70">
        <f>_xlfn.XLOOKUP($A52,Inputs!$A:$A,Inputs!I:I,,0)</f>
        <v>96127</v>
      </c>
      <c r="J52" s="70">
        <f>_xlfn.XLOOKUP($A52,Inputs!$A:$A,Inputs!J:J,,0)</f>
        <v>89065</v>
      </c>
      <c r="K52" s="70">
        <f>_xlfn.XLOOKUP($A52,Inputs!$A:$A,Inputs!K:K,,0)</f>
        <v>89207</v>
      </c>
      <c r="L52" s="70">
        <f>_xlfn.XLOOKUP($A52,Inputs!$A:$A,Inputs!L:L,,0)</f>
        <v>98901</v>
      </c>
      <c r="M52" s="70">
        <f>_xlfn.XLOOKUP($A52,Inputs!$A:$A,Inputs!M:M,,0)</f>
        <v>97303</v>
      </c>
    </row>
    <row r="53" spans="1:13">
      <c r="A53" s="146" t="s">
        <v>510</v>
      </c>
      <c r="B53" s="60">
        <f>_xlfn.XLOOKUP($A53,Inputs!$A:$A,Inputs!B:B,,0)</f>
        <v>98240</v>
      </c>
      <c r="C53" s="60">
        <f>_xlfn.XLOOKUP($A53,Inputs!$A:$A,Inputs!C:C,,0)</f>
        <v>97888</v>
      </c>
      <c r="D53" s="60">
        <f>_xlfn.XLOOKUP($A53,Inputs!$A:$A,Inputs!D:D,,0)</f>
        <v>105782</v>
      </c>
      <c r="E53" s="60">
        <f>_xlfn.XLOOKUP($A53,Inputs!$A:$A,Inputs!E:E,,0)</f>
        <v>102931</v>
      </c>
      <c r="F53" s="60">
        <f>_xlfn.XLOOKUP($A53,Inputs!$A:$A,Inputs!F:F,,0)</f>
        <v>107345</v>
      </c>
      <c r="G53" s="60">
        <f>_xlfn.XLOOKUP($A53,Inputs!$A:$A,Inputs!G:G,,0)</f>
        <v>59422</v>
      </c>
      <c r="H53" s="60">
        <f>_xlfn.XLOOKUP($A53,Inputs!$A:$A,Inputs!H:H,,0)</f>
        <v>55566</v>
      </c>
      <c r="I53" s="60">
        <f>_xlfn.XLOOKUP($A53,Inputs!$A:$A,Inputs!I:I,,0)</f>
        <v>48994</v>
      </c>
      <c r="J53" s="60">
        <f>_xlfn.XLOOKUP($A53,Inputs!$A:$A,Inputs!J:J,,0)</f>
        <v>43864</v>
      </c>
      <c r="K53" s="60">
        <f>_xlfn.XLOOKUP($A53,Inputs!$A:$A,Inputs!K:K,,0)</f>
        <v>44567</v>
      </c>
      <c r="L53" s="60">
        <f>_xlfn.XLOOKUP($A53,Inputs!$A:$A,Inputs!L:L,,0)</f>
        <v>38082</v>
      </c>
      <c r="M53" s="60">
        <f>_xlfn.XLOOKUP($A53,Inputs!$A:$A,Inputs!M:M,,0)</f>
        <v>37942</v>
      </c>
    </row>
    <row r="54" spans="1:13">
      <c r="A54" s="140" t="s">
        <v>511</v>
      </c>
      <c r="B54" s="60">
        <f>_xlfn.XLOOKUP($A54,Inputs!$A:$A,Inputs!B:B,,0)</f>
        <v>6107</v>
      </c>
      <c r="C54" s="60">
        <f>_xlfn.XLOOKUP($A54,Inputs!$A:$A,Inputs!C:C,,0)</f>
        <v>6473</v>
      </c>
      <c r="D54" s="60">
        <f>_xlfn.XLOOKUP($A54,Inputs!$A:$A,Inputs!D:D,,0)</f>
        <v>3740</v>
      </c>
      <c r="E54" s="60">
        <f>_xlfn.XLOOKUP($A54,Inputs!$A:$A,Inputs!E:E,,0)</f>
        <v>3891</v>
      </c>
      <c r="F54" s="60">
        <f>_xlfn.XLOOKUP($A54,Inputs!$A:$A,Inputs!F:F,,0)</f>
        <v>0</v>
      </c>
      <c r="G54" s="60">
        <f>_xlfn.XLOOKUP($A54,Inputs!$A:$A,Inputs!G:G,,0)</f>
        <v>0</v>
      </c>
      <c r="H54" s="60">
        <f>_xlfn.XLOOKUP($A54,Inputs!$A:$A,Inputs!H:H,,0)</f>
        <v>0</v>
      </c>
      <c r="I54" s="60">
        <f>_xlfn.XLOOKUP($A54,Inputs!$A:$A,Inputs!I:I,,0)</f>
        <v>0</v>
      </c>
      <c r="J54" s="60">
        <f>_xlfn.XLOOKUP($A54,Inputs!$A:$A,Inputs!J:J,,0)</f>
        <v>0</v>
      </c>
      <c r="K54" s="60">
        <f>_xlfn.XLOOKUP($A54,Inputs!$A:$A,Inputs!K:K,,0)</f>
        <v>0</v>
      </c>
      <c r="L54" s="60">
        <f>_xlfn.XLOOKUP($A54,Inputs!$A:$A,Inputs!L:L,,0)</f>
        <v>0</v>
      </c>
      <c r="M54" s="60">
        <f>_xlfn.XLOOKUP($A54,Inputs!$A:$A,Inputs!M:M,,0)</f>
        <v>0</v>
      </c>
    </row>
    <row r="55" spans="1:13">
      <c r="A55" s="141" t="s">
        <v>512</v>
      </c>
      <c r="B55" s="60">
        <f>_xlfn.XLOOKUP($A55,Inputs!$A:$A,Inputs!B:B,,0)</f>
        <v>44098</v>
      </c>
      <c r="C55" s="60">
        <f>_xlfn.XLOOKUP($A55,Inputs!$A:$A,Inputs!C:C,,0)</f>
        <v>46104</v>
      </c>
      <c r="D55" s="60">
        <f>_xlfn.XLOOKUP($A55,Inputs!$A:$A,Inputs!D:D,,0)</f>
        <v>45228</v>
      </c>
      <c r="E55" s="60">
        <f>_xlfn.XLOOKUP($A55,Inputs!$A:$A,Inputs!E:E,,0)</f>
        <v>43574</v>
      </c>
      <c r="F55" s="60">
        <f>_xlfn.XLOOKUP($A55,Inputs!$A:$A,Inputs!F:F,,0)</f>
        <v>45123</v>
      </c>
      <c r="G55" s="60">
        <f>_xlfn.XLOOKUP($A55,Inputs!$A:$A,Inputs!G:G,,0)</f>
        <v>37431</v>
      </c>
      <c r="H55" s="60">
        <f>_xlfn.XLOOKUP($A55,Inputs!$A:$A,Inputs!H:H,,0)</f>
        <v>49456</v>
      </c>
      <c r="I55" s="60">
        <f>_xlfn.XLOOKUP($A55,Inputs!$A:$A,Inputs!I:I,,0)</f>
        <v>47133</v>
      </c>
      <c r="J55" s="60">
        <f>_xlfn.XLOOKUP($A55,Inputs!$A:$A,Inputs!J:J,,0)</f>
        <v>45201</v>
      </c>
      <c r="K55" s="60">
        <f>_xlfn.XLOOKUP($A55,Inputs!$A:$A,Inputs!K:K,,0)</f>
        <v>44640</v>
      </c>
      <c r="L55" s="60">
        <f>_xlfn.XLOOKUP($A55,Inputs!$A:$A,Inputs!L:L,,0)</f>
        <v>60819</v>
      </c>
      <c r="M55" s="60">
        <f>_xlfn.XLOOKUP($A55,Inputs!$A:$A,Inputs!M:M,,0)</f>
        <v>59361</v>
      </c>
    </row>
    <row r="56" spans="1:13">
      <c r="A56" s="145" t="s">
        <v>49</v>
      </c>
      <c r="B56" s="70">
        <f>_xlfn.XLOOKUP($A56,Inputs!$A:$A,Inputs!B:B,,0)</f>
        <v>176332</v>
      </c>
      <c r="C56" s="70">
        <f>_xlfn.XLOOKUP($A56,Inputs!$A:$A,Inputs!C:C,,0)</f>
        <v>179813</v>
      </c>
      <c r="D56" s="70">
        <f>_xlfn.XLOOKUP($A56,Inputs!$A:$A,Inputs!D:D,,0)</f>
        <v>183546</v>
      </c>
      <c r="E56" s="70">
        <f>_xlfn.XLOOKUP($A56,Inputs!$A:$A,Inputs!E:E,,0)</f>
        <v>180688</v>
      </c>
      <c r="F56" s="70">
        <f>_xlfn.XLOOKUP($A56,Inputs!$A:$A,Inputs!F:F,,0)</f>
        <v>180071</v>
      </c>
      <c r="G56" s="70">
        <f>_xlfn.XLOOKUP($A56,Inputs!$A:$A,Inputs!G:G,,0)</f>
        <v>118846</v>
      </c>
      <c r="H56" s="70">
        <f>_xlfn.XLOOKUP($A56,Inputs!$A:$A,Inputs!H:H,,0)</f>
        <v>126557</v>
      </c>
      <c r="I56" s="70">
        <f>_xlfn.XLOOKUP($A56,Inputs!$A:$A,Inputs!I:I,,0)</f>
        <v>114305</v>
      </c>
      <c r="J56" s="70">
        <f>_xlfn.XLOOKUP($A56,Inputs!$A:$A,Inputs!J:J,,0)</f>
        <v>106475</v>
      </c>
      <c r="K56" s="70">
        <f>_xlfn.XLOOKUP($A56,Inputs!$A:$A,Inputs!K:K,,0)</f>
        <v>108119</v>
      </c>
      <c r="L56" s="70">
        <f>_xlfn.XLOOKUP($A56,Inputs!$A:$A,Inputs!L:L,,0)</f>
        <v>115615</v>
      </c>
      <c r="M56" s="70">
        <f>_xlfn.XLOOKUP($A56,Inputs!$A:$A,Inputs!M:M,,0)</f>
        <v>110544</v>
      </c>
    </row>
    <row r="57" spans="1:13">
      <c r="B57"/>
      <c r="C57"/>
      <c r="D57"/>
      <c r="E57"/>
      <c r="F57"/>
      <c r="G57"/>
      <c r="H57"/>
      <c r="I57"/>
      <c r="J57"/>
      <c r="K57"/>
      <c r="L57"/>
      <c r="M57"/>
    </row>
    <row r="58" spans="1:13">
      <c r="A58" s="145" t="s">
        <v>272</v>
      </c>
      <c r="B58" s="70">
        <f>B49+B53+B50+B54</f>
        <v>105022</v>
      </c>
      <c r="C58" s="70">
        <f t="shared" ref="C58:M58" si="74">C49+C53+C50+C54</f>
        <v>105127</v>
      </c>
      <c r="D58" s="70">
        <f t="shared" si="74"/>
        <v>110240</v>
      </c>
      <c r="E58" s="70">
        <f t="shared" si="74"/>
        <v>107537</v>
      </c>
      <c r="F58" s="70">
        <f t="shared" si="74"/>
        <v>107345</v>
      </c>
      <c r="G58" s="70">
        <f t="shared" si="74"/>
        <v>59422</v>
      </c>
      <c r="H58" s="70">
        <f t="shared" si="74"/>
        <v>55566</v>
      </c>
      <c r="I58" s="70">
        <f t="shared" si="74"/>
        <v>48994</v>
      </c>
      <c r="J58" s="70">
        <f t="shared" si="74"/>
        <v>43864</v>
      </c>
      <c r="K58" s="70">
        <f t="shared" si="74"/>
        <v>44567</v>
      </c>
      <c r="L58" s="70">
        <f t="shared" si="74"/>
        <v>38082</v>
      </c>
      <c r="M58" s="70">
        <f t="shared" si="74"/>
        <v>37942</v>
      </c>
    </row>
    <row r="59" spans="1:13">
      <c r="A59" s="146" t="s">
        <v>73</v>
      </c>
      <c r="B59" s="63">
        <f>IFERROR(B58/B44,"-")</f>
        <v>0.40820911476047034</v>
      </c>
      <c r="C59" s="63">
        <f t="shared" ref="C59:M59" si="75">IFERROR(C58/C44,"-")</f>
        <v>0.38102607781663977</v>
      </c>
      <c r="D59" s="63">
        <f t="shared" si="75"/>
        <v>0.40252821604489736</v>
      </c>
      <c r="E59" s="63">
        <f t="shared" si="75"/>
        <v>0.40824329762275352</v>
      </c>
      <c r="F59" s="63">
        <f t="shared" si="75"/>
        <v>0.42650704852116145</v>
      </c>
      <c r="G59" s="63">
        <f t="shared" si="75"/>
        <v>0.31698157493251966</v>
      </c>
      <c r="H59" s="63">
        <f t="shared" si="75"/>
        <v>0.30784487534626037</v>
      </c>
      <c r="I59" s="63">
        <f t="shared" si="75"/>
        <v>0.29412753490940963</v>
      </c>
      <c r="J59" s="63">
        <f t="shared" si="75"/>
        <v>0.27555187013933385</v>
      </c>
      <c r="K59" s="63">
        <f t="shared" si="75"/>
        <v>0.28062564147771279</v>
      </c>
      <c r="L59" s="63">
        <f t="shared" si="75"/>
        <v>0.23084057197931757</v>
      </c>
      <c r="M59" s="63">
        <f t="shared" si="75"/>
        <v>0.24041617559467235</v>
      </c>
    </row>
    <row r="60" spans="1:13">
      <c r="A60" s="145" t="s">
        <v>578</v>
      </c>
      <c r="B60" s="70">
        <f>B58-B39</f>
        <v>100273</v>
      </c>
      <c r="C60" s="70">
        <f t="shared" ref="C60:M60" si="76">C58-C39</f>
        <v>96416</v>
      </c>
      <c r="D60" s="70">
        <f t="shared" si="76"/>
        <v>98500</v>
      </c>
      <c r="E60" s="70">
        <f t="shared" si="76"/>
        <v>102037</v>
      </c>
      <c r="F60" s="70">
        <f t="shared" si="76"/>
        <v>103531</v>
      </c>
      <c r="G60" s="70">
        <f t="shared" si="76"/>
        <v>55994</v>
      </c>
      <c r="H60" s="70">
        <f t="shared" si="76"/>
        <v>52265</v>
      </c>
      <c r="I60" s="70">
        <f t="shared" si="76"/>
        <v>46699</v>
      </c>
      <c r="J60" s="70">
        <f t="shared" si="76"/>
        <v>39954</v>
      </c>
      <c r="K60" s="70">
        <f t="shared" si="76"/>
        <v>42849</v>
      </c>
      <c r="L60" s="70">
        <f t="shared" si="76"/>
        <v>27131</v>
      </c>
      <c r="M60" s="70">
        <f t="shared" si="76"/>
        <v>36322</v>
      </c>
    </row>
    <row r="61" spans="1:13">
      <c r="B61"/>
      <c r="C61"/>
      <c r="D61"/>
      <c r="E61"/>
      <c r="F61"/>
      <c r="G61"/>
      <c r="H61"/>
      <c r="I61"/>
      <c r="J61"/>
      <c r="K61"/>
      <c r="L61"/>
      <c r="M61"/>
    </row>
    <row r="62" spans="1:13" s="51" customFormat="1">
      <c r="A62" s="145" t="s">
        <v>514</v>
      </c>
      <c r="B62" s="70">
        <f>_xlfn.XLOOKUP($A62,Inputs!$A:$A,Inputs!B:B,,0)</f>
        <v>1095</v>
      </c>
      <c r="C62" s="70">
        <f>_xlfn.XLOOKUP($A62,Inputs!$A:$A,Inputs!C:C,,0)</f>
        <v>1917</v>
      </c>
      <c r="D62" s="70">
        <f>_xlfn.XLOOKUP($A62,Inputs!$A:$A,Inputs!D:D,,0)</f>
        <v>2695</v>
      </c>
      <c r="E62" s="70">
        <f>_xlfn.XLOOKUP($A62,Inputs!$A:$A,Inputs!E:E,,0)</f>
        <v>2520</v>
      </c>
      <c r="F62" s="70">
        <f>_xlfn.XLOOKUP($A62,Inputs!$A:$A,Inputs!F:F,,0)</f>
        <v>2205</v>
      </c>
      <c r="G62" s="70">
        <f>_xlfn.XLOOKUP($A62,Inputs!$A:$A,Inputs!G:G,,0)</f>
        <v>2200</v>
      </c>
      <c r="H62" s="70">
        <f>_xlfn.XLOOKUP($A62,Inputs!$A:$A,Inputs!H:H,,0)</f>
        <v>3677</v>
      </c>
      <c r="I62" s="70">
        <f>_xlfn.XLOOKUP($A62,Inputs!$A:$A,Inputs!I:I,,0)</f>
        <v>2930</v>
      </c>
      <c r="J62" s="70">
        <f>_xlfn.XLOOKUP($A62,Inputs!$A:$A,Inputs!J:J,,0)</f>
        <v>1423</v>
      </c>
      <c r="K62" s="70">
        <f>_xlfn.XLOOKUP($A62,Inputs!$A:$A,Inputs!K:K,,0)</f>
        <v>1321</v>
      </c>
      <c r="L62" s="70">
        <f>_xlfn.XLOOKUP($A62,Inputs!$A:$A,Inputs!L:L,,0)</f>
        <v>17438</v>
      </c>
      <c r="M62" s="70">
        <f>_xlfn.XLOOKUP($A62,Inputs!$A:$A,Inputs!M:M,,0)</f>
        <v>16395</v>
      </c>
    </row>
    <row r="63" spans="1:13">
      <c r="B63"/>
      <c r="C63"/>
      <c r="D63"/>
      <c r="E63"/>
      <c r="F63"/>
      <c r="G63"/>
      <c r="H63"/>
      <c r="I63"/>
      <c r="J63"/>
      <c r="K63"/>
      <c r="L63"/>
      <c r="M63"/>
    </row>
    <row r="64" spans="1:13">
      <c r="A64" s="145" t="s">
        <v>515</v>
      </c>
      <c r="B64" s="70">
        <f>_xlfn.XLOOKUP($A64,Inputs!$A:$A,Inputs!B:B,,0)</f>
        <v>79848</v>
      </c>
      <c r="C64" s="70">
        <f>_xlfn.XLOOKUP($A64,Inputs!$A:$A,Inputs!C:C,,0)</f>
        <v>94175</v>
      </c>
      <c r="D64" s="70">
        <f>_xlfn.XLOOKUP($A64,Inputs!$A:$A,Inputs!D:D,,0)</f>
        <v>87628</v>
      </c>
      <c r="E64" s="70">
        <f>_xlfn.XLOOKUP($A64,Inputs!$A:$A,Inputs!E:E,,0)</f>
        <v>80206</v>
      </c>
      <c r="F64" s="70">
        <f>_xlfn.XLOOKUP($A64,Inputs!$A:$A,Inputs!F:F,,0)</f>
        <v>69408</v>
      </c>
      <c r="G64" s="70">
        <f>_xlfn.XLOOKUP($A64,Inputs!$A:$A,Inputs!G:G,,0)</f>
        <v>66416</v>
      </c>
      <c r="H64" s="70">
        <f>_xlfn.XLOOKUP($A64,Inputs!$A:$A,Inputs!H:H,,0)</f>
        <v>50266</v>
      </c>
      <c r="I64" s="70">
        <f>_xlfn.XLOOKUP($A64,Inputs!$A:$A,Inputs!I:I,,0)</f>
        <v>49339</v>
      </c>
      <c r="J64" s="70">
        <f>_xlfn.XLOOKUP($A64,Inputs!$A:$A,Inputs!J:J,,0)</f>
        <v>51288</v>
      </c>
      <c r="K64" s="70">
        <f>_xlfn.XLOOKUP($A64,Inputs!$A:$A,Inputs!K:K,,0)</f>
        <v>49373</v>
      </c>
      <c r="L64" s="70">
        <f>_xlfn.XLOOKUP($A64,Inputs!$A:$A,Inputs!L:L,,0)</f>
        <v>31918</v>
      </c>
      <c r="M64" s="70">
        <f>_xlfn.XLOOKUP($A64,Inputs!$A:$A,Inputs!M:M,,0)</f>
        <v>30879</v>
      </c>
    </row>
    <row r="65" spans="1:235">
      <c r="K65" s="46"/>
      <c r="L65" s="46"/>
      <c r="M65" s="46"/>
    </row>
    <row r="66" spans="1:235" ht="20.25">
      <c r="A66" s="1003" t="s">
        <v>132</v>
      </c>
      <c r="B66" s="1003"/>
      <c r="C66" s="1003"/>
      <c r="D66" s="1003"/>
      <c r="E66" s="1003"/>
      <c r="F66" s="1003"/>
      <c r="G66" s="1003"/>
      <c r="H66" s="1003"/>
      <c r="I66" s="1003"/>
      <c r="J66" s="1003"/>
      <c r="K66" s="1003"/>
      <c r="L66" s="1003"/>
      <c r="M66" s="1003"/>
    </row>
    <row r="67" spans="1:235">
      <c r="A67" s="145" t="s">
        <v>133</v>
      </c>
      <c r="B67" s="70">
        <f>_xlfn.XLOOKUP($A67,Inputs!$A:$A,Inputs!B:B,,0)</f>
        <v>26413</v>
      </c>
      <c r="C67" s="70">
        <f>_xlfn.XLOOKUP($A67,Inputs!$A:$A,Inputs!C:C,,0)</f>
        <v>29146</v>
      </c>
      <c r="D67" s="70">
        <f>_xlfn.XLOOKUP($A67,Inputs!$A:$A,Inputs!D:D,,0)</f>
        <v>24737</v>
      </c>
      <c r="E67" s="70">
        <f>_xlfn.XLOOKUP($A67,Inputs!$A:$A,Inputs!E:E,,0)</f>
        <v>25697</v>
      </c>
      <c r="F67" s="70">
        <f>_xlfn.XLOOKUP($A67,Inputs!$A:$A,Inputs!F:F,,0)</f>
        <v>24297</v>
      </c>
      <c r="G67" s="70">
        <f>_xlfn.XLOOKUP($A67,Inputs!$A:$A,Inputs!G:G,,0)</f>
        <v>21261</v>
      </c>
      <c r="H67" s="70">
        <f>_xlfn.XLOOKUP($A67,Inputs!$A:$A,Inputs!H:H,,0)</f>
        <v>19691</v>
      </c>
      <c r="I67" s="70">
        <f>_xlfn.XLOOKUP($A67,Inputs!$A:$A,Inputs!I:I,,0)</f>
        <v>18778</v>
      </c>
      <c r="J67" s="70">
        <f>_xlfn.XLOOKUP($A67,Inputs!$A:$A,Inputs!J:J,,0)</f>
        <v>16945</v>
      </c>
      <c r="K67" s="70">
        <f>_xlfn.XLOOKUP($A67,Inputs!$A:$A,Inputs!K:K,,0)</f>
        <v>14160</v>
      </c>
      <c r="L67" s="70">
        <f>_xlfn.XLOOKUP($A67,Inputs!$A:$A,Inputs!L:L,,0)</f>
        <v>14854</v>
      </c>
      <c r="M67" s="70">
        <f>_xlfn.XLOOKUP($A67,Inputs!$A:$A,Inputs!M:M,,0)</f>
        <v>14345</v>
      </c>
    </row>
    <row r="68" spans="1:235">
      <c r="A68" s="145" t="s">
        <v>134</v>
      </c>
      <c r="B68" s="70">
        <f>_xlfn.XLOOKUP($A68,Inputs!$A:$A,Inputs!B:B,,0)</f>
        <v>-14140</v>
      </c>
      <c r="C68" s="70">
        <f>_xlfn.XLOOKUP($A68,Inputs!$A:$A,Inputs!C:C,,0)</f>
        <v>-13446</v>
      </c>
      <c r="D68" s="70">
        <f>_xlfn.XLOOKUP($A68,Inputs!$A:$A,Inputs!D:D,,0)</f>
        <v>-12047</v>
      </c>
      <c r="E68" s="70">
        <f>_xlfn.XLOOKUP($A68,Inputs!$A:$A,Inputs!E:E,,0)</f>
        <v>-14841</v>
      </c>
      <c r="F68" s="70">
        <f>_xlfn.XLOOKUP($A68,Inputs!$A:$A,Inputs!F:F,,0)</f>
        <v>-50854</v>
      </c>
      <c r="G68" s="70">
        <f>_xlfn.XLOOKUP($A68,Inputs!$A:$A,Inputs!G:G,,0)</f>
        <v>-13533</v>
      </c>
      <c r="H68" s="70">
        <f>_xlfn.XLOOKUP($A68,Inputs!$A:$A,Inputs!H:H,,0)</f>
        <v>-18265</v>
      </c>
      <c r="I68" s="70">
        <f>_xlfn.XLOOKUP($A68,Inputs!$A:$A,Inputs!I:I,,0)</f>
        <v>-11964</v>
      </c>
      <c r="J68" s="70">
        <f>_xlfn.XLOOKUP($A68,Inputs!$A:$A,Inputs!J:J,,0)</f>
        <v>-8733</v>
      </c>
      <c r="K68" s="70">
        <f>_xlfn.XLOOKUP($A68,Inputs!$A:$A,Inputs!K:K,,0)</f>
        <v>-9514</v>
      </c>
      <c r="L68" s="70">
        <f>_xlfn.XLOOKUP($A68,Inputs!$A:$A,Inputs!L:L,,0)</f>
        <v>-1486</v>
      </c>
      <c r="M68" s="70">
        <f>_xlfn.XLOOKUP($A68,Inputs!$A:$A,Inputs!M:M,,0)</f>
        <v>-12508</v>
      </c>
    </row>
    <row r="69" spans="1:235">
      <c r="A69" s="141" t="s">
        <v>135</v>
      </c>
      <c r="B69" s="60">
        <f>_xlfn.XLOOKUP($A69,Inputs!$A:$A,Inputs!B:B,,0)</f>
        <v>-10626</v>
      </c>
      <c r="C69" s="60">
        <f>_xlfn.XLOOKUP($A69,Inputs!$A:$A,Inputs!C:C,,0)</f>
        <v>-9174</v>
      </c>
      <c r="D69" s="60">
        <f>_xlfn.XLOOKUP($A69,Inputs!$A:$A,Inputs!D:D,,0)</f>
        <v>-9179</v>
      </c>
      <c r="E69" s="60">
        <f>_xlfn.XLOOKUP($A69,Inputs!$A:$A,Inputs!E:E,,0)</f>
        <v>-9953</v>
      </c>
      <c r="F69" s="60">
        <f>_xlfn.XLOOKUP($A69,Inputs!$A:$A,Inputs!F:F,,0)</f>
        <v>-9774</v>
      </c>
      <c r="G69" s="60">
        <f>_xlfn.XLOOKUP($A69,Inputs!$A:$A,Inputs!G:G,,0)</f>
        <v>-9550</v>
      </c>
      <c r="H69" s="60">
        <f>_xlfn.XLOOKUP($A69,Inputs!$A:$A,Inputs!H:H,,0)</f>
        <v>-9135</v>
      </c>
      <c r="I69" s="60">
        <f>_xlfn.XLOOKUP($A69,Inputs!$A:$A,Inputs!I:I,,0)</f>
        <v>-8499</v>
      </c>
      <c r="J69" s="60">
        <f>_xlfn.XLOOKUP($A69,Inputs!$A:$A,Inputs!J:J,,0)</f>
        <v>-7420</v>
      </c>
      <c r="K69" s="60">
        <f>_xlfn.XLOOKUP($A69,Inputs!$A:$A,Inputs!K:K,,0)</f>
        <v>-6596</v>
      </c>
      <c r="L69" s="60">
        <f>_xlfn.XLOOKUP($A69,Inputs!$A:$A,Inputs!L:L,,0)</f>
        <v>-5714</v>
      </c>
      <c r="M69" s="60">
        <f>_xlfn.XLOOKUP($A69,Inputs!$A:$A,Inputs!M:M,,0)</f>
        <v>-5307</v>
      </c>
    </row>
    <row r="70" spans="1:235">
      <c r="A70" s="141" t="s">
        <v>136</v>
      </c>
      <c r="B70" s="60">
        <f>_xlfn.XLOOKUP($A70,Inputs!$A:$A,Inputs!B:B,,0)</f>
        <v>-12</v>
      </c>
      <c r="C70" s="60">
        <f>_xlfn.XLOOKUP($A70,Inputs!$A:$A,Inputs!C:C,,0)</f>
        <v>-1374</v>
      </c>
      <c r="D70" s="60">
        <f>_xlfn.XLOOKUP($A70,Inputs!$A:$A,Inputs!D:D,,0)</f>
        <v>-233</v>
      </c>
      <c r="E70" s="60">
        <f>_xlfn.XLOOKUP($A70,Inputs!$A:$A,Inputs!E:E,,0)</f>
        <v>-370</v>
      </c>
      <c r="F70" s="60">
        <f>_xlfn.XLOOKUP($A70,Inputs!$A:$A,Inputs!F:F,,0)</f>
        <v>-38219</v>
      </c>
      <c r="G70" s="60">
        <f>_xlfn.XLOOKUP($A70,Inputs!$A:$A,Inputs!G:G,,0)</f>
        <v>-532</v>
      </c>
      <c r="H70" s="60">
        <f>_xlfn.XLOOKUP($A70,Inputs!$A:$A,Inputs!H:H,,0)</f>
        <v>-3929</v>
      </c>
      <c r="I70" s="60">
        <f>_xlfn.XLOOKUP($A70,Inputs!$A:$A,Inputs!I:I,,0)</f>
        <v>-1786</v>
      </c>
      <c r="J70" s="60">
        <f>_xlfn.XLOOKUP($A70,Inputs!$A:$A,Inputs!J:J,,0)</f>
        <v>-477</v>
      </c>
      <c r="K70" s="60">
        <f>_xlfn.XLOOKUP($A70,Inputs!$A:$A,Inputs!K:K,,0)</f>
        <v>-1904</v>
      </c>
      <c r="L70" s="60">
        <f>_xlfn.XLOOKUP($A70,Inputs!$A:$A,Inputs!L:L,,0)</f>
        <v>0</v>
      </c>
      <c r="M70" s="60">
        <f>_xlfn.XLOOKUP($A70,Inputs!$A:$A,Inputs!M:M,,0)</f>
        <v>0</v>
      </c>
      <c r="IA70" s="46"/>
    </row>
    <row r="71" spans="1:235">
      <c r="A71" s="145" t="s">
        <v>137</v>
      </c>
      <c r="B71" s="70">
        <f>_xlfn.XLOOKUP($A71,Inputs!$A:$A,Inputs!B:B,,0)</f>
        <v>-16184</v>
      </c>
      <c r="C71" s="70">
        <f>_xlfn.XLOOKUP($A71,Inputs!$A:$A,Inputs!C:C,,0)</f>
        <v>-18618</v>
      </c>
      <c r="D71" s="70">
        <f>_xlfn.XLOOKUP($A71,Inputs!$A:$A,Inputs!D:D,,0)</f>
        <v>-6513</v>
      </c>
      <c r="E71" s="70">
        <f>_xlfn.XLOOKUP($A71,Inputs!$A:$A,Inputs!E:E,,0)</f>
        <v>-9181</v>
      </c>
      <c r="F71" s="70">
        <f>_xlfn.XLOOKUP($A71,Inputs!$A:$A,Inputs!F:F,,0)</f>
        <v>27140</v>
      </c>
      <c r="G71" s="70">
        <f>_xlfn.XLOOKUP($A71,Inputs!$A:$A,Inputs!G:G,,0)</f>
        <v>-7572</v>
      </c>
      <c r="H71" s="70">
        <f>_xlfn.XLOOKUP($A71,Inputs!$A:$A,Inputs!H:H,,0)</f>
        <v>-434</v>
      </c>
      <c r="I71" s="70">
        <f>_xlfn.XLOOKUP($A71,Inputs!$A:$A,Inputs!I:I,,0)</f>
        <v>-8429</v>
      </c>
      <c r="J71" s="70">
        <f>_xlfn.XLOOKUP($A71,Inputs!$A:$A,Inputs!J:J,,0)</f>
        <v>-6020</v>
      </c>
      <c r="K71" s="70">
        <f>_xlfn.XLOOKUP($A71,Inputs!$A:$A,Inputs!K:K,,0)</f>
        <v>-13879</v>
      </c>
      <c r="L71" s="70">
        <f>_xlfn.XLOOKUP($A71,Inputs!$A:$A,Inputs!L:L,,0)</f>
        <v>-4037</v>
      </c>
      <c r="M71" s="70">
        <f>_xlfn.XLOOKUP($A71,Inputs!$A:$A,Inputs!M:M,,0)</f>
        <v>-6201</v>
      </c>
      <c r="IA71" s="46"/>
    </row>
    <row r="72" spans="1:235">
      <c r="A72" s="141" t="s">
        <v>138</v>
      </c>
      <c r="B72" s="60">
        <f>_xlfn.XLOOKUP($A72,Inputs!$A:$A,Inputs!B:B,,0)</f>
        <v>-4741</v>
      </c>
      <c r="C72" s="60">
        <f>_xlfn.XLOOKUP($A72,Inputs!$A:$A,Inputs!C:C,,0)</f>
        <v>-4532</v>
      </c>
      <c r="D72" s="60">
        <f>_xlfn.XLOOKUP($A72,Inputs!$A:$A,Inputs!D:D,,0)</f>
        <v>-4140</v>
      </c>
      <c r="E72" s="60">
        <f>_xlfn.XLOOKUP($A72,Inputs!$A:$A,Inputs!E:E,,0)</f>
        <v>-3735</v>
      </c>
      <c r="F72" s="60">
        <f>_xlfn.XLOOKUP($A72,Inputs!$A:$A,Inputs!F:F,,0)</f>
        <v>-3352</v>
      </c>
      <c r="G72" s="60">
        <f>_xlfn.XLOOKUP($A72,Inputs!$A:$A,Inputs!G:G,,0)</f>
        <v>-2883</v>
      </c>
      <c r="H72" s="60">
        <f>_xlfn.XLOOKUP($A72,Inputs!$A:$A,Inputs!H:H,,0)</f>
        <v>-2601</v>
      </c>
      <c r="I72" s="60">
        <f>_xlfn.XLOOKUP($A72,Inputs!$A:$A,Inputs!I:I,,0)</f>
        <v>-2437</v>
      </c>
      <c r="J72" s="60">
        <f>_xlfn.XLOOKUP($A72,Inputs!$A:$A,Inputs!J:J,,0)</f>
        <v>-2254</v>
      </c>
      <c r="K72" s="60">
        <f>_xlfn.XLOOKUP($A72,Inputs!$A:$A,Inputs!K:K,,0)</f>
        <v>-1964</v>
      </c>
      <c r="L72" s="60">
        <f>_xlfn.XLOOKUP($A72,Inputs!$A:$A,Inputs!L:L,,0)</f>
        <v>-1608</v>
      </c>
      <c r="M72" s="60">
        <f>_xlfn.XLOOKUP($A72,Inputs!$A:$A,Inputs!M:M,,0)</f>
        <v>-1187</v>
      </c>
      <c r="IA72" s="46"/>
    </row>
    <row r="73" spans="1:235">
      <c r="A73" s="141" t="s">
        <v>496</v>
      </c>
      <c r="B73" s="60">
        <f>_xlfn.XLOOKUP($A73,Inputs!$A:$A,Inputs!B:B,,0)</f>
        <v>-13328</v>
      </c>
      <c r="C73" s="60">
        <f>_xlfn.XLOOKUP($A73,Inputs!$A:$A,Inputs!C:C,,0)</f>
        <v>-4672</v>
      </c>
      <c r="D73" s="60">
        <f>_xlfn.XLOOKUP($A73,Inputs!$A:$A,Inputs!D:D,,0)</f>
        <v>-534</v>
      </c>
      <c r="E73" s="60">
        <f>_xlfn.XLOOKUP($A73,Inputs!$A:$A,Inputs!E:E,,0)</f>
        <v>-504</v>
      </c>
      <c r="F73" s="60">
        <f>_xlfn.XLOOKUP($A73,Inputs!$A:$A,Inputs!F:F,,0)</f>
        <v>-5320</v>
      </c>
      <c r="G73" s="60">
        <f>_xlfn.XLOOKUP($A73,Inputs!$A:$A,Inputs!G:G,,0)</f>
        <v>-5435</v>
      </c>
      <c r="H73" s="60">
        <f>_xlfn.XLOOKUP($A73,Inputs!$A:$A,Inputs!H:H,,0)</f>
        <v>-5352</v>
      </c>
      <c r="I73" s="60">
        <f>_xlfn.XLOOKUP($A73,Inputs!$A:$A,Inputs!I:I,,0)</f>
        <v>0</v>
      </c>
      <c r="J73" s="60">
        <f>_xlfn.XLOOKUP($A73,Inputs!$A:$A,Inputs!J:J,,0)</f>
        <v>0</v>
      </c>
      <c r="K73" s="60">
        <f>_xlfn.XLOOKUP($A73,Inputs!$A:$A,Inputs!K:K,,0)</f>
        <v>-2000</v>
      </c>
      <c r="L73" s="60">
        <f>_xlfn.XLOOKUP($A73,Inputs!$A:$A,Inputs!L:L,,0)</f>
        <v>-3000</v>
      </c>
      <c r="M73" s="60">
        <f>_xlfn.XLOOKUP($A73,Inputs!$A:$A,Inputs!M:M,,0)</f>
        <v>-2141</v>
      </c>
    </row>
    <row r="74" spans="1:235">
      <c r="A74" s="145" t="s">
        <v>141</v>
      </c>
      <c r="B74" s="70">
        <f>_xlfn.XLOOKUP($A74,Inputs!$A:$A,Inputs!B:B,,0)</f>
        <v>-86</v>
      </c>
      <c r="C74" s="70">
        <f>_xlfn.XLOOKUP($A74,Inputs!$A:$A,Inputs!C:C,,0)</f>
        <v>-71</v>
      </c>
      <c r="D74" s="70">
        <f>_xlfn.XLOOKUP($A74,Inputs!$A:$A,Inputs!D:D,,0)</f>
        <v>2</v>
      </c>
      <c r="E74" s="70">
        <f>_xlfn.XLOOKUP($A74,Inputs!$A:$A,Inputs!E:E,,0)</f>
        <v>5</v>
      </c>
      <c r="F74" s="70">
        <f>_xlfn.XLOOKUP($A74,Inputs!$A:$A,Inputs!F:F,,0)</f>
        <v>-245</v>
      </c>
      <c r="G74" s="70">
        <f>_xlfn.XLOOKUP($A74,Inputs!$A:$A,Inputs!G:G,,0)</f>
        <v>0</v>
      </c>
      <c r="H74" s="70">
        <f>_xlfn.XLOOKUP($A74,Inputs!$A:$A,Inputs!H:H,,0)</f>
        <v>0</v>
      </c>
      <c r="I74" s="70">
        <f>_xlfn.XLOOKUP($A74,Inputs!$A:$A,Inputs!I:I,,0)</f>
        <v>0</v>
      </c>
      <c r="J74" s="70">
        <f>_xlfn.XLOOKUP($A74,Inputs!$A:$A,Inputs!J:J,,0)</f>
        <v>0</v>
      </c>
      <c r="K74" s="70">
        <f>_xlfn.XLOOKUP($A74,Inputs!$A:$A,Inputs!K:K,,0)</f>
        <v>0</v>
      </c>
      <c r="L74" s="70">
        <f>_xlfn.XLOOKUP($A74,Inputs!$A:$A,Inputs!L:L,,0)</f>
        <v>0</v>
      </c>
      <c r="M74" s="70">
        <f>_xlfn.XLOOKUP($A74,Inputs!$A:$A,Inputs!M:M,,0)</f>
        <v>0</v>
      </c>
    </row>
    <row r="75" spans="1:235">
      <c r="A75" s="145" t="s">
        <v>579</v>
      </c>
      <c r="B75" s="70">
        <f>_xlfn.XLOOKUP($A75,Inputs!$A:$A,Inputs!B:B,,0)</f>
        <v>-3997</v>
      </c>
      <c r="C75" s="70">
        <f>_xlfn.XLOOKUP($A75,Inputs!$A:$A,Inputs!C:C,,0)</f>
        <v>-2989</v>
      </c>
      <c r="D75" s="70">
        <f>_xlfn.XLOOKUP($A75,Inputs!$A:$A,Inputs!D:D,,0)</f>
        <v>6179</v>
      </c>
      <c r="E75" s="70">
        <f>_xlfn.XLOOKUP($A75,Inputs!$A:$A,Inputs!E:E,,0)</f>
        <v>1680</v>
      </c>
      <c r="F75" s="70">
        <f>_xlfn.XLOOKUP($A75,Inputs!$A:$A,Inputs!F:F,,0)</f>
        <v>338</v>
      </c>
      <c r="G75" s="70">
        <f>_xlfn.XLOOKUP($A75,Inputs!$A:$A,Inputs!G:G,,0)</f>
        <v>156</v>
      </c>
      <c r="H75" s="70">
        <f>_xlfn.XLOOKUP($A75,Inputs!$A:$A,Inputs!H:H,,0)</f>
        <v>992</v>
      </c>
      <c r="I75" s="70">
        <f>_xlfn.XLOOKUP($A75,Inputs!$A:$A,Inputs!I:I,,0)</f>
        <v>-1615</v>
      </c>
      <c r="J75" s="70">
        <f>_xlfn.XLOOKUP($A75,Inputs!$A:$A,Inputs!J:J,,0)</f>
        <v>2192</v>
      </c>
      <c r="K75" s="70">
        <f>_xlfn.XLOOKUP($A75,Inputs!$A:$A,Inputs!K:K,,0)</f>
        <v>-9233</v>
      </c>
      <c r="L75" s="70">
        <f>_xlfn.XLOOKUP($A75,Inputs!$A:$A,Inputs!L:L,,0)</f>
        <v>9331</v>
      </c>
      <c r="M75" s="70">
        <f>_xlfn.XLOOKUP($A75,Inputs!$A:$A,Inputs!M:M,,0)</f>
        <v>-4364</v>
      </c>
    </row>
    <row r="76" spans="1:235">
      <c r="K76" s="46"/>
      <c r="L76" s="46"/>
      <c r="M76" s="46"/>
    </row>
    <row r="77" spans="1:235" ht="20.25">
      <c r="A77" s="1003" t="s">
        <v>516</v>
      </c>
      <c r="B77" s="1003"/>
      <c r="C77" s="1003"/>
      <c r="D77" s="1003"/>
      <c r="E77" s="1003"/>
      <c r="F77" s="1003"/>
      <c r="G77" s="1003"/>
      <c r="H77" s="1003"/>
      <c r="I77" s="1003"/>
      <c r="J77" s="1003"/>
      <c r="K77" s="1003"/>
      <c r="L77" s="1003"/>
      <c r="M77" s="1003"/>
    </row>
    <row r="78" spans="1:235">
      <c r="A78" s="140" t="s">
        <v>517</v>
      </c>
      <c r="B78" s="60" t="e">
        <f>_xlfn.XLOOKUP($A78,Inputs!$A:$A,Inputs!B:B,,0)</f>
        <v>#N/A</v>
      </c>
      <c r="C78" s="60" t="e">
        <f>_xlfn.XLOOKUP($A78,Inputs!$A:$A,Inputs!C:C,,0)</f>
        <v>#N/A</v>
      </c>
      <c r="D78" s="60" t="e">
        <f>_xlfn.XLOOKUP($A78,Inputs!$A:$A,Inputs!D:D,,0)</f>
        <v>#N/A</v>
      </c>
      <c r="E78" s="60" t="e">
        <f>_xlfn.XLOOKUP($A78,Inputs!$A:$A,Inputs!E:E,,0)</f>
        <v>#N/A</v>
      </c>
      <c r="F78" s="60" t="e">
        <f>_xlfn.XLOOKUP($A78,Inputs!$A:$A,Inputs!F:F,,0)</f>
        <v>#N/A</v>
      </c>
      <c r="G78" s="60" t="e">
        <f>_xlfn.XLOOKUP($A78,Inputs!$A:$A,Inputs!G:G,,0)</f>
        <v>#N/A</v>
      </c>
      <c r="H78" s="60" t="e">
        <f>_xlfn.XLOOKUP($A78,Inputs!$A:$A,Inputs!H:H,,0)</f>
        <v>#N/A</v>
      </c>
      <c r="I78" s="60" t="e">
        <f>_xlfn.XLOOKUP($A78,Inputs!$A:$A,Inputs!I:I,,0)</f>
        <v>#N/A</v>
      </c>
      <c r="J78" s="60" t="e">
        <f>_xlfn.XLOOKUP($A78,Inputs!$A:$A,Inputs!J:J,,0)</f>
        <v>#N/A</v>
      </c>
      <c r="K78" s="60" t="e">
        <f>_xlfn.XLOOKUP($A78,Inputs!$A:$A,Inputs!K:K,,0)</f>
        <v>#N/A</v>
      </c>
      <c r="L78" s="60" t="e">
        <f>_xlfn.XLOOKUP($A78,Inputs!$A:$A,Inputs!L:L,,0)</f>
        <v>#N/A</v>
      </c>
      <c r="M78" s="60" t="e">
        <f>_xlfn.XLOOKUP($A78,Inputs!$A:$A,Inputs!M:M,,0)</f>
        <v>#N/A</v>
      </c>
    </row>
    <row r="79" spans="1:235">
      <c r="A79" s="146" t="s">
        <v>518</v>
      </c>
      <c r="B79" s="60" t="e">
        <f>_xlfn.XLOOKUP($A79,Inputs!$A:$A,Inputs!B:B,,0)</f>
        <v>#N/A</v>
      </c>
      <c r="C79" s="60" t="e">
        <f>_xlfn.XLOOKUP($A79,Inputs!$A:$A,Inputs!C:C,,0)</f>
        <v>#N/A</v>
      </c>
      <c r="D79" s="60" t="e">
        <f>_xlfn.XLOOKUP($A79,Inputs!$A:$A,Inputs!D:D,,0)</f>
        <v>#N/A</v>
      </c>
      <c r="E79" s="60" t="e">
        <f>_xlfn.XLOOKUP($A79,Inputs!$A:$A,Inputs!E:E,,0)</f>
        <v>#N/A</v>
      </c>
      <c r="F79" s="60" t="e">
        <f>_xlfn.XLOOKUP($A79,Inputs!$A:$A,Inputs!F:F,,0)</f>
        <v>#N/A</v>
      </c>
      <c r="G79" s="60" t="e">
        <f>_xlfn.XLOOKUP($A79,Inputs!$A:$A,Inputs!G:G,,0)</f>
        <v>#N/A</v>
      </c>
      <c r="H79" s="60" t="e">
        <f>_xlfn.XLOOKUP($A79,Inputs!$A:$A,Inputs!H:H,,0)</f>
        <v>#N/A</v>
      </c>
      <c r="I79" s="60" t="e">
        <f>_xlfn.XLOOKUP($A79,Inputs!$A:$A,Inputs!I:I,,0)</f>
        <v>#N/A</v>
      </c>
      <c r="J79" s="60" t="e">
        <f>_xlfn.XLOOKUP($A79,Inputs!$A:$A,Inputs!J:J,,0)</f>
        <v>#N/A</v>
      </c>
      <c r="K79" s="60" t="e">
        <f>_xlfn.XLOOKUP($A79,Inputs!$A:$A,Inputs!K:K,,0)</f>
        <v>#N/A</v>
      </c>
      <c r="L79" s="60" t="e">
        <f>_xlfn.XLOOKUP($A79,Inputs!$A:$A,Inputs!L:L,,0)</f>
        <v>#N/A</v>
      </c>
      <c r="M79" s="60" t="e">
        <f>_xlfn.XLOOKUP($A79,Inputs!$A:$A,Inputs!M:M,,0)</f>
        <v>#N/A</v>
      </c>
    </row>
    <row r="80" spans="1:235">
      <c r="A80" s="140" t="s">
        <v>47</v>
      </c>
      <c r="B80" s="60">
        <f>_xlfn.XLOOKUP($A80,Inputs!$A:$A,Inputs!B:B,,0)</f>
        <v>0.99</v>
      </c>
      <c r="C80" s="60" t="str">
        <f>_xlfn.XLOOKUP($A80,Inputs!$A:$A,Inputs!C:C,,0)</f>
        <v>Yahoo finance</v>
      </c>
      <c r="D80" s="60">
        <f>_xlfn.XLOOKUP($A80,Inputs!$A:$A,Inputs!D:D,,0)</f>
        <v>0</v>
      </c>
      <c r="E80" s="60">
        <f>_xlfn.XLOOKUP($A80,Inputs!$A:$A,Inputs!E:E,,0)</f>
        <v>0</v>
      </c>
      <c r="F80" s="60">
        <f>_xlfn.XLOOKUP($A80,Inputs!$A:$A,Inputs!F:F,,0)</f>
        <v>0</v>
      </c>
      <c r="G80" s="60">
        <f>_xlfn.XLOOKUP($A80,Inputs!$A:$A,Inputs!G:G,,0)</f>
        <v>0</v>
      </c>
      <c r="H80" s="60">
        <f>_xlfn.XLOOKUP($A80,Inputs!$A:$A,Inputs!H:H,,0)</f>
        <v>0</v>
      </c>
      <c r="I80" s="60">
        <f>_xlfn.XLOOKUP($A80,Inputs!$A:$A,Inputs!I:I,,0)</f>
        <v>0</v>
      </c>
      <c r="J80" s="60">
        <f>_xlfn.XLOOKUP($A80,Inputs!$A:$A,Inputs!J:J,,0)</f>
        <v>0</v>
      </c>
      <c r="K80" s="60">
        <f>_xlfn.XLOOKUP($A80,Inputs!$A:$A,Inputs!K:K,,0)</f>
        <v>0</v>
      </c>
      <c r="L80" s="60">
        <f>_xlfn.XLOOKUP($A80,Inputs!$A:$A,Inputs!L:L,,0)</f>
        <v>0</v>
      </c>
      <c r="M80" s="60">
        <f>_xlfn.XLOOKUP($A80,Inputs!$A:$A,Inputs!M:M,,0)</f>
        <v>0</v>
      </c>
    </row>
    <row r="81" spans="1:13">
      <c r="A81" s="146" t="s">
        <v>52</v>
      </c>
      <c r="B81" s="60">
        <f>_xlfn.XLOOKUP($A81,Inputs!$A:$A,Inputs!B:B,,0)</f>
        <v>7.4000000000000003E-3</v>
      </c>
      <c r="C81" s="60" t="str">
        <f>_xlfn.XLOOKUP($A81,Inputs!$A:$A,Inputs!C:C,,0)</f>
        <v>Yahoo finance</v>
      </c>
      <c r="D81" s="60">
        <f>_xlfn.XLOOKUP($A81,Inputs!$A:$A,Inputs!D:D,,0)</f>
        <v>0</v>
      </c>
      <c r="E81" s="60">
        <f>_xlfn.XLOOKUP($A81,Inputs!$A:$A,Inputs!E:E,,0)</f>
        <v>0</v>
      </c>
      <c r="F81" s="60">
        <f>_xlfn.XLOOKUP($A81,Inputs!$A:$A,Inputs!F:F,,0)</f>
        <v>0</v>
      </c>
      <c r="G81" s="60">
        <f>_xlfn.XLOOKUP($A81,Inputs!$A:$A,Inputs!G:G,,0)</f>
        <v>0</v>
      </c>
      <c r="H81" s="60">
        <f>_xlfn.XLOOKUP($A81,Inputs!$A:$A,Inputs!H:H,,0)</f>
        <v>0</v>
      </c>
      <c r="I81" s="60">
        <f>_xlfn.XLOOKUP($A81,Inputs!$A:$A,Inputs!I:I,,0)</f>
        <v>0</v>
      </c>
      <c r="J81" s="60">
        <f>_xlfn.XLOOKUP($A81,Inputs!$A:$A,Inputs!J:J,,0)</f>
        <v>0</v>
      </c>
      <c r="K81" s="60">
        <f>_xlfn.XLOOKUP($A81,Inputs!$A:$A,Inputs!K:K,,0)</f>
        <v>0</v>
      </c>
      <c r="L81" s="60">
        <f>_xlfn.XLOOKUP($A81,Inputs!$A:$A,Inputs!L:L,,0)</f>
        <v>0</v>
      </c>
      <c r="M81" s="60">
        <f>_xlfn.XLOOKUP($A81,Inputs!$A:$A,Inputs!M:M,,0)</f>
        <v>0</v>
      </c>
    </row>
    <row r="82" spans="1:13">
      <c r="A82" s="140" t="s">
        <v>519</v>
      </c>
      <c r="B82" s="60" t="str">
        <f>_xlfn.XLOOKUP($A82,Inputs!$A:$A,Inputs!B:B,,0)</f>
        <v>A-</v>
      </c>
      <c r="C82" s="60" t="str">
        <f>_xlfn.XLOOKUP($A82,Inputs!$A:$A,Inputs!C:C,,0)</f>
        <v>10-K</v>
      </c>
      <c r="D82" s="60">
        <f>_xlfn.XLOOKUP($A82,Inputs!$A:$A,Inputs!D:D,,0)</f>
        <v>0</v>
      </c>
      <c r="E82" s="60">
        <f>_xlfn.XLOOKUP($A82,Inputs!$A:$A,Inputs!E:E,,0)</f>
        <v>0</v>
      </c>
      <c r="F82" s="60">
        <f>_xlfn.XLOOKUP($A82,Inputs!$A:$A,Inputs!F:F,,0)</f>
        <v>0</v>
      </c>
      <c r="G82" s="60">
        <f>_xlfn.XLOOKUP($A82,Inputs!$A:$A,Inputs!G:G,,0)</f>
        <v>0</v>
      </c>
      <c r="H82" s="60">
        <f>_xlfn.XLOOKUP($A82,Inputs!$A:$A,Inputs!H:H,,0)</f>
        <v>0</v>
      </c>
      <c r="I82" s="60">
        <f>_xlfn.XLOOKUP($A82,Inputs!$A:$A,Inputs!I:I,,0)</f>
        <v>0</v>
      </c>
      <c r="J82" s="60">
        <f>_xlfn.XLOOKUP($A82,Inputs!$A:$A,Inputs!J:J,,0)</f>
        <v>0</v>
      </c>
      <c r="K82" s="60">
        <f>_xlfn.XLOOKUP($A82,Inputs!$A:$A,Inputs!K:K,,0)</f>
        <v>0</v>
      </c>
      <c r="L82" s="60">
        <f>_xlfn.XLOOKUP($A82,Inputs!$A:$A,Inputs!L:L,,0)</f>
        <v>0</v>
      </c>
      <c r="M82" s="60">
        <f>_xlfn.XLOOKUP($A82,Inputs!$A:$A,Inputs!M:M,,0)</f>
        <v>0</v>
      </c>
    </row>
    <row r="83" spans="1:13">
      <c r="A83" s="140" t="s">
        <v>520</v>
      </c>
      <c r="B83" s="60" t="e">
        <f>_xlfn.XLOOKUP($A83,Inputs!$A:$A,Inputs!B:B,,0)</f>
        <v>#N/A</v>
      </c>
      <c r="C83" s="60" t="e">
        <f>_xlfn.XLOOKUP($A83,Inputs!$A:$A,Inputs!C:C,,0)</f>
        <v>#N/A</v>
      </c>
      <c r="D83" s="60" t="e">
        <f>_xlfn.XLOOKUP($A83,Inputs!$A:$A,Inputs!D:D,,0)</f>
        <v>#N/A</v>
      </c>
      <c r="E83" s="60" t="e">
        <f>_xlfn.XLOOKUP($A83,Inputs!$A:$A,Inputs!E:E,,0)</f>
        <v>#N/A</v>
      </c>
      <c r="F83" s="60" t="e">
        <f>_xlfn.XLOOKUP($A83,Inputs!$A:$A,Inputs!F:F,,0)</f>
        <v>#N/A</v>
      </c>
      <c r="G83" s="60" t="e">
        <f>_xlfn.XLOOKUP($A83,Inputs!$A:$A,Inputs!G:G,,0)</f>
        <v>#N/A</v>
      </c>
      <c r="H83" s="60" t="e">
        <f>_xlfn.XLOOKUP($A83,Inputs!$A:$A,Inputs!H:H,,0)</f>
        <v>#N/A</v>
      </c>
      <c r="I83" s="60" t="e">
        <f>_xlfn.XLOOKUP($A83,Inputs!$A:$A,Inputs!I:I,,0)</f>
        <v>#N/A</v>
      </c>
      <c r="J83" s="60" t="e">
        <f>_xlfn.XLOOKUP($A83,Inputs!$A:$A,Inputs!J:J,,0)</f>
        <v>#N/A</v>
      </c>
      <c r="K83" s="60" t="e">
        <f>_xlfn.XLOOKUP($A83,Inputs!$A:$A,Inputs!K:K,,0)</f>
        <v>#N/A</v>
      </c>
      <c r="L83" s="60" t="e">
        <f>_xlfn.XLOOKUP($A83,Inputs!$A:$A,Inputs!L:L,,0)</f>
        <v>#N/A</v>
      </c>
      <c r="M83" s="60" t="e">
        <f>_xlfn.XLOOKUP($A83,Inputs!$A:$A,Inputs!M:M,,0)</f>
        <v>#N/A</v>
      </c>
    </row>
    <row r="84" spans="1:13">
      <c r="A84" s="146" t="s">
        <v>521</v>
      </c>
      <c r="B84" s="60">
        <f>_xlfn.XLOOKUP($A84,Inputs!$A:$A,Inputs!B:B,,0)</f>
        <v>0</v>
      </c>
      <c r="C84" s="60" t="str">
        <f>_xlfn.XLOOKUP($A84,Inputs!$A:$A,Inputs!C:C,,0)</f>
        <v>Yahoo Finance</v>
      </c>
      <c r="D84" s="60">
        <f>_xlfn.XLOOKUP($A84,Inputs!$A:$A,Inputs!D:D,,0)</f>
        <v>0</v>
      </c>
      <c r="E84" s="60">
        <f>_xlfn.XLOOKUP($A84,Inputs!$A:$A,Inputs!E:E,,0)</f>
        <v>0</v>
      </c>
      <c r="F84" s="60">
        <f>_xlfn.XLOOKUP($A84,Inputs!$A:$A,Inputs!F:F,,0)</f>
        <v>0</v>
      </c>
      <c r="G84" s="60">
        <f>_xlfn.XLOOKUP($A84,Inputs!$A:$A,Inputs!G:G,,0)</f>
        <v>0</v>
      </c>
      <c r="H84" s="60">
        <f>_xlfn.XLOOKUP($A84,Inputs!$A:$A,Inputs!H:H,,0)</f>
        <v>0</v>
      </c>
      <c r="I84" s="60">
        <f>_xlfn.XLOOKUP($A84,Inputs!$A:$A,Inputs!I:I,,0)</f>
        <v>0</v>
      </c>
      <c r="J84" s="60">
        <f>_xlfn.XLOOKUP($A84,Inputs!$A:$A,Inputs!J:J,,0)</f>
        <v>0</v>
      </c>
      <c r="K84" s="60">
        <f>_xlfn.XLOOKUP($A84,Inputs!$A:$A,Inputs!K:K,,0)</f>
        <v>0</v>
      </c>
      <c r="L84" s="60">
        <f>_xlfn.XLOOKUP($A84,Inputs!$A:$A,Inputs!L:L,,0)</f>
        <v>0</v>
      </c>
      <c r="M84" s="60">
        <f>_xlfn.XLOOKUP($A84,Inputs!$A:$A,Inputs!M:M,,0)</f>
        <v>0</v>
      </c>
    </row>
    <row r="85" spans="1:13">
      <c r="B85" s="49"/>
      <c r="C85" s="49"/>
      <c r="D85" s="49"/>
      <c r="E85" s="49"/>
      <c r="F85" s="49"/>
      <c r="G85" s="49"/>
      <c r="H85" s="49"/>
      <c r="I85" s="49"/>
      <c r="J85" s="49"/>
      <c r="K85" s="49"/>
      <c r="L85" s="49"/>
      <c r="M85" s="49"/>
    </row>
    <row r="86" spans="1:13">
      <c r="B86" s="47">
        <v>2020</v>
      </c>
      <c r="C86" s="47">
        <v>2021</v>
      </c>
      <c r="D86" s="47">
        <v>2022</v>
      </c>
      <c r="G86" s="47"/>
      <c r="H86" s="49"/>
      <c r="I86" s="49"/>
      <c r="J86" s="49"/>
      <c r="K86" s="49"/>
      <c r="L86" s="49"/>
      <c r="M86" s="49"/>
    </row>
    <row r="87" spans="1:13">
      <c r="A87" s="140" t="s">
        <v>522</v>
      </c>
      <c r="B87" s="66">
        <v>0</v>
      </c>
      <c r="C87" s="66">
        <v>0</v>
      </c>
      <c r="D87" s="67">
        <v>0</v>
      </c>
      <c r="G87" s="49"/>
      <c r="H87" s="49"/>
      <c r="I87" s="49"/>
      <c r="J87" s="49"/>
      <c r="K87" s="49"/>
      <c r="L87" s="49"/>
      <c r="M87" s="49"/>
    </row>
    <row r="88" spans="1:13">
      <c r="A88" s="146" t="s">
        <v>75</v>
      </c>
      <c r="B88" s="66">
        <v>0</v>
      </c>
      <c r="C88" s="66">
        <v>0</v>
      </c>
      <c r="D88" s="67">
        <v>0</v>
      </c>
    </row>
    <row r="90" spans="1:13">
      <c r="A90" s="14" t="s">
        <v>523</v>
      </c>
      <c r="B90" s="47" t="s">
        <v>524</v>
      </c>
      <c r="C90" s="47" t="s">
        <v>525</v>
      </c>
      <c r="D90" s="47" t="s">
        <v>526</v>
      </c>
      <c r="E90" s="47" t="s">
        <v>527</v>
      </c>
      <c r="G90" s="47"/>
    </row>
    <row r="91" spans="1:13">
      <c r="B91" s="74" t="e">
        <f>VLOOKUP($A91,Inputs!$A$5:$M$98,MATCH(B$4,Inputs!$B$5:$M$5,0)+1,FALSE)</f>
        <v>#N/A</v>
      </c>
      <c r="C91" s="74" t="e">
        <f>VLOOKUP($A91,Inputs!$A$5:$M$98,MATCH(C$4,Inputs!$B$5:$M$5,0)+1,FALSE)</f>
        <v>#N/A</v>
      </c>
      <c r="D91" s="74" t="e">
        <f>VLOOKUP($A91,Inputs!$A$5:$M$98,MATCH(D$4,Inputs!$B$5:$M$5,0)+1,FALSE)</f>
        <v>#N/A</v>
      </c>
      <c r="E91" s="74" t="e">
        <f>VLOOKUP($A91,Inputs!$A$5:$M$98,MATCH(E$4,Inputs!$B$5:$M$5,0)+1,FALSE)</f>
        <v>#N/A</v>
      </c>
    </row>
    <row r="92" spans="1:13">
      <c r="B92" s="75"/>
      <c r="C92" s="75"/>
      <c r="D92" s="2"/>
      <c r="E92" s="75"/>
      <c r="F92" s="2"/>
    </row>
    <row r="93" spans="1:13">
      <c r="B93" s="75"/>
      <c r="C93" s="75"/>
      <c r="D93" s="2"/>
      <c r="E93" s="75"/>
      <c r="F93" s="2"/>
    </row>
    <row r="94" spans="1:13">
      <c r="B94" s="75"/>
      <c r="C94" s="75"/>
      <c r="D94" s="2"/>
      <c r="E94" s="75"/>
      <c r="F94" s="2"/>
    </row>
    <row r="95" spans="1:13">
      <c r="B95" s="75"/>
      <c r="C95" s="75"/>
      <c r="D95" s="2"/>
      <c r="E95" s="75"/>
      <c r="F95" s="2"/>
    </row>
    <row r="96" spans="1:13">
      <c r="B96" s="75"/>
      <c r="C96" s="75"/>
      <c r="D96" s="2"/>
      <c r="E96" s="75"/>
      <c r="F96" s="2"/>
    </row>
    <row r="97" spans="2:6">
      <c r="B97" s="75"/>
      <c r="C97" s="75"/>
      <c r="D97" s="2"/>
      <c r="E97" s="75"/>
      <c r="F97" s="2"/>
    </row>
    <row r="98" spans="2:6">
      <c r="B98" s="75"/>
      <c r="C98" s="75"/>
      <c r="D98" s="2"/>
      <c r="E98" s="75"/>
      <c r="F98" s="2"/>
    </row>
    <row r="99" spans="2:6">
      <c r="B99" s="75"/>
      <c r="C99" s="75"/>
      <c r="D99" s="2"/>
      <c r="E99" s="75"/>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85" zoomScaleNormal="85" workbookViewId="0">
      <selection activeCell="P16" sqref="P16"/>
    </sheetView>
  </sheetViews>
  <sheetFormatPr defaultColWidth="10.42578125" defaultRowHeight="14.25"/>
  <cols>
    <col min="1" max="1" width="40" style="23" bestFit="1" customWidth="1"/>
    <col min="2" max="2" width="16.42578125" style="23" bestFit="1" customWidth="1"/>
    <col min="3" max="5" width="13.42578125" style="23" customWidth="1"/>
    <col min="6" max="6" width="13.140625" style="23" customWidth="1"/>
    <col min="7" max="9" width="13.85546875" style="23" customWidth="1"/>
    <col min="10" max="10" width="14.140625" style="23" customWidth="1"/>
    <col min="11" max="11" width="15.140625" style="25" customWidth="1"/>
    <col min="12" max="12" width="17" style="25" customWidth="1"/>
    <col min="13" max="13" width="14.140625" style="23" customWidth="1"/>
    <col min="14" max="14" width="21.42578125" style="23" bestFit="1" customWidth="1"/>
    <col min="15" max="15" width="32.140625" style="23" customWidth="1"/>
    <col min="16" max="16" width="11.42578125" style="23" customWidth="1"/>
    <col min="17" max="23" width="0" style="23" hidden="1" customWidth="1"/>
    <col min="24" max="24" width="15.42578125" style="23" bestFit="1" customWidth="1"/>
    <col min="25" max="25" width="17.42578125" style="23" bestFit="1" customWidth="1"/>
    <col min="26" max="33" width="0" style="23" hidden="1" customWidth="1"/>
    <col min="34" max="16384" width="10.42578125" style="23"/>
  </cols>
  <sheetData>
    <row r="1" spans="1:33" ht="15">
      <c r="B1" s="54"/>
      <c r="C1" s="54"/>
      <c r="D1" s="54"/>
      <c r="E1" s="54"/>
      <c r="F1" s="54"/>
      <c r="G1" s="54"/>
      <c r="H1" s="54"/>
      <c r="I1" s="54"/>
      <c r="J1" s="54"/>
      <c r="K1" s="54"/>
      <c r="L1" s="54"/>
      <c r="M1" s="54"/>
      <c r="N1"/>
      <c r="O1"/>
    </row>
    <row r="2" spans="1:33">
      <c r="G2" s="1029" t="s">
        <v>580</v>
      </c>
      <c r="H2" s="1029"/>
      <c r="I2" s="1029"/>
      <c r="J2" s="1029"/>
      <c r="K2" s="26"/>
      <c r="L2" s="26"/>
      <c r="M2" s="26"/>
      <c r="N2" s="26"/>
      <c r="O2" s="26"/>
    </row>
    <row r="3" spans="1:33">
      <c r="G3" s="23" t="s">
        <v>581</v>
      </c>
      <c r="H3" s="23" t="e" vm="1">
        <v>#VALUE!</v>
      </c>
      <c r="M3"/>
      <c r="N3"/>
      <c r="O3"/>
    </row>
    <row r="4" spans="1:33">
      <c r="D4" s="1029" t="s">
        <v>582</v>
      </c>
      <c r="E4" s="1029"/>
      <c r="F4" s="1029"/>
      <c r="G4" s="1029"/>
      <c r="H4" s="1029"/>
      <c r="I4" s="1029"/>
      <c r="J4" s="1029"/>
      <c r="K4" s="1029"/>
      <c r="L4" s="1029"/>
      <c r="M4" s="1029"/>
      <c r="N4"/>
      <c r="O4"/>
    </row>
    <row r="5" spans="1:33" ht="15">
      <c r="A5" s="54" t="s">
        <v>583</v>
      </c>
      <c r="B5" s="471">
        <f>OP!J19</f>
        <v>2022</v>
      </c>
      <c r="C5" s="471">
        <f>B5-1</f>
        <v>2021</v>
      </c>
      <c r="D5" s="471">
        <f t="shared" ref="D5:M5" si="0">C5-1</f>
        <v>2020</v>
      </c>
      <c r="E5" s="471">
        <f t="shared" si="0"/>
        <v>2019</v>
      </c>
      <c r="F5" s="471">
        <f t="shared" si="0"/>
        <v>2018</v>
      </c>
      <c r="G5" s="471">
        <f t="shared" si="0"/>
        <v>2017</v>
      </c>
      <c r="H5" s="471">
        <f t="shared" si="0"/>
        <v>2016</v>
      </c>
      <c r="I5" s="471">
        <f t="shared" si="0"/>
        <v>2015</v>
      </c>
      <c r="J5" s="471">
        <f t="shared" si="0"/>
        <v>2014</v>
      </c>
      <c r="K5" s="471">
        <f t="shared" si="0"/>
        <v>2013</v>
      </c>
      <c r="L5" s="471">
        <f t="shared" si="0"/>
        <v>2012</v>
      </c>
      <c r="M5" s="471">
        <f t="shared" si="0"/>
        <v>2011</v>
      </c>
      <c r="N5"/>
      <c r="O5"/>
      <c r="Q5" s="10" t="s">
        <v>584</v>
      </c>
      <c r="R5" s="1030" t="s">
        <v>585</v>
      </c>
      <c r="S5" s="1030"/>
      <c r="T5" s="23" t="s">
        <v>586</v>
      </c>
      <c r="Z5" s="54">
        <v>2016</v>
      </c>
      <c r="AA5" s="54">
        <v>2015</v>
      </c>
      <c r="AB5" s="54">
        <v>2014</v>
      </c>
      <c r="AC5" s="54">
        <v>2013</v>
      </c>
      <c r="AD5" s="54">
        <v>2012</v>
      </c>
      <c r="AE5" s="54">
        <v>2011</v>
      </c>
      <c r="AF5" s="54">
        <v>2010</v>
      </c>
      <c r="AG5" s="54">
        <v>2009</v>
      </c>
    </row>
    <row r="6" spans="1:33">
      <c r="A6" s="27" t="s">
        <v>127</v>
      </c>
      <c r="B6" s="350">
        <v>121427</v>
      </c>
      <c r="C6" s="350">
        <v>116385</v>
      </c>
      <c r="D6" s="350">
        <v>103564</v>
      </c>
      <c r="E6" s="350">
        <v>108942</v>
      </c>
      <c r="F6" s="350">
        <v>94507</v>
      </c>
      <c r="G6" s="350">
        <v>85029</v>
      </c>
      <c r="H6" s="472">
        <v>80736</v>
      </c>
      <c r="I6" s="350">
        <v>74510</v>
      </c>
      <c r="J6" s="350">
        <v>68775</v>
      </c>
      <c r="K6" s="350">
        <v>64657</v>
      </c>
      <c r="L6" s="350">
        <v>62570</v>
      </c>
      <c r="M6" s="350">
        <v>55842</v>
      </c>
      <c r="N6" s="29" t="s">
        <v>587</v>
      </c>
      <c r="O6" t="s">
        <v>534</v>
      </c>
      <c r="P6"/>
      <c r="Q6" s="23" t="s">
        <v>588</v>
      </c>
      <c r="R6" s="23" t="s">
        <v>588</v>
      </c>
      <c r="X6" s="30"/>
      <c r="Y6" s="30"/>
      <c r="Z6" s="28">
        <v>38537</v>
      </c>
      <c r="AA6" s="28">
        <v>47011</v>
      </c>
      <c r="AB6" s="28">
        <v>55184</v>
      </c>
      <c r="AC6" s="28">
        <v>55656</v>
      </c>
      <c r="AD6" s="28">
        <v>65875</v>
      </c>
      <c r="AE6" s="28">
        <v>60138</v>
      </c>
      <c r="AF6" s="28">
        <v>42588</v>
      </c>
      <c r="AG6" s="28">
        <v>32396</v>
      </c>
    </row>
    <row r="7" spans="1:33">
      <c r="A7" s="27" t="s">
        <v>487</v>
      </c>
      <c r="B7" s="350">
        <v>36445</v>
      </c>
      <c r="C7" s="350">
        <v>34621</v>
      </c>
      <c r="D7" s="350">
        <v>30593</v>
      </c>
      <c r="E7" s="350">
        <v>34078</v>
      </c>
      <c r="F7" s="350">
        <v>29685</v>
      </c>
      <c r="G7" s="350">
        <v>27706</v>
      </c>
      <c r="H7" s="473">
        <v>26257</v>
      </c>
      <c r="I7" s="474">
        <v>24678</v>
      </c>
      <c r="J7" s="350">
        <v>22923</v>
      </c>
      <c r="K7" s="350">
        <v>21434</v>
      </c>
      <c r="L7" s="350">
        <v>19977</v>
      </c>
      <c r="M7" s="350">
        <v>24440</v>
      </c>
      <c r="N7" s="29" t="s">
        <v>587</v>
      </c>
      <c r="O7" t="str">
        <f>+A7</f>
        <v>Gross Profit</v>
      </c>
      <c r="P7"/>
      <c r="Q7" s="23" t="s">
        <v>588</v>
      </c>
      <c r="R7" s="23" t="s">
        <v>589</v>
      </c>
      <c r="Z7" s="32">
        <f>Z6-28044</f>
        <v>10493</v>
      </c>
      <c r="AA7" s="32">
        <f>AA6-33546</f>
        <v>13465</v>
      </c>
      <c r="AB7" s="32">
        <f>AB6-40718</f>
        <v>14466</v>
      </c>
      <c r="AC7" s="32">
        <f>AC6-40727</f>
        <v>14929</v>
      </c>
      <c r="AD7" s="33">
        <f>+AD6-47055</f>
        <v>18820</v>
      </c>
      <c r="AE7" s="33">
        <f>+AE6-43578</f>
        <v>16560</v>
      </c>
      <c r="AF7" s="33">
        <f>+AF6-30367</f>
        <v>12221</v>
      </c>
      <c r="AG7" s="33">
        <f>+AG6-23886</f>
        <v>8510</v>
      </c>
    </row>
    <row r="8" spans="1:33">
      <c r="A8" s="27" t="s">
        <v>261</v>
      </c>
      <c r="B8" s="350">
        <v>14041</v>
      </c>
      <c r="C8" s="350">
        <v>20817</v>
      </c>
      <c r="D8" s="350">
        <v>17493</v>
      </c>
      <c r="E8" s="350">
        <v>21125</v>
      </c>
      <c r="F8" s="350">
        <v>19009</v>
      </c>
      <c r="G8" s="350">
        <v>18018</v>
      </c>
      <c r="H8" s="473">
        <v>16831</v>
      </c>
      <c r="I8" s="474">
        <v>15998</v>
      </c>
      <c r="J8" s="474">
        <v>14904</v>
      </c>
      <c r="K8" s="474">
        <v>13563</v>
      </c>
      <c r="L8" s="474">
        <v>12179</v>
      </c>
      <c r="M8" s="474">
        <v>10721</v>
      </c>
      <c r="N8" s="29" t="s">
        <v>587</v>
      </c>
      <c r="O8" t="s">
        <v>261</v>
      </c>
      <c r="P8"/>
      <c r="Q8" s="23" t="s">
        <v>588</v>
      </c>
      <c r="R8" s="34" t="s">
        <v>590</v>
      </c>
      <c r="Z8" s="32">
        <f>Z7-4383</f>
        <v>6110</v>
      </c>
      <c r="AA8" s="32">
        <f>AA7-4951</f>
        <v>8514</v>
      </c>
      <c r="AB8" s="32">
        <f>AB7-6529</f>
        <v>7937</v>
      </c>
      <c r="AC8" s="32">
        <f>AC7-5547</f>
        <v>9382</v>
      </c>
      <c r="AD8" s="33">
        <f>AD7-5919-2466-797-580-485</f>
        <v>8573</v>
      </c>
      <c r="AE8" s="33">
        <f>+AE7-5203-2297-826-1081</f>
        <v>7153</v>
      </c>
      <c r="AF8" s="33">
        <f>+AF7-4248-1905-914-1191</f>
        <v>3963</v>
      </c>
      <c r="AG8" s="33">
        <f>+AG7-3645-1421-1045-1822</f>
        <v>577</v>
      </c>
    </row>
    <row r="9" spans="1:33">
      <c r="A9" s="27" t="s">
        <v>491</v>
      </c>
      <c r="B9" s="350">
        <v>-861</v>
      </c>
      <c r="C9" s="350">
        <v>2556</v>
      </c>
      <c r="D9" s="350">
        <v>1160</v>
      </c>
      <c r="E9" s="350">
        <v>438</v>
      </c>
      <c r="F9" s="350">
        <v>-225</v>
      </c>
      <c r="G9" s="350">
        <v>421</v>
      </c>
      <c r="H9" s="350">
        <v>437</v>
      </c>
      <c r="I9" s="350">
        <v>76</v>
      </c>
      <c r="J9" s="350">
        <v>178</v>
      </c>
      <c r="K9" s="350">
        <v>126</v>
      </c>
      <c r="L9" s="350">
        <v>1951</v>
      </c>
      <c r="M9" s="350">
        <v>-9</v>
      </c>
      <c r="N9" s="29" t="s">
        <v>587</v>
      </c>
      <c r="O9" t="s">
        <v>591</v>
      </c>
      <c r="P9"/>
      <c r="Q9" s="23" t="s">
        <v>588</v>
      </c>
      <c r="R9" s="23" t="s">
        <v>592</v>
      </c>
      <c r="S9" s="23" t="s">
        <v>593</v>
      </c>
      <c r="T9" s="23" t="s">
        <v>594</v>
      </c>
      <c r="U9" s="23" t="s">
        <v>595</v>
      </c>
      <c r="V9" s="23" t="s">
        <v>596</v>
      </c>
      <c r="Z9" s="32">
        <f>1853+596+595+1904+6+8</f>
        <v>4962</v>
      </c>
      <c r="AA9" s="32">
        <f>2119+587+2023+11</f>
        <v>4740</v>
      </c>
      <c r="AB9" s="32">
        <f>2380+624+1619-8+16</f>
        <v>4631</v>
      </c>
      <c r="AC9" s="32">
        <f>2046+727+981+6+14</f>
        <v>3774</v>
      </c>
      <c r="AD9" s="33">
        <f>-14+41</f>
        <v>27</v>
      </c>
      <c r="AE9" s="32">
        <v>53</v>
      </c>
      <c r="AF9" s="32">
        <f>58+24</f>
        <v>82</v>
      </c>
      <c r="AG9" s="32">
        <f>12-68</f>
        <v>-56</v>
      </c>
    </row>
    <row r="10" spans="1:33">
      <c r="A10" s="27" t="s">
        <v>262</v>
      </c>
      <c r="B10" s="350">
        <v>-3896</v>
      </c>
      <c r="C10" s="350">
        <v>-4281</v>
      </c>
      <c r="D10" s="350">
        <v>-4588</v>
      </c>
      <c r="E10" s="350">
        <v>-4567</v>
      </c>
      <c r="F10" s="350">
        <v>-3542</v>
      </c>
      <c r="G10" s="350">
        <v>-3086</v>
      </c>
      <c r="H10" s="473">
        <v>-2942</v>
      </c>
      <c r="I10" s="474">
        <v>-2702</v>
      </c>
      <c r="J10" s="350">
        <v>-2617</v>
      </c>
      <c r="K10" s="350">
        <v>-2574</v>
      </c>
      <c r="L10" s="350">
        <v>-2521</v>
      </c>
      <c r="M10" s="350">
        <v>-2505</v>
      </c>
      <c r="N10" s="29" t="s">
        <v>587</v>
      </c>
      <c r="O10" t="s">
        <v>597</v>
      </c>
      <c r="P10"/>
      <c r="Q10" s="23" t="s">
        <v>588</v>
      </c>
      <c r="R10" s="23" t="s">
        <v>598</v>
      </c>
      <c r="Z10" s="32">
        <f>505+518</f>
        <v>1023</v>
      </c>
      <c r="AA10" s="32">
        <f>507-161</f>
        <v>346</v>
      </c>
      <c r="AB10" s="32">
        <f>484-322</f>
        <v>162</v>
      </c>
      <c r="AC10" s="32">
        <f>465+35</f>
        <v>500</v>
      </c>
      <c r="AD10" s="33">
        <f>467-130</f>
        <v>337</v>
      </c>
      <c r="AE10" s="32">
        <f>396+32</f>
        <v>428</v>
      </c>
      <c r="AF10" s="32">
        <f>343-130</f>
        <v>213</v>
      </c>
      <c r="AG10" s="32">
        <f>389-381</f>
        <v>8</v>
      </c>
    </row>
    <row r="11" spans="1:33">
      <c r="A11" s="27" t="s">
        <v>263</v>
      </c>
      <c r="B11" s="350">
        <v>-4359</v>
      </c>
      <c r="C11" s="350">
        <v>-5259</v>
      </c>
      <c r="D11" s="350">
        <v>-3364</v>
      </c>
      <c r="E11" s="350">
        <v>-3673</v>
      </c>
      <c r="F11" s="350">
        <v>-3380</v>
      </c>
      <c r="G11" s="350">
        <v>7569</v>
      </c>
      <c r="H11" s="473">
        <v>-5298</v>
      </c>
      <c r="I11" s="474">
        <v>-4959</v>
      </c>
      <c r="J11" s="350">
        <v>-3873</v>
      </c>
      <c r="K11" s="350">
        <v>-3980</v>
      </c>
      <c r="L11" s="350">
        <v>-3744</v>
      </c>
      <c r="M11" s="350">
        <v>-3050</v>
      </c>
      <c r="N11" s="29" t="s">
        <v>587</v>
      </c>
      <c r="O11" t="s">
        <v>263</v>
      </c>
      <c r="P11"/>
      <c r="Q11" s="23" t="s">
        <v>588</v>
      </c>
      <c r="R11" s="23" t="s">
        <v>599</v>
      </c>
      <c r="Z11" s="28">
        <v>192</v>
      </c>
      <c r="AA11" s="28">
        <v>916</v>
      </c>
      <c r="AB11" s="28">
        <v>692</v>
      </c>
      <c r="AC11" s="28">
        <v>1319</v>
      </c>
      <c r="AD11" s="31">
        <f>2528</f>
        <v>2528</v>
      </c>
      <c r="AE11" s="28">
        <f>1720</f>
        <v>1720</v>
      </c>
      <c r="AF11" s="28">
        <f>968</f>
        <v>968</v>
      </c>
      <c r="AG11" s="28">
        <f>-270</f>
        <v>-270</v>
      </c>
    </row>
    <row r="12" spans="1:33">
      <c r="A12" s="27" t="s">
        <v>69</v>
      </c>
      <c r="B12" s="350">
        <v>4925</v>
      </c>
      <c r="C12" s="350">
        <v>13833</v>
      </c>
      <c r="D12" s="350">
        <v>10701</v>
      </c>
      <c r="E12" s="350">
        <v>13323</v>
      </c>
      <c r="F12" s="350">
        <v>11862</v>
      </c>
      <c r="G12" s="350">
        <v>22922</v>
      </c>
      <c r="H12" s="472">
        <v>9028</v>
      </c>
      <c r="I12" s="350">
        <v>8413</v>
      </c>
      <c r="J12" s="350">
        <v>8592</v>
      </c>
      <c r="K12" s="350">
        <v>7135</v>
      </c>
      <c r="L12" s="350">
        <v>7865</v>
      </c>
      <c r="M12" s="350">
        <v>5157</v>
      </c>
      <c r="N12" s="29" t="s">
        <v>587</v>
      </c>
      <c r="O12" t="s">
        <v>69</v>
      </c>
      <c r="P12"/>
      <c r="Q12" s="23" t="s">
        <v>600</v>
      </c>
      <c r="R12" s="23" t="s">
        <v>601</v>
      </c>
      <c r="Z12" s="28">
        <v>-67</v>
      </c>
      <c r="AA12" s="28">
        <v>2512</v>
      </c>
      <c r="AB12" s="28">
        <v>2452</v>
      </c>
      <c r="AC12" s="28">
        <v>3789</v>
      </c>
      <c r="AD12" s="28">
        <v>5681</v>
      </c>
      <c r="AE12" s="28">
        <f>4928+24</f>
        <v>4952</v>
      </c>
      <c r="AF12" s="28">
        <v>2700</v>
      </c>
      <c r="AG12" s="28">
        <v>895</v>
      </c>
    </row>
    <row r="13" spans="1:33">
      <c r="B13" s="475">
        <f t="shared" ref="B13:M13" si="1">SUM(B8:B11)</f>
        <v>4925</v>
      </c>
      <c r="C13" s="475">
        <f t="shared" si="1"/>
        <v>13833</v>
      </c>
      <c r="D13" s="475">
        <f t="shared" si="1"/>
        <v>10701</v>
      </c>
      <c r="E13" s="475">
        <f t="shared" si="1"/>
        <v>13323</v>
      </c>
      <c r="F13" s="475">
        <f t="shared" si="1"/>
        <v>11862</v>
      </c>
      <c r="G13" s="475">
        <f t="shared" si="1"/>
        <v>22922</v>
      </c>
      <c r="H13" s="475">
        <f t="shared" si="1"/>
        <v>9028</v>
      </c>
      <c r="I13" s="475">
        <f t="shared" si="1"/>
        <v>8413</v>
      </c>
      <c r="J13" s="475">
        <f t="shared" si="1"/>
        <v>8592</v>
      </c>
      <c r="K13" s="475">
        <f t="shared" si="1"/>
        <v>7135</v>
      </c>
      <c r="L13" s="475">
        <f t="shared" si="1"/>
        <v>7865</v>
      </c>
      <c r="M13" s="475">
        <f t="shared" si="1"/>
        <v>5157</v>
      </c>
      <c r="N13"/>
      <c r="O13"/>
      <c r="P13"/>
      <c r="Z13" s="25">
        <f t="shared" ref="Z13:AG13" si="2">Z8-Z10-Z9-Z11</f>
        <v>-67</v>
      </c>
      <c r="AA13" s="25">
        <f t="shared" si="2"/>
        <v>2512</v>
      </c>
      <c r="AB13" s="25">
        <f t="shared" si="2"/>
        <v>2452</v>
      </c>
      <c r="AC13" s="25">
        <f t="shared" si="2"/>
        <v>3789</v>
      </c>
      <c r="AD13" s="25">
        <f t="shared" si="2"/>
        <v>5681</v>
      </c>
      <c r="AE13" s="25">
        <f t="shared" si="2"/>
        <v>4952</v>
      </c>
      <c r="AF13" s="25">
        <f t="shared" si="2"/>
        <v>2700</v>
      </c>
      <c r="AG13" s="25">
        <f t="shared" si="2"/>
        <v>895</v>
      </c>
    </row>
    <row r="14" spans="1:33" ht="15">
      <c r="A14" s="54" t="s">
        <v>602</v>
      </c>
      <c r="B14" s="476">
        <f t="shared" ref="B14:M14" si="3">B12-B13</f>
        <v>0</v>
      </c>
      <c r="C14" s="476">
        <f t="shared" si="3"/>
        <v>0</v>
      </c>
      <c r="D14" s="476">
        <f t="shared" si="3"/>
        <v>0</v>
      </c>
      <c r="E14" s="476">
        <f t="shared" si="3"/>
        <v>0</v>
      </c>
      <c r="F14" s="476">
        <f t="shared" si="3"/>
        <v>0</v>
      </c>
      <c r="G14" s="476">
        <f t="shared" si="3"/>
        <v>0</v>
      </c>
      <c r="H14" s="476">
        <f t="shared" si="3"/>
        <v>0</v>
      </c>
      <c r="I14" s="476">
        <f t="shared" si="3"/>
        <v>0</v>
      </c>
      <c r="J14" s="476">
        <f t="shared" si="3"/>
        <v>0</v>
      </c>
      <c r="K14" s="476">
        <f t="shared" si="3"/>
        <v>0</v>
      </c>
      <c r="L14" s="476">
        <f t="shared" si="3"/>
        <v>0</v>
      </c>
      <c r="M14" s="476">
        <f t="shared" si="3"/>
        <v>0</v>
      </c>
      <c r="N14"/>
      <c r="O14"/>
      <c r="P14"/>
      <c r="Z14" s="36">
        <f t="shared" ref="Z14:AG14" si="4">Z12-Z13</f>
        <v>0</v>
      </c>
      <c r="AA14" s="36">
        <f t="shared" si="4"/>
        <v>0</v>
      </c>
      <c r="AB14" s="36">
        <f t="shared" si="4"/>
        <v>0</v>
      </c>
      <c r="AC14" s="36">
        <f t="shared" si="4"/>
        <v>0</v>
      </c>
      <c r="AD14" s="36">
        <f t="shared" si="4"/>
        <v>0</v>
      </c>
      <c r="AE14" s="36">
        <f t="shared" si="4"/>
        <v>0</v>
      </c>
      <c r="AF14" s="36">
        <f t="shared" si="4"/>
        <v>0</v>
      </c>
      <c r="AG14" s="36">
        <f t="shared" si="4"/>
        <v>0</v>
      </c>
    </row>
    <row r="15" spans="1:33">
      <c r="A15"/>
      <c r="B15" s="478"/>
      <c r="C15" s="478"/>
      <c r="D15" s="478"/>
      <c r="E15" s="478"/>
      <c r="F15" s="478"/>
      <c r="G15" s="478"/>
      <c r="H15" s="478"/>
      <c r="I15" s="478"/>
      <c r="J15" s="478"/>
      <c r="K15" s="478"/>
      <c r="L15" s="478"/>
      <c r="M15" s="478"/>
      <c r="N15"/>
      <c r="O15"/>
      <c r="P15"/>
      <c r="Z15" s="28"/>
      <c r="AA15" s="28"/>
      <c r="AB15" s="28"/>
      <c r="AC15" s="28"/>
      <c r="AD15" s="28"/>
      <c r="AE15" s="28"/>
      <c r="AF15" s="28"/>
      <c r="AG15" s="28"/>
    </row>
    <row r="16" spans="1:33">
      <c r="A16" s="27" t="s">
        <v>603</v>
      </c>
      <c r="B16" s="350">
        <v>4406</v>
      </c>
      <c r="C16" s="350">
        <v>4584</v>
      </c>
      <c r="D16" s="350">
        <v>4574</v>
      </c>
      <c r="E16" s="350">
        <v>4548</v>
      </c>
      <c r="F16" s="350">
        <v>4584</v>
      </c>
      <c r="G16" s="350">
        <v>4708</v>
      </c>
      <c r="H16" s="472">
        <v>4819</v>
      </c>
      <c r="I16" s="350">
        <v>4972</v>
      </c>
      <c r="J16" s="350">
        <v>5166</v>
      </c>
      <c r="K16" s="350">
        <v>5250</v>
      </c>
      <c r="L16" s="350">
        <v>5356</v>
      </c>
      <c r="M16" s="350">
        <v>5492</v>
      </c>
      <c r="N16" s="29"/>
      <c r="O16"/>
      <c r="P16"/>
      <c r="Z16" s="28"/>
      <c r="AA16" s="28"/>
      <c r="AB16" s="28"/>
      <c r="AC16" s="28"/>
      <c r="AD16" s="28"/>
      <c r="AE16" s="28"/>
      <c r="AF16" s="28"/>
      <c r="AG16" s="28"/>
    </row>
    <row r="17" spans="1:152">
      <c r="A17" s="27" t="s">
        <v>604</v>
      </c>
      <c r="B17" s="350">
        <v>4430</v>
      </c>
      <c r="C17" s="350">
        <v>4654</v>
      </c>
      <c r="D17" s="350">
        <v>4624</v>
      </c>
      <c r="E17" s="350">
        <v>4610</v>
      </c>
      <c r="F17" s="350">
        <v>4640</v>
      </c>
      <c r="G17" s="350">
        <v>4786</v>
      </c>
      <c r="H17" s="472">
        <v>4875</v>
      </c>
      <c r="I17" s="350">
        <v>5036</v>
      </c>
      <c r="J17" s="350">
        <v>5240</v>
      </c>
      <c r="K17" s="350">
        <v>5330</v>
      </c>
      <c r="L17" s="350">
        <v>5356</v>
      </c>
      <c r="M17" s="350">
        <v>5556</v>
      </c>
      <c r="N17" s="29"/>
      <c r="O17"/>
      <c r="P17"/>
      <c r="Z17" s="28"/>
      <c r="AA17" s="28"/>
      <c r="AB17" s="28"/>
      <c r="AC17" s="28"/>
      <c r="AD17" s="28"/>
      <c r="AE17" s="28"/>
      <c r="AF17" s="28"/>
      <c r="AG17" s="28"/>
    </row>
    <row r="18" spans="1:152" customFormat="1" ht="12.75">
      <c r="B18" s="478"/>
      <c r="C18" s="478"/>
      <c r="D18" s="478"/>
      <c r="E18" s="478"/>
      <c r="F18" s="478"/>
      <c r="G18" s="478"/>
      <c r="H18" s="478"/>
      <c r="I18" s="478"/>
      <c r="J18" s="478"/>
      <c r="K18" s="478"/>
      <c r="L18" s="478"/>
      <c r="M18" s="478"/>
    </row>
    <row r="19" spans="1:152">
      <c r="A19" s="27" t="s">
        <v>605</v>
      </c>
      <c r="B19" s="350">
        <v>-4242</v>
      </c>
      <c r="C19" s="350">
        <v>-664</v>
      </c>
      <c r="D19" s="350">
        <v>1213</v>
      </c>
      <c r="E19" s="350">
        <v>1375</v>
      </c>
      <c r="F19" s="350">
        <v>-916</v>
      </c>
      <c r="G19" s="350">
        <v>147</v>
      </c>
      <c r="H19" s="472">
        <v>102</v>
      </c>
      <c r="I19" s="350">
        <v>-89</v>
      </c>
      <c r="J19" s="350">
        <v>-38</v>
      </c>
      <c r="K19" s="350">
        <v>-29</v>
      </c>
      <c r="L19" s="350">
        <v>0</v>
      </c>
      <c r="M19" s="350">
        <v>-12</v>
      </c>
      <c r="N19" s="29"/>
      <c r="O19"/>
      <c r="P19"/>
      <c r="Z19" s="28"/>
      <c r="AA19" s="28"/>
      <c r="AB19" s="28"/>
      <c r="AC19" s="28"/>
      <c r="AD19" s="28"/>
      <c r="AE19" s="28"/>
      <c r="AF19" s="28"/>
      <c r="AG19" s="28"/>
    </row>
    <row r="20" spans="1:152" ht="15">
      <c r="A20" s="10" t="s">
        <v>606</v>
      </c>
      <c r="B20" s="350">
        <v>1280</v>
      </c>
      <c r="C20" s="350">
        <v>13755</v>
      </c>
      <c r="D20" s="350">
        <v>11371</v>
      </c>
      <c r="E20" s="350">
        <v>14472</v>
      </c>
      <c r="F20" s="350">
        <v>10908</v>
      </c>
      <c r="G20" s="350">
        <v>22822</v>
      </c>
      <c r="H20" s="472">
        <v>8950</v>
      </c>
      <c r="I20" s="350">
        <v>8135</v>
      </c>
      <c r="J20" s="350">
        <v>8178</v>
      </c>
      <c r="K20" s="350">
        <v>6883</v>
      </c>
      <c r="L20" s="350">
        <v>6370</v>
      </c>
      <c r="M20" s="350">
        <v>4107</v>
      </c>
      <c r="N20" s="29"/>
      <c r="O20"/>
      <c r="P20"/>
      <c r="Z20" s="28"/>
      <c r="AA20" s="28"/>
      <c r="AB20" s="28"/>
      <c r="AC20" s="28"/>
      <c r="AD20" s="28"/>
      <c r="AE20" s="28"/>
      <c r="AF20" s="28"/>
      <c r="AG20" s="28"/>
    </row>
    <row r="21" spans="1:152" customFormat="1" ht="12.75">
      <c r="B21" s="478"/>
      <c r="C21" s="478"/>
      <c r="D21" s="478"/>
      <c r="E21" s="478"/>
      <c r="F21" s="478"/>
      <c r="G21" s="478"/>
      <c r="H21" s="478"/>
      <c r="I21" s="478"/>
      <c r="J21" s="478"/>
      <c r="K21" s="478"/>
      <c r="L21" s="478"/>
      <c r="M21" s="478"/>
    </row>
    <row r="22" spans="1:152">
      <c r="A22" s="23" t="s">
        <v>493</v>
      </c>
      <c r="B22" s="475">
        <f>B23-C23</f>
        <v>2442</v>
      </c>
      <c r="C22" s="475">
        <f t="shared" ref="C22:J22" si="5">C23-D23</f>
        <v>543</v>
      </c>
      <c r="D22" s="475">
        <f>D23-E23</f>
        <v>-3395</v>
      </c>
      <c r="E22" s="475">
        <f t="shared" si="5"/>
        <v>-831</v>
      </c>
      <c r="F22" s="475">
        <f t="shared" si="5"/>
        <v>-491</v>
      </c>
      <c r="G22" s="475">
        <f t="shared" si="5"/>
        <v>-603</v>
      </c>
      <c r="H22" s="475">
        <f t="shared" si="5"/>
        <v>-305</v>
      </c>
      <c r="I22" s="475">
        <f>I23-J23</f>
        <v>-381</v>
      </c>
      <c r="J22" s="475">
        <f t="shared" si="5"/>
        <v>-1234</v>
      </c>
      <c r="K22" s="475">
        <f>K23-L23</f>
        <v>1119</v>
      </c>
      <c r="L22" s="475">
        <f>L23-M23</f>
        <v>-1386</v>
      </c>
      <c r="M22" s="475">
        <f>M23-N23</f>
        <v>-6288</v>
      </c>
      <c r="N22" s="35" t="s">
        <v>607</v>
      </c>
      <c r="O22" t="s">
        <v>608</v>
      </c>
      <c r="P22"/>
      <c r="Q22" s="23" t="s">
        <v>600</v>
      </c>
      <c r="Z22" s="28"/>
      <c r="AA22" s="28"/>
      <c r="AB22" s="28"/>
      <c r="AC22" s="28"/>
      <c r="AD22" s="31"/>
      <c r="AE22" s="28"/>
      <c r="AF22" s="28"/>
      <c r="AG22" s="28"/>
    </row>
    <row r="23" spans="1:152">
      <c r="A23" s="27" t="s">
        <v>609</v>
      </c>
      <c r="B23" s="350">
        <f t="shared" ref="B23:M23" si="6">B27-B42-B28</f>
        <v>-10810</v>
      </c>
      <c r="C23" s="350">
        <f t="shared" si="6"/>
        <v>-13252</v>
      </c>
      <c r="D23" s="350">
        <f t="shared" si="6"/>
        <v>-13795</v>
      </c>
      <c r="E23" s="350">
        <f t="shared" si="6"/>
        <v>-10400</v>
      </c>
      <c r="F23" s="350">
        <f t="shared" si="6"/>
        <v>-9569</v>
      </c>
      <c r="G23" s="350">
        <f t="shared" si="6"/>
        <v>-9078</v>
      </c>
      <c r="H23" s="350">
        <f t="shared" si="6"/>
        <v>-8475</v>
      </c>
      <c r="I23" s="350">
        <f t="shared" si="6"/>
        <v>-8170</v>
      </c>
      <c r="J23" s="350">
        <f t="shared" si="6"/>
        <v>-7789</v>
      </c>
      <c r="K23" s="350">
        <f t="shared" si="6"/>
        <v>-6555</v>
      </c>
      <c r="L23" s="350">
        <f t="shared" si="6"/>
        <v>-7674</v>
      </c>
      <c r="M23" s="350">
        <f t="shared" si="6"/>
        <v>-6288</v>
      </c>
      <c r="N23" s="35"/>
      <c r="O23"/>
      <c r="P23"/>
      <c r="Z23" s="28"/>
      <c r="AA23" s="28"/>
      <c r="AB23" s="28"/>
      <c r="AC23" s="28"/>
      <c r="AD23" s="31"/>
      <c r="AE23" s="28"/>
      <c r="AF23" s="28"/>
      <c r="AG23" s="28"/>
    </row>
    <row r="24" spans="1:152">
      <c r="A24" s="7">
        <v>2625</v>
      </c>
      <c r="B24" s="479">
        <v>2625</v>
      </c>
      <c r="C24" s="479">
        <v>2625</v>
      </c>
      <c r="D24" s="479">
        <v>2625</v>
      </c>
      <c r="E24" s="479">
        <v>2625</v>
      </c>
      <c r="F24" s="479">
        <v>2625</v>
      </c>
      <c r="G24" s="479">
        <v>2625</v>
      </c>
      <c r="H24" s="479">
        <v>2625</v>
      </c>
      <c r="I24" s="479">
        <v>2625</v>
      </c>
      <c r="J24" s="479">
        <v>2625</v>
      </c>
      <c r="K24" s="479">
        <v>2625</v>
      </c>
      <c r="L24" s="479">
        <v>2625</v>
      </c>
      <c r="M24" s="479">
        <v>2625</v>
      </c>
      <c r="N24" s="7">
        <v>2625</v>
      </c>
      <c r="O24"/>
      <c r="P24"/>
      <c r="Q24" s="23" t="s">
        <v>600</v>
      </c>
      <c r="R24" s="23" t="s">
        <v>610</v>
      </c>
      <c r="T24" s="23" t="s">
        <v>611</v>
      </c>
      <c r="Z24" s="28">
        <v>1799</v>
      </c>
      <c r="AA24" s="28">
        <v>1757</v>
      </c>
      <c r="AB24" s="28">
        <v>1620</v>
      </c>
      <c r="AC24" s="28">
        <v>1111</v>
      </c>
      <c r="AD24" s="28">
        <v>1617</v>
      </c>
      <c r="AE24" s="28">
        <v>1159</v>
      </c>
      <c r="AF24" s="28">
        <v>1084</v>
      </c>
      <c r="AG24" s="28">
        <v>1029</v>
      </c>
    </row>
    <row r="25" spans="1:152" ht="15">
      <c r="A25" s="54" t="s">
        <v>430</v>
      </c>
      <c r="B25" s="479">
        <v>2625</v>
      </c>
      <c r="C25" s="479">
        <v>2625</v>
      </c>
      <c r="D25" s="479">
        <v>2625</v>
      </c>
      <c r="E25" s="479">
        <v>2625</v>
      </c>
      <c r="F25" s="479">
        <v>2625</v>
      </c>
      <c r="G25" s="479">
        <v>2625</v>
      </c>
      <c r="H25" s="479">
        <v>2625</v>
      </c>
      <c r="I25" s="479">
        <v>2625</v>
      </c>
      <c r="J25" s="479">
        <v>2625</v>
      </c>
      <c r="K25" s="479">
        <v>2625</v>
      </c>
      <c r="L25" s="479">
        <v>2625</v>
      </c>
      <c r="M25" s="479">
        <v>2625</v>
      </c>
      <c r="N25" s="7">
        <v>2625</v>
      </c>
      <c r="O25"/>
      <c r="P25"/>
      <c r="Q25" s="23" t="s">
        <v>600</v>
      </c>
      <c r="R25" s="23" t="s">
        <v>612</v>
      </c>
      <c r="S25" s="23" t="s">
        <v>613</v>
      </c>
      <c r="T25" s="23" t="s">
        <v>614</v>
      </c>
      <c r="Z25" s="28">
        <v>23</v>
      </c>
      <c r="AA25" s="28">
        <f>-33+2025</f>
        <v>1992</v>
      </c>
      <c r="AB25" s="28">
        <v>3817</v>
      </c>
      <c r="AC25" s="28">
        <v>1776</v>
      </c>
      <c r="AD25" s="28">
        <v>-244</v>
      </c>
      <c r="AE25" s="28">
        <v>-312</v>
      </c>
      <c r="AF25" s="28">
        <v>-449</v>
      </c>
      <c r="AG25" s="28">
        <v>-110</v>
      </c>
    </row>
    <row r="26" spans="1:152" ht="15">
      <c r="A26" s="124" t="s">
        <v>615</v>
      </c>
      <c r="B26" s="580"/>
      <c r="C26" s="580"/>
      <c r="D26" s="580"/>
      <c r="E26" s="580"/>
      <c r="F26" s="580"/>
      <c r="G26" s="580"/>
      <c r="H26" s="580"/>
      <c r="I26" s="580"/>
      <c r="J26" s="580"/>
      <c r="K26" s="580"/>
      <c r="L26" s="580"/>
      <c r="M26" s="580"/>
      <c r="N26" s="7">
        <v>1922</v>
      </c>
      <c r="O26" s="7">
        <v>2625</v>
      </c>
      <c r="P26"/>
      <c r="Z26" s="28"/>
      <c r="AA26" s="28"/>
      <c r="AB26" s="28"/>
      <c r="AC26" s="28"/>
      <c r="AD26" s="28"/>
      <c r="AE26" s="28"/>
      <c r="AF26" s="28"/>
      <c r="AG26" s="28"/>
    </row>
    <row r="27" spans="1:152" ht="15">
      <c r="A27" s="10" t="s">
        <v>616</v>
      </c>
      <c r="B27" s="349">
        <v>21826</v>
      </c>
      <c r="C27" s="349">
        <v>24807</v>
      </c>
      <c r="D27" s="349">
        <v>26741</v>
      </c>
      <c r="E27" s="349">
        <v>25392</v>
      </c>
      <c r="F27" s="349">
        <v>21848</v>
      </c>
      <c r="G27" s="349">
        <v>16343</v>
      </c>
      <c r="H27" s="349">
        <v>16361</v>
      </c>
      <c r="I27" s="349">
        <v>12303</v>
      </c>
      <c r="J27" s="349">
        <v>13531</v>
      </c>
      <c r="K27" s="349">
        <v>14075</v>
      </c>
      <c r="L27" s="349">
        <v>19991</v>
      </c>
      <c r="M27" s="349">
        <v>8573</v>
      </c>
      <c r="N27" s="7"/>
      <c r="O27" s="7"/>
      <c r="P27"/>
      <c r="Z27" s="28"/>
      <c r="AA27" s="28"/>
      <c r="AB27" s="28"/>
      <c r="AC27" s="28"/>
      <c r="AD27" s="28"/>
      <c r="AE27" s="28"/>
      <c r="AF27" s="28"/>
      <c r="AG27" s="28"/>
    </row>
    <row r="28" spans="1:152" ht="15">
      <c r="A28" s="121" t="s">
        <v>265</v>
      </c>
      <c r="B28" s="350">
        <v>4749</v>
      </c>
      <c r="C28" s="350">
        <v>8711</v>
      </c>
      <c r="D28" s="350">
        <v>11740</v>
      </c>
      <c r="E28" s="350">
        <v>5500</v>
      </c>
      <c r="F28" s="350">
        <v>3814</v>
      </c>
      <c r="G28" s="350">
        <v>3428</v>
      </c>
      <c r="H28" s="350">
        <v>3301</v>
      </c>
      <c r="I28" s="350">
        <v>2295</v>
      </c>
      <c r="J28" s="350">
        <v>3910</v>
      </c>
      <c r="K28" s="350">
        <v>1718</v>
      </c>
      <c r="L28" s="350">
        <v>10951</v>
      </c>
      <c r="M28" s="350">
        <v>1620</v>
      </c>
      <c r="N28" s="38" t="s">
        <v>617</v>
      </c>
      <c r="O28" t="s">
        <v>265</v>
      </c>
      <c r="P28"/>
      <c r="Z28" s="37"/>
      <c r="AA28" s="37"/>
      <c r="AB28" s="37"/>
      <c r="AC28" s="37"/>
      <c r="AD28" s="37"/>
      <c r="AE28" s="36"/>
      <c r="AF28" s="36"/>
      <c r="AG28" s="36"/>
    </row>
    <row r="29" spans="1:152" ht="15">
      <c r="A29" s="122" t="s">
        <v>502</v>
      </c>
      <c r="B29" s="350">
        <v>12671</v>
      </c>
      <c r="C29" s="350">
        <v>12008</v>
      </c>
      <c r="D29" s="350">
        <v>11466</v>
      </c>
      <c r="E29" s="350">
        <v>11292</v>
      </c>
      <c r="F29" s="350">
        <v>11104</v>
      </c>
      <c r="G29" s="350">
        <v>8834</v>
      </c>
      <c r="H29" s="350">
        <v>8372</v>
      </c>
      <c r="I29" s="350">
        <v>7369</v>
      </c>
      <c r="J29" s="350">
        <v>6680</v>
      </c>
      <c r="K29" s="350">
        <v>6751</v>
      </c>
      <c r="L29" s="350">
        <v>5828</v>
      </c>
      <c r="M29" s="350">
        <v>4854</v>
      </c>
      <c r="N29" s="38" t="s">
        <v>617</v>
      </c>
      <c r="O29" t="s">
        <v>502</v>
      </c>
      <c r="P29"/>
      <c r="Z29" s="37"/>
      <c r="AA29" s="37"/>
      <c r="AB29" s="37"/>
      <c r="AC29" s="37"/>
      <c r="AD29" s="37"/>
      <c r="AE29" s="36"/>
      <c r="AF29" s="36"/>
      <c r="AG29" s="36"/>
    </row>
    <row r="30" spans="1:152">
      <c r="A30" s="121" t="s">
        <v>267</v>
      </c>
      <c r="B30" s="350">
        <v>0</v>
      </c>
      <c r="C30" s="350">
        <v>0</v>
      </c>
      <c r="D30" s="350">
        <v>0</v>
      </c>
      <c r="E30" s="350">
        <v>0</v>
      </c>
      <c r="F30" s="350">
        <v>0</v>
      </c>
      <c r="G30" s="350">
        <v>0</v>
      </c>
      <c r="H30" s="350">
        <v>0</v>
      </c>
      <c r="I30" s="350">
        <v>0</v>
      </c>
      <c r="J30" s="350">
        <v>0</v>
      </c>
      <c r="K30" s="350">
        <v>0</v>
      </c>
      <c r="L30" s="350">
        <v>0</v>
      </c>
      <c r="M30" s="350">
        <v>0</v>
      </c>
      <c r="N30" s="38" t="s">
        <v>617</v>
      </c>
      <c r="O30" t="s">
        <v>267</v>
      </c>
      <c r="P30"/>
      <c r="Q30" s="23" t="s">
        <v>618</v>
      </c>
      <c r="R30" s="23" t="s">
        <v>619</v>
      </c>
      <c r="Z30" s="28">
        <v>7168</v>
      </c>
      <c r="AA30" s="28">
        <v>6460</v>
      </c>
      <c r="AB30" s="28">
        <v>7341</v>
      </c>
      <c r="AC30" s="28">
        <v>6081</v>
      </c>
      <c r="AD30" s="28">
        <v>5490</v>
      </c>
      <c r="AE30" s="28">
        <v>3057</v>
      </c>
      <c r="AF30" s="28">
        <v>3592</v>
      </c>
      <c r="AG30" s="28">
        <v>4867</v>
      </c>
    </row>
    <row r="31" spans="1:152" s="24" customFormat="1">
      <c r="A31" s="121" t="s">
        <v>620</v>
      </c>
      <c r="B31" s="350">
        <f>B27-SUM(B28:B30)</f>
        <v>4406</v>
      </c>
      <c r="C31" s="350">
        <f t="shared" ref="C31:M31" si="7">C27-SUM(C28:C30)</f>
        <v>4088</v>
      </c>
      <c r="D31" s="350">
        <f t="shared" si="7"/>
        <v>3535</v>
      </c>
      <c r="E31" s="350">
        <f t="shared" si="7"/>
        <v>8600</v>
      </c>
      <c r="F31" s="350">
        <f t="shared" si="7"/>
        <v>6930</v>
      </c>
      <c r="G31" s="350">
        <f t="shared" si="7"/>
        <v>4081</v>
      </c>
      <c r="H31" s="350">
        <f t="shared" si="7"/>
        <v>4688</v>
      </c>
      <c r="I31" s="350">
        <f t="shared" si="7"/>
        <v>2639</v>
      </c>
      <c r="J31" s="350">
        <f t="shared" si="7"/>
        <v>2941</v>
      </c>
      <c r="K31" s="350">
        <f t="shared" si="7"/>
        <v>5606</v>
      </c>
      <c r="L31" s="350">
        <f t="shared" si="7"/>
        <v>3212</v>
      </c>
      <c r="M31" s="350">
        <f t="shared" si="7"/>
        <v>2099</v>
      </c>
      <c r="N31" s="38" t="s">
        <v>617</v>
      </c>
      <c r="O31" t="s">
        <v>267</v>
      </c>
      <c r="P31"/>
      <c r="Q31" s="23" t="s">
        <v>618</v>
      </c>
      <c r="R31" s="23" t="s">
        <v>621</v>
      </c>
      <c r="S31" s="23" t="s">
        <v>622</v>
      </c>
      <c r="T31" s="23" t="s">
        <v>623</v>
      </c>
      <c r="U31" s="23"/>
      <c r="V31" s="23"/>
      <c r="W31" s="23"/>
      <c r="X31" s="23"/>
      <c r="Y31" s="23"/>
      <c r="Z31" s="32">
        <f>5981+8522+1029+13556</f>
        <v>29088</v>
      </c>
      <c r="AA31" s="32">
        <f>6695+8991+1170+13651</f>
        <v>30507</v>
      </c>
      <c r="AB31" s="32">
        <f>7737+9027+1364+14644</f>
        <v>32772</v>
      </c>
      <c r="AC31" s="32">
        <v>33499</v>
      </c>
      <c r="AD31" s="32">
        <v>33911</v>
      </c>
      <c r="AE31" s="32">
        <v>31031</v>
      </c>
      <c r="AF31" s="32">
        <v>28849</v>
      </c>
      <c r="AG31" s="32">
        <v>27162</v>
      </c>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row>
    <row r="32" spans="1:152" s="24" customFormat="1" ht="15">
      <c r="A32" s="10" t="s">
        <v>624</v>
      </c>
      <c r="B32" s="349">
        <f>B38-B27</f>
        <v>235449</v>
      </c>
      <c r="C32" s="349">
        <f>C38-C27</f>
        <v>251098</v>
      </c>
      <c r="D32" s="349">
        <f t="shared" ref="D32:M32" si="8">D38-D27</f>
        <v>247128</v>
      </c>
      <c r="E32" s="349">
        <f t="shared" si="8"/>
        <v>238022</v>
      </c>
      <c r="F32" s="349">
        <f t="shared" si="8"/>
        <v>229836</v>
      </c>
      <c r="G32" s="349">
        <f t="shared" si="8"/>
        <v>171119</v>
      </c>
      <c r="H32" s="349">
        <f t="shared" si="8"/>
        <v>164139</v>
      </c>
      <c r="I32" s="349">
        <f t="shared" si="8"/>
        <v>154271</v>
      </c>
      <c r="J32" s="349">
        <f t="shared" si="8"/>
        <v>145655</v>
      </c>
      <c r="K32" s="349">
        <f t="shared" si="8"/>
        <v>144738</v>
      </c>
      <c r="L32" s="349">
        <f t="shared" si="8"/>
        <v>144980</v>
      </c>
      <c r="M32" s="349">
        <f t="shared" si="8"/>
        <v>149245</v>
      </c>
      <c r="N32" s="38"/>
      <c r="O32"/>
      <c r="P32"/>
      <c r="Q32" s="23"/>
      <c r="R32" s="23"/>
      <c r="S32" s="23"/>
      <c r="T32" s="23"/>
      <c r="U32" s="23"/>
      <c r="V32" s="23"/>
      <c r="W32" s="23"/>
      <c r="X32" s="23"/>
      <c r="Y32" s="23"/>
      <c r="Z32" s="32"/>
      <c r="AA32" s="32"/>
      <c r="AB32" s="32"/>
      <c r="AC32" s="32"/>
      <c r="AD32" s="32"/>
      <c r="AE32" s="32"/>
      <c r="AF32" s="32"/>
      <c r="AG32" s="3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row>
    <row r="33" spans="1:33">
      <c r="A33" s="123" t="s">
        <v>503</v>
      </c>
      <c r="B33" s="350">
        <v>55485</v>
      </c>
      <c r="C33" s="350">
        <v>54047</v>
      </c>
      <c r="D33" s="350">
        <v>51995</v>
      </c>
      <c r="E33" s="350">
        <v>48322</v>
      </c>
      <c r="F33" s="350">
        <v>44437</v>
      </c>
      <c r="G33" s="350">
        <v>38470</v>
      </c>
      <c r="H33" s="350">
        <v>36253</v>
      </c>
      <c r="I33" s="350">
        <v>33665</v>
      </c>
      <c r="J33" s="350">
        <v>30953</v>
      </c>
      <c r="K33" s="350">
        <v>29840</v>
      </c>
      <c r="L33" s="350">
        <v>27232</v>
      </c>
      <c r="M33" s="350">
        <v>27559</v>
      </c>
      <c r="N33" s="38"/>
      <c r="O33"/>
      <c r="P33"/>
      <c r="Q33" s="23" t="s">
        <v>618</v>
      </c>
      <c r="R33" s="23" t="s">
        <v>625</v>
      </c>
      <c r="Z33" s="28">
        <v>8614</v>
      </c>
      <c r="AA33" s="28">
        <v>9700</v>
      </c>
      <c r="AB33" s="28">
        <v>12205</v>
      </c>
      <c r="AC33" s="28">
        <v>12625</v>
      </c>
      <c r="AD33" s="28">
        <v>15547</v>
      </c>
      <c r="AE33" s="28">
        <v>14544</v>
      </c>
      <c r="AF33" s="28">
        <v>9587</v>
      </c>
      <c r="AG33" s="28">
        <v>6360</v>
      </c>
    </row>
    <row r="34" spans="1:33">
      <c r="A34" s="123" t="s">
        <v>626</v>
      </c>
      <c r="B34" s="350">
        <v>5997</v>
      </c>
      <c r="C34" s="350">
        <v>6467</v>
      </c>
      <c r="D34" s="350">
        <v>3784</v>
      </c>
      <c r="E34" s="350">
        <v>4038</v>
      </c>
      <c r="F34" s="350">
        <v>0</v>
      </c>
      <c r="G34" s="350">
        <v>0</v>
      </c>
      <c r="H34" s="350">
        <v>0</v>
      </c>
      <c r="I34" s="350">
        <v>0</v>
      </c>
      <c r="J34" s="350">
        <v>0</v>
      </c>
      <c r="K34" s="350">
        <v>0</v>
      </c>
      <c r="L34" s="350">
        <v>0</v>
      </c>
      <c r="M34" s="350">
        <v>0</v>
      </c>
      <c r="N34" s="38"/>
      <c r="O34"/>
      <c r="P34"/>
      <c r="Z34" s="28"/>
      <c r="AA34" s="28"/>
      <c r="AB34" s="28"/>
      <c r="AC34" s="28"/>
      <c r="AD34" s="28"/>
      <c r="AE34" s="28"/>
      <c r="AF34" s="28"/>
      <c r="AG34" s="28"/>
    </row>
    <row r="35" spans="1:33">
      <c r="A35" s="123" t="s">
        <v>627</v>
      </c>
      <c r="B35" s="350">
        <v>5421</v>
      </c>
      <c r="C35" s="350">
        <v>6111</v>
      </c>
      <c r="D35" s="350">
        <v>6006</v>
      </c>
      <c r="E35" s="350">
        <v>5347</v>
      </c>
      <c r="F35" s="350">
        <v>4035</v>
      </c>
      <c r="G35" s="350">
        <v>3546</v>
      </c>
      <c r="H35" s="350">
        <v>2376</v>
      </c>
      <c r="I35" s="350">
        <v>678</v>
      </c>
      <c r="J35" s="350">
        <v>1019</v>
      </c>
      <c r="K35" s="350">
        <v>989</v>
      </c>
      <c r="L35" s="350">
        <v>1164</v>
      </c>
      <c r="M35" s="350">
        <v>4880</v>
      </c>
      <c r="N35" s="38"/>
      <c r="O35"/>
      <c r="P35"/>
      <c r="Z35" s="28"/>
      <c r="AA35" s="28"/>
      <c r="AB35" s="28"/>
      <c r="AC35" s="28"/>
      <c r="AD35" s="28"/>
      <c r="AE35" s="28"/>
      <c r="AF35" s="28"/>
      <c r="AG35" s="28"/>
    </row>
    <row r="36" spans="1:33">
      <c r="A36" s="123" t="s">
        <v>628</v>
      </c>
      <c r="B36" s="350">
        <f>B32-SUM(B33:B35)</f>
        <v>168546</v>
      </c>
      <c r="C36" s="350">
        <f t="shared" ref="C36" si="9">C32-SUM(C33:C35)</f>
        <v>184473</v>
      </c>
      <c r="D36" s="350">
        <f t="shared" ref="D36" si="10">D32-SUM(D33:D35)</f>
        <v>185343</v>
      </c>
      <c r="E36" s="350">
        <f>E32-SUM(E33:E35)</f>
        <v>180315</v>
      </c>
      <c r="F36" s="350">
        <f t="shared" ref="F36" si="11">F32-SUM(F33:F35)</f>
        <v>181364</v>
      </c>
      <c r="G36" s="350">
        <f t="shared" ref="G36" si="12">G32-SUM(G33:G35)</f>
        <v>129103</v>
      </c>
      <c r="H36" s="350">
        <f t="shared" ref="H36" si="13">H32-SUM(H33:H35)</f>
        <v>125510</v>
      </c>
      <c r="I36" s="350">
        <f t="shared" ref="I36" si="14">I32-SUM(I33:I35)</f>
        <v>119928</v>
      </c>
      <c r="J36" s="350">
        <f t="shared" ref="J36" si="15">J32-SUM(J33:J35)</f>
        <v>113683</v>
      </c>
      <c r="K36" s="350">
        <f t="shared" ref="K36" si="16">K32-SUM(K33:K35)</f>
        <v>113909</v>
      </c>
      <c r="L36" s="350">
        <f t="shared" ref="L36" si="17">L32-SUM(L33:L35)</f>
        <v>116584</v>
      </c>
      <c r="M36" s="350">
        <f t="shared" ref="M36" si="18">M32-SUM(M33:M35)</f>
        <v>116806</v>
      </c>
      <c r="N36" s="38" t="s">
        <v>617</v>
      </c>
      <c r="O36" t="s">
        <v>503</v>
      </c>
      <c r="P36"/>
      <c r="Z36" s="28"/>
      <c r="AA36" s="28"/>
      <c r="AB36" s="28"/>
      <c r="AC36" s="28"/>
      <c r="AD36" s="28"/>
      <c r="AE36" s="28"/>
      <c r="AF36" s="28"/>
      <c r="AG36" s="28"/>
    </row>
    <row r="37" spans="1:33">
      <c r="A37" s="23" t="s">
        <v>504</v>
      </c>
      <c r="B37" s="475">
        <f>B31+B36</f>
        <v>172952</v>
      </c>
      <c r="C37" s="475">
        <f>C31+C36</f>
        <v>188561</v>
      </c>
      <c r="D37" s="475">
        <f t="shared" ref="D37:M37" si="19">D31+D36</f>
        <v>188878</v>
      </c>
      <c r="E37" s="475">
        <f t="shared" si="19"/>
        <v>188915</v>
      </c>
      <c r="F37" s="475">
        <f t="shared" si="19"/>
        <v>188294</v>
      </c>
      <c r="G37" s="475">
        <f t="shared" si="19"/>
        <v>133184</v>
      </c>
      <c r="H37" s="475">
        <f t="shared" si="19"/>
        <v>130198</v>
      </c>
      <c r="I37" s="475">
        <f t="shared" si="19"/>
        <v>122567</v>
      </c>
      <c r="J37" s="475">
        <f t="shared" si="19"/>
        <v>116624</v>
      </c>
      <c r="K37" s="475">
        <f t="shared" si="19"/>
        <v>119515</v>
      </c>
      <c r="L37" s="475">
        <f t="shared" si="19"/>
        <v>119796</v>
      </c>
      <c r="M37" s="475">
        <f t="shared" si="19"/>
        <v>118905</v>
      </c>
      <c r="N37" s="38" t="s">
        <v>617</v>
      </c>
      <c r="O37"/>
      <c r="P37"/>
      <c r="Z37" s="28"/>
      <c r="AA37" s="28"/>
      <c r="AB37" s="28"/>
      <c r="AC37" s="28"/>
      <c r="AD37" s="28"/>
      <c r="AE37" s="28"/>
      <c r="AF37" s="28"/>
      <c r="AG37" s="28"/>
    </row>
    <row r="38" spans="1:33" ht="15">
      <c r="A38" s="10" t="s">
        <v>43</v>
      </c>
      <c r="B38" s="349">
        <v>257275</v>
      </c>
      <c r="C38" s="349">
        <v>275905</v>
      </c>
      <c r="D38" s="349">
        <v>273869</v>
      </c>
      <c r="E38" s="349">
        <v>263414</v>
      </c>
      <c r="F38" s="349">
        <v>251684</v>
      </c>
      <c r="G38" s="349">
        <v>187462</v>
      </c>
      <c r="H38" s="349">
        <v>180500</v>
      </c>
      <c r="I38" s="349">
        <v>166574</v>
      </c>
      <c r="J38" s="349">
        <v>159186</v>
      </c>
      <c r="K38" s="349">
        <v>158813</v>
      </c>
      <c r="L38" s="349">
        <v>164971</v>
      </c>
      <c r="M38" s="349">
        <v>157818</v>
      </c>
      <c r="N38" s="38" t="s">
        <v>617</v>
      </c>
      <c r="O38" t="s">
        <v>43</v>
      </c>
      <c r="P38"/>
      <c r="Q38" s="23" t="s">
        <v>618</v>
      </c>
      <c r="R38" s="23" t="s">
        <v>629</v>
      </c>
      <c r="Z38" s="28">
        <v>15322</v>
      </c>
      <c r="AA38" s="28">
        <v>16090</v>
      </c>
      <c r="AB38" s="28">
        <f>16577</f>
        <v>16577</v>
      </c>
      <c r="AC38" s="28">
        <v>17075</v>
      </c>
      <c r="AD38" s="28">
        <v>16461</v>
      </c>
      <c r="AE38" s="28">
        <v>14395</v>
      </c>
      <c r="AF38" s="28">
        <v>12539</v>
      </c>
      <c r="AG38" s="28">
        <v>12386</v>
      </c>
    </row>
    <row r="39" spans="1:33">
      <c r="B39" s="475"/>
      <c r="C39" s="475"/>
      <c r="D39" s="475"/>
      <c r="E39" s="475"/>
      <c r="F39" s="475"/>
      <c r="G39" s="475"/>
      <c r="H39" s="475"/>
      <c r="I39" s="475"/>
      <c r="J39" s="475"/>
      <c r="K39" s="475"/>
      <c r="L39" s="475"/>
      <c r="M39" s="475"/>
      <c r="N39" s="38" t="s">
        <v>617</v>
      </c>
      <c r="O39"/>
      <c r="P39"/>
      <c r="Z39" s="25">
        <f t="shared" ref="Z39:AG39" si="20">Z40-SUM(Z30:Z38)</f>
        <v>14512</v>
      </c>
      <c r="AA39" s="25">
        <f t="shared" si="20"/>
        <v>15585</v>
      </c>
      <c r="AB39" s="25">
        <f t="shared" si="20"/>
        <v>15786</v>
      </c>
      <c r="AC39" s="25">
        <f t="shared" si="20"/>
        <v>15616</v>
      </c>
      <c r="AD39" s="25">
        <f t="shared" si="20"/>
        <v>17947</v>
      </c>
      <c r="AE39" s="25">
        <f t="shared" si="20"/>
        <v>18419</v>
      </c>
      <c r="AF39" s="25">
        <f t="shared" si="20"/>
        <v>9453</v>
      </c>
      <c r="AG39" s="25">
        <f t="shared" si="20"/>
        <v>9263</v>
      </c>
    </row>
    <row r="40" spans="1:33" ht="15">
      <c r="B40" s="581"/>
      <c r="C40" s="475"/>
      <c r="D40" s="475"/>
      <c r="E40" s="475"/>
      <c r="F40" s="475"/>
      <c r="G40" s="475"/>
      <c r="H40" s="475"/>
      <c r="I40" s="475"/>
      <c r="J40" s="475"/>
      <c r="K40" s="475"/>
      <c r="L40" s="475"/>
      <c r="M40" s="475"/>
      <c r="N40" s="38" t="s">
        <v>617</v>
      </c>
      <c r="O40"/>
      <c r="P40"/>
      <c r="Q40" s="23" t="s">
        <v>618</v>
      </c>
      <c r="R40" s="23" t="s">
        <v>630</v>
      </c>
      <c r="Z40" s="39">
        <v>74704</v>
      </c>
      <c r="AA40" s="39">
        <v>78342</v>
      </c>
      <c r="AB40" s="39">
        <v>84681</v>
      </c>
      <c r="AC40" s="39">
        <v>84896</v>
      </c>
      <c r="AD40" s="39">
        <v>89356</v>
      </c>
      <c r="AE40" s="39">
        <v>81446</v>
      </c>
      <c r="AF40" s="39">
        <v>64020</v>
      </c>
      <c r="AG40" s="39">
        <v>60038</v>
      </c>
    </row>
    <row r="41" spans="1:33" ht="15">
      <c r="A41" s="124" t="s">
        <v>631</v>
      </c>
      <c r="B41" s="349"/>
      <c r="C41" s="349"/>
      <c r="D41" s="349"/>
      <c r="E41" s="349"/>
      <c r="F41" s="349"/>
      <c r="G41" s="349"/>
      <c r="H41" s="349"/>
      <c r="I41" s="349"/>
      <c r="J41" s="349"/>
      <c r="K41" s="349"/>
      <c r="L41" s="349"/>
      <c r="M41" s="349"/>
      <c r="N41" s="38" t="s">
        <v>617</v>
      </c>
      <c r="O41"/>
      <c r="P41"/>
      <c r="Z41" s="30"/>
      <c r="AA41" s="30"/>
      <c r="AB41" s="30"/>
      <c r="AC41" s="30"/>
      <c r="AD41" s="30"/>
      <c r="AE41" s="30"/>
      <c r="AF41" s="30"/>
      <c r="AG41" s="30"/>
    </row>
    <row r="42" spans="1:33" ht="15">
      <c r="A42" s="10" t="s">
        <v>271</v>
      </c>
      <c r="B42" s="349">
        <v>27887</v>
      </c>
      <c r="C42" s="349">
        <v>29348</v>
      </c>
      <c r="D42" s="349">
        <v>28796</v>
      </c>
      <c r="E42" s="349">
        <v>30292</v>
      </c>
      <c r="F42" s="349">
        <v>27603</v>
      </c>
      <c r="G42" s="349">
        <v>21993</v>
      </c>
      <c r="H42" s="349">
        <v>21535</v>
      </c>
      <c r="I42" s="349">
        <v>18178</v>
      </c>
      <c r="J42" s="349">
        <v>17410</v>
      </c>
      <c r="K42" s="349">
        <v>18912</v>
      </c>
      <c r="L42" s="349">
        <v>16714</v>
      </c>
      <c r="M42" s="349">
        <v>13241</v>
      </c>
      <c r="N42" s="38" t="s">
        <v>617</v>
      </c>
      <c r="O42" t="s">
        <v>271</v>
      </c>
      <c r="P42"/>
      <c r="Z42" s="30"/>
      <c r="AA42" s="30"/>
      <c r="AB42" s="30"/>
      <c r="AC42" s="30"/>
      <c r="AD42" s="30"/>
      <c r="AE42" s="30"/>
      <c r="AF42" s="30"/>
      <c r="AG42" s="30"/>
    </row>
    <row r="43" spans="1:33" ht="15">
      <c r="A43" s="121" t="s">
        <v>632</v>
      </c>
      <c r="B43" s="350">
        <v>12544</v>
      </c>
      <c r="C43" s="350">
        <v>12455</v>
      </c>
      <c r="D43" s="350">
        <v>11364</v>
      </c>
      <c r="E43" s="350">
        <v>10826</v>
      </c>
      <c r="F43" s="350">
        <v>8494</v>
      </c>
      <c r="G43" s="350">
        <v>6908</v>
      </c>
      <c r="H43" s="350">
        <v>6915</v>
      </c>
      <c r="I43" s="350">
        <v>6215</v>
      </c>
      <c r="J43" s="350">
        <v>5638</v>
      </c>
      <c r="K43" s="350">
        <v>5528</v>
      </c>
      <c r="L43" s="350">
        <v>6206</v>
      </c>
      <c r="M43" s="350">
        <v>5705</v>
      </c>
      <c r="N43" s="38"/>
      <c r="O43"/>
      <c r="P43"/>
      <c r="Z43" s="37"/>
      <c r="AA43" s="37"/>
      <c r="AB43" s="37"/>
      <c r="AC43" s="37"/>
      <c r="AD43" s="37"/>
      <c r="AE43" s="36"/>
      <c r="AF43" s="36"/>
      <c r="AG43" s="36"/>
    </row>
    <row r="44" spans="1:33" s="10" customFormat="1" ht="15">
      <c r="A44" s="27" t="s">
        <v>506</v>
      </c>
      <c r="B44" s="350">
        <v>0</v>
      </c>
      <c r="C44" s="350">
        <v>0</v>
      </c>
      <c r="D44" s="350">
        <v>0</v>
      </c>
      <c r="E44" s="350">
        <v>0</v>
      </c>
      <c r="F44" s="350">
        <v>0</v>
      </c>
      <c r="G44" s="350">
        <v>0</v>
      </c>
      <c r="H44" s="350">
        <v>0</v>
      </c>
      <c r="I44" s="350">
        <v>0</v>
      </c>
      <c r="J44" s="350">
        <v>0</v>
      </c>
      <c r="K44" s="350">
        <v>0</v>
      </c>
      <c r="L44" s="350">
        <v>0</v>
      </c>
      <c r="M44" s="350">
        <v>0</v>
      </c>
      <c r="N44" s="38" t="s">
        <v>617</v>
      </c>
      <c r="O44" t="s">
        <v>633</v>
      </c>
      <c r="P44"/>
      <c r="Q44" s="23" t="s">
        <v>618</v>
      </c>
      <c r="R44" s="10" t="s">
        <v>634</v>
      </c>
      <c r="Z44" s="39">
        <v>26132</v>
      </c>
      <c r="AA44" s="39">
        <v>26242</v>
      </c>
      <c r="AB44" s="39">
        <v>27877</v>
      </c>
      <c r="AC44" s="39">
        <v>27297</v>
      </c>
      <c r="AD44" s="39">
        <v>29415</v>
      </c>
      <c r="AE44" s="39">
        <f>93+3895+8161+3386+2410+2691+298+1967+558+5102</f>
        <v>28561</v>
      </c>
      <c r="AF44" s="39">
        <f>204+3852+5856+2880+1670+1831+281+1521+495+3430</f>
        <v>22020</v>
      </c>
      <c r="AG44" s="39">
        <f>433+3650+2993+3351+797+1217+262+888+302+5399</f>
        <v>19292</v>
      </c>
    </row>
    <row r="45" spans="1:33" s="10" customFormat="1" ht="15">
      <c r="A45" s="27" t="s">
        <v>507</v>
      </c>
      <c r="B45" s="350">
        <v>675</v>
      </c>
      <c r="C45" s="350">
        <v>766</v>
      </c>
      <c r="D45" s="350">
        <v>718</v>
      </c>
      <c r="E45" s="350">
        <v>715</v>
      </c>
      <c r="F45" s="350">
        <v>0</v>
      </c>
      <c r="G45" s="350">
        <v>0</v>
      </c>
      <c r="H45" s="350">
        <v>0</v>
      </c>
      <c r="I45" s="350">
        <v>0</v>
      </c>
      <c r="J45" s="350">
        <v>0</v>
      </c>
      <c r="K45" s="350">
        <v>0</v>
      </c>
      <c r="L45" s="350">
        <v>0</v>
      </c>
      <c r="M45" s="350">
        <v>0</v>
      </c>
      <c r="N45" s="38"/>
      <c r="O45"/>
      <c r="P45"/>
      <c r="Q45" s="23"/>
      <c r="Z45" s="39"/>
      <c r="AA45" s="39"/>
      <c r="AB45" s="39"/>
      <c r="AC45" s="39"/>
      <c r="AD45" s="39"/>
      <c r="AE45" s="39"/>
      <c r="AF45" s="39"/>
      <c r="AG45" s="39"/>
    </row>
    <row r="46" spans="1:33">
      <c r="A46" s="121" t="s">
        <v>508</v>
      </c>
      <c r="B46" s="350">
        <f>B42-SUM(B43:B45)</f>
        <v>14668</v>
      </c>
      <c r="C46" s="350">
        <f t="shared" ref="C46:M46" si="21">C42-SUM(C43:C45)</f>
        <v>16127</v>
      </c>
      <c r="D46" s="350">
        <f t="shared" si="21"/>
        <v>16714</v>
      </c>
      <c r="E46" s="350">
        <f t="shared" si="21"/>
        <v>18751</v>
      </c>
      <c r="F46" s="350">
        <f>F42-SUM(F43:F45)</f>
        <v>19109</v>
      </c>
      <c r="G46" s="350">
        <f t="shared" si="21"/>
        <v>15085</v>
      </c>
      <c r="H46" s="350">
        <f t="shared" si="21"/>
        <v>14620</v>
      </c>
      <c r="I46" s="350">
        <f t="shared" si="21"/>
        <v>11963</v>
      </c>
      <c r="J46" s="350">
        <f t="shared" si="21"/>
        <v>11772</v>
      </c>
      <c r="K46" s="350">
        <f t="shared" si="21"/>
        <v>13384</v>
      </c>
      <c r="L46" s="350">
        <f t="shared" si="21"/>
        <v>10508</v>
      </c>
      <c r="M46" s="350">
        <f t="shared" si="21"/>
        <v>7536</v>
      </c>
      <c r="N46" s="38" t="s">
        <v>617</v>
      </c>
      <c r="O46"/>
      <c r="P46"/>
      <c r="R46" s="23" t="s">
        <v>635</v>
      </c>
      <c r="Z46" s="32">
        <v>7303</v>
      </c>
      <c r="AA46" s="32">
        <v>6967</v>
      </c>
      <c r="AB46" s="32">
        <v>4708</v>
      </c>
      <c r="AC46" s="32">
        <v>3679</v>
      </c>
      <c r="AD46" s="32">
        <v>5287</v>
      </c>
      <c r="AE46" s="32">
        <v>5660</v>
      </c>
      <c r="AF46" s="32">
        <v>3925</v>
      </c>
      <c r="AG46" s="32">
        <v>5701</v>
      </c>
    </row>
    <row r="47" spans="1:33" ht="15">
      <c r="A47" s="10" t="s">
        <v>509</v>
      </c>
      <c r="B47" s="349">
        <f>B51-B42</f>
        <v>148445</v>
      </c>
      <c r="C47" s="349">
        <f>C51-C42</f>
        <v>150465</v>
      </c>
      <c r="D47" s="349">
        <f t="shared" ref="D47:M47" si="22">D51-D42</f>
        <v>154750</v>
      </c>
      <c r="E47" s="349">
        <f t="shared" si="22"/>
        <v>150396</v>
      </c>
      <c r="F47" s="349">
        <f t="shared" si="22"/>
        <v>152468</v>
      </c>
      <c r="G47" s="349">
        <f t="shared" si="22"/>
        <v>96853</v>
      </c>
      <c r="H47" s="349">
        <f t="shared" si="22"/>
        <v>105022</v>
      </c>
      <c r="I47" s="349">
        <f t="shared" si="22"/>
        <v>96127</v>
      </c>
      <c r="J47" s="349">
        <f t="shared" si="22"/>
        <v>89065</v>
      </c>
      <c r="K47" s="349">
        <f t="shared" si="22"/>
        <v>89207</v>
      </c>
      <c r="L47" s="349">
        <f t="shared" si="22"/>
        <v>98901</v>
      </c>
      <c r="M47" s="349">
        <f t="shared" si="22"/>
        <v>97303</v>
      </c>
      <c r="N47" s="38" t="s">
        <v>617</v>
      </c>
      <c r="O47" t="s">
        <v>636</v>
      </c>
      <c r="P47"/>
      <c r="Z47" s="32"/>
      <c r="AA47" s="32"/>
      <c r="AB47" s="32"/>
      <c r="AC47" s="32"/>
      <c r="AD47" s="32"/>
      <c r="AE47" s="32"/>
      <c r="AF47" s="32"/>
      <c r="AG47" s="32"/>
    </row>
    <row r="48" spans="1:33">
      <c r="A48" s="27" t="s">
        <v>510</v>
      </c>
      <c r="B48" s="350">
        <v>98240</v>
      </c>
      <c r="C48" s="350">
        <v>97888</v>
      </c>
      <c r="D48" s="350">
        <v>105782</v>
      </c>
      <c r="E48" s="350">
        <v>102931</v>
      </c>
      <c r="F48" s="350">
        <v>107345</v>
      </c>
      <c r="G48" s="350">
        <v>59422</v>
      </c>
      <c r="H48" s="350">
        <v>55566</v>
      </c>
      <c r="I48" s="350">
        <v>48994</v>
      </c>
      <c r="J48" s="350">
        <v>43864</v>
      </c>
      <c r="K48" s="350">
        <v>44567</v>
      </c>
      <c r="L48" s="350">
        <v>38082</v>
      </c>
      <c r="M48" s="350">
        <v>37942</v>
      </c>
      <c r="N48" s="38" t="s">
        <v>617</v>
      </c>
      <c r="O48" t="s">
        <v>637</v>
      </c>
      <c r="P48"/>
      <c r="Z48" s="25">
        <f t="shared" ref="Z48:AG48" si="23">Z44-Z46</f>
        <v>18829</v>
      </c>
      <c r="AA48" s="25">
        <f t="shared" si="23"/>
        <v>19275</v>
      </c>
      <c r="AB48" s="25">
        <f t="shared" si="23"/>
        <v>23169</v>
      </c>
      <c r="AC48" s="25">
        <f t="shared" si="23"/>
        <v>23618</v>
      </c>
      <c r="AD48" s="25">
        <f t="shared" si="23"/>
        <v>24128</v>
      </c>
      <c r="AE48" s="25">
        <f t="shared" si="23"/>
        <v>22901</v>
      </c>
      <c r="AF48" s="25">
        <f t="shared" si="23"/>
        <v>18095</v>
      </c>
      <c r="AG48" s="25">
        <f t="shared" si="23"/>
        <v>13591</v>
      </c>
    </row>
    <row r="49" spans="1:33" s="10" customFormat="1" ht="15">
      <c r="A49" s="27" t="s">
        <v>511</v>
      </c>
      <c r="B49" s="350">
        <v>6107</v>
      </c>
      <c r="C49" s="350">
        <v>6473</v>
      </c>
      <c r="D49" s="350">
        <v>3740</v>
      </c>
      <c r="E49" s="350">
        <v>3891</v>
      </c>
      <c r="F49" s="350">
        <v>0</v>
      </c>
      <c r="G49" s="350">
        <v>0</v>
      </c>
      <c r="H49" s="350">
        <v>0</v>
      </c>
      <c r="I49" s="350">
        <v>0</v>
      </c>
      <c r="J49" s="350">
        <v>0</v>
      </c>
      <c r="K49" s="350">
        <v>0</v>
      </c>
      <c r="L49" s="350">
        <v>0</v>
      </c>
      <c r="M49" s="350">
        <v>0</v>
      </c>
      <c r="N49" s="38"/>
      <c r="O49"/>
      <c r="P49"/>
      <c r="Q49" s="23" t="s">
        <v>618</v>
      </c>
      <c r="R49" s="10" t="s">
        <v>638</v>
      </c>
      <c r="Z49" s="39">
        <f>61491-Z44</f>
        <v>35359</v>
      </c>
      <c r="AA49" s="39">
        <f>63457-AA44</f>
        <v>37215</v>
      </c>
      <c r="AB49" s="39">
        <f>67855-AB44</f>
        <v>39978</v>
      </c>
      <c r="AC49" s="39">
        <v>36721</v>
      </c>
      <c r="AD49" s="39">
        <v>41973</v>
      </c>
      <c r="AE49" s="39">
        <f>8415+16529+10956+3583</f>
        <v>39483</v>
      </c>
      <c r="AF49" s="39">
        <f>4505+15932+7584+2654</f>
        <v>30675</v>
      </c>
      <c r="AG49" s="39">
        <f>5652+16195+7420+2179</f>
        <v>31446</v>
      </c>
    </row>
    <row r="50" spans="1:33">
      <c r="A50" s="121" t="s">
        <v>512</v>
      </c>
      <c r="B50" s="350">
        <f>B47-SUM(B48:B49)</f>
        <v>44098</v>
      </c>
      <c r="C50" s="350">
        <f t="shared" ref="C50:M50" si="24">C47-SUM(C48:C49)</f>
        <v>46104</v>
      </c>
      <c r="D50" s="350">
        <f t="shared" si="24"/>
        <v>45228</v>
      </c>
      <c r="E50" s="350">
        <f t="shared" si="24"/>
        <v>43574</v>
      </c>
      <c r="F50" s="350">
        <f t="shared" si="24"/>
        <v>45123</v>
      </c>
      <c r="G50" s="350">
        <f t="shared" si="24"/>
        <v>37431</v>
      </c>
      <c r="H50" s="350">
        <f t="shared" si="24"/>
        <v>49456</v>
      </c>
      <c r="I50" s="350">
        <f t="shared" si="24"/>
        <v>47133</v>
      </c>
      <c r="J50" s="350">
        <f t="shared" si="24"/>
        <v>45201</v>
      </c>
      <c r="K50" s="350">
        <f>K47-SUM(K48:K49)</f>
        <v>44640</v>
      </c>
      <c r="L50" s="350">
        <f t="shared" si="24"/>
        <v>60819</v>
      </c>
      <c r="M50" s="350">
        <f t="shared" si="24"/>
        <v>59361</v>
      </c>
      <c r="N50" s="38" t="s">
        <v>617</v>
      </c>
      <c r="O50" t="s">
        <v>639</v>
      </c>
      <c r="P50"/>
      <c r="R50" s="23" t="s">
        <v>640</v>
      </c>
      <c r="Z50" s="28">
        <v>22818</v>
      </c>
      <c r="AA50" s="28">
        <v>25169</v>
      </c>
      <c r="AB50" s="28">
        <v>27784</v>
      </c>
      <c r="AC50" s="28">
        <v>26719</v>
      </c>
      <c r="AD50" s="28">
        <v>27752</v>
      </c>
      <c r="AE50" s="28">
        <v>24944</v>
      </c>
      <c r="AF50" s="28">
        <v>20437</v>
      </c>
      <c r="AG50" s="28">
        <v>21847</v>
      </c>
    </row>
    <row r="51" spans="1:33" ht="15">
      <c r="A51" s="10" t="s">
        <v>49</v>
      </c>
      <c r="B51" s="349">
        <v>176332</v>
      </c>
      <c r="C51" s="349">
        <v>179813</v>
      </c>
      <c r="D51" s="349">
        <v>183546</v>
      </c>
      <c r="E51" s="349">
        <v>180688</v>
      </c>
      <c r="F51" s="349">
        <v>180071</v>
      </c>
      <c r="G51" s="349">
        <v>118846</v>
      </c>
      <c r="H51" s="349">
        <v>126557</v>
      </c>
      <c r="I51" s="349">
        <v>114305</v>
      </c>
      <c r="J51" s="349">
        <v>106475</v>
      </c>
      <c r="K51" s="349">
        <v>108119</v>
      </c>
      <c r="L51" s="349">
        <v>115615</v>
      </c>
      <c r="M51" s="349">
        <v>110544</v>
      </c>
      <c r="N51" s="38" t="s">
        <v>617</v>
      </c>
      <c r="O51" t="s">
        <v>49</v>
      </c>
      <c r="P51"/>
      <c r="Z51" s="28"/>
      <c r="AA51" s="28"/>
      <c r="AB51" s="28"/>
      <c r="AC51" s="28"/>
      <c r="AD51" s="28"/>
      <c r="AE51" s="28"/>
      <c r="AF51" s="28"/>
      <c r="AG51" s="28"/>
    </row>
    <row r="52" spans="1:33">
      <c r="B52" s="475"/>
      <c r="C52" s="475"/>
      <c r="D52" s="475"/>
      <c r="E52" s="475"/>
      <c r="F52" s="475"/>
      <c r="G52" s="475"/>
      <c r="H52" s="475"/>
      <c r="I52" s="475"/>
      <c r="J52" s="475"/>
      <c r="K52" s="475"/>
      <c r="L52" s="475"/>
      <c r="M52" s="475"/>
      <c r="N52" s="38" t="s">
        <v>617</v>
      </c>
      <c r="O52"/>
      <c r="P52"/>
      <c r="Z52" s="25">
        <f t="shared" ref="Z52:AG52" si="25">Z49-Z50</f>
        <v>12541</v>
      </c>
      <c r="AA52" s="25">
        <f t="shared" si="25"/>
        <v>12046</v>
      </c>
      <c r="AB52" s="25">
        <f t="shared" si="25"/>
        <v>12194</v>
      </c>
      <c r="AC52" s="25">
        <f t="shared" si="25"/>
        <v>10002</v>
      </c>
      <c r="AD52" s="25">
        <f t="shared" si="25"/>
        <v>14221</v>
      </c>
      <c r="AE52" s="25">
        <f t="shared" si="25"/>
        <v>14539</v>
      </c>
      <c r="AF52" s="25">
        <f t="shared" si="25"/>
        <v>10238</v>
      </c>
      <c r="AG52" s="25">
        <f t="shared" si="25"/>
        <v>9599</v>
      </c>
    </row>
    <row r="53" spans="1:33" s="10" customFormat="1" ht="15">
      <c r="A53" s="23"/>
      <c r="B53" s="475"/>
      <c r="C53" s="475"/>
      <c r="D53" s="475"/>
      <c r="E53" s="475"/>
      <c r="F53" s="475"/>
      <c r="G53" s="475"/>
      <c r="H53" s="475"/>
      <c r="I53" s="475"/>
      <c r="J53" s="475"/>
      <c r="K53" s="475"/>
      <c r="L53" s="475"/>
      <c r="M53" s="475"/>
      <c r="N53" s="38" t="s">
        <v>617</v>
      </c>
      <c r="O53"/>
      <c r="P53"/>
      <c r="Z53" s="36">
        <f>+Z49+Z44</f>
        <v>61491</v>
      </c>
      <c r="AA53" s="36">
        <f>+AA49+AA44</f>
        <v>63457</v>
      </c>
      <c r="AB53" s="36">
        <f>+AB49+AB44</f>
        <v>67855</v>
      </c>
      <c r="AC53" s="36">
        <f>AC44+AC49</f>
        <v>64018</v>
      </c>
      <c r="AD53" s="36">
        <f>AD49+AD44</f>
        <v>71388</v>
      </c>
      <c r="AE53" s="36">
        <f>AE49+AE44</f>
        <v>68044</v>
      </c>
      <c r="AF53" s="36">
        <f>AF49+AF44</f>
        <v>52695</v>
      </c>
      <c r="AG53" s="36">
        <f>AG49+AG44</f>
        <v>50738</v>
      </c>
    </row>
    <row r="54" spans="1:33" ht="15">
      <c r="A54" s="40" t="s">
        <v>514</v>
      </c>
      <c r="B54" s="477">
        <f>411+684</f>
        <v>1095</v>
      </c>
      <c r="C54" s="477">
        <f>519+1398</f>
        <v>1917</v>
      </c>
      <c r="D54" s="477">
        <f>1280+1415</f>
        <v>2695</v>
      </c>
      <c r="E54" s="477">
        <f>1372+1148</f>
        <v>2520</v>
      </c>
      <c r="F54" s="477">
        <f>1316+889</f>
        <v>2205</v>
      </c>
      <c r="G54" s="477">
        <f>1357+843</f>
        <v>2200</v>
      </c>
      <c r="H54" s="477">
        <f>1446+2231</f>
        <v>3677</v>
      </c>
      <c r="I54" s="477">
        <f>1221+1709</f>
        <v>2930</v>
      </c>
      <c r="J54" s="477">
        <f>1066+357</f>
        <v>1423</v>
      </c>
      <c r="K54" s="477">
        <f>957+364</f>
        <v>1321</v>
      </c>
      <c r="L54" s="477">
        <f>16998+440</f>
        <v>17438</v>
      </c>
      <c r="M54" s="477">
        <f>16014+381</f>
        <v>16395</v>
      </c>
      <c r="N54" s="38" t="s">
        <v>617</v>
      </c>
      <c r="O54" t="s">
        <v>514</v>
      </c>
      <c r="P54"/>
    </row>
    <row r="55" spans="1:33">
      <c r="B55" s="475"/>
      <c r="C55" s="475"/>
      <c r="D55" s="475"/>
      <c r="E55" s="475"/>
      <c r="F55" s="475"/>
      <c r="G55" s="475"/>
      <c r="H55" s="475"/>
      <c r="I55" s="475"/>
      <c r="J55" s="475"/>
      <c r="K55" s="475"/>
      <c r="L55" s="475"/>
      <c r="M55" s="475"/>
      <c r="N55" s="38" t="s">
        <v>617</v>
      </c>
      <c r="O55"/>
      <c r="P55"/>
    </row>
    <row r="56" spans="1:33" s="10" customFormat="1" ht="15">
      <c r="A56" s="10" t="s">
        <v>515</v>
      </c>
      <c r="B56" s="349">
        <f>B38-B51-B54</f>
        <v>79848</v>
      </c>
      <c r="C56" s="349">
        <f t="shared" ref="C56:M56" si="26">C38-C51-C54</f>
        <v>94175</v>
      </c>
      <c r="D56" s="349">
        <f t="shared" si="26"/>
        <v>87628</v>
      </c>
      <c r="E56" s="349">
        <f>E38-E51-E54</f>
        <v>80206</v>
      </c>
      <c r="F56" s="349">
        <f t="shared" si="26"/>
        <v>69408</v>
      </c>
      <c r="G56" s="349">
        <f t="shared" si="26"/>
        <v>66416</v>
      </c>
      <c r="H56" s="349">
        <f t="shared" si="26"/>
        <v>50266</v>
      </c>
      <c r="I56" s="349">
        <f t="shared" si="26"/>
        <v>49339</v>
      </c>
      <c r="J56" s="349">
        <f>J38-J51-J54</f>
        <v>51288</v>
      </c>
      <c r="K56" s="349">
        <f>K38-K51-K54</f>
        <v>49373</v>
      </c>
      <c r="L56" s="349">
        <f t="shared" si="26"/>
        <v>31918</v>
      </c>
      <c r="M56" s="349">
        <f t="shared" si="26"/>
        <v>30879</v>
      </c>
      <c r="N56" s="38" t="s">
        <v>617</v>
      </c>
      <c r="O56"/>
      <c r="P56"/>
      <c r="Q56" s="23" t="s">
        <v>618</v>
      </c>
      <c r="R56" s="10" t="s">
        <v>641</v>
      </c>
    </row>
    <row r="57" spans="1:33" ht="15">
      <c r="A57" s="10"/>
      <c r="B57" s="349"/>
      <c r="C57" s="349"/>
      <c r="D57" s="349"/>
      <c r="E57" s="349"/>
      <c r="F57" s="349"/>
      <c r="G57" s="349"/>
      <c r="H57" s="349"/>
      <c r="I57" s="349"/>
      <c r="J57" s="349"/>
      <c r="K57" s="349"/>
      <c r="L57" s="349"/>
      <c r="M57" s="349"/>
      <c r="N57" s="38"/>
      <c r="O57"/>
      <c r="P57"/>
    </row>
    <row r="58" spans="1:33" ht="15">
      <c r="A58" s="54" t="s">
        <v>642</v>
      </c>
      <c r="B58" s="349"/>
      <c r="C58" s="349"/>
      <c r="D58" s="349"/>
      <c r="E58" s="349"/>
      <c r="F58" s="349"/>
      <c r="G58" s="349"/>
      <c r="H58" s="349"/>
      <c r="I58" s="349"/>
      <c r="J58" s="349"/>
      <c r="K58" s="349"/>
      <c r="L58" s="349"/>
      <c r="M58" s="349"/>
      <c r="N58" s="38"/>
      <c r="O58"/>
      <c r="P58"/>
    </row>
    <row r="59" spans="1:33" ht="15">
      <c r="A59" s="10" t="s">
        <v>133</v>
      </c>
      <c r="B59" s="349">
        <v>26413</v>
      </c>
      <c r="C59" s="349">
        <v>29146</v>
      </c>
      <c r="D59" s="349">
        <v>24737</v>
      </c>
      <c r="E59" s="349">
        <v>25697</v>
      </c>
      <c r="F59" s="349">
        <v>24297</v>
      </c>
      <c r="G59" s="349">
        <v>21261</v>
      </c>
      <c r="H59" s="349">
        <v>19691</v>
      </c>
      <c r="I59" s="349">
        <v>18778</v>
      </c>
      <c r="J59" s="349">
        <v>16945</v>
      </c>
      <c r="K59" s="349">
        <v>14160</v>
      </c>
      <c r="L59" s="349">
        <v>14854</v>
      </c>
      <c r="M59" s="349">
        <v>14345</v>
      </c>
      <c r="N59" s="38"/>
      <c r="O59"/>
      <c r="P59"/>
    </row>
    <row r="60" spans="1:33">
      <c r="A60" s="27" t="s">
        <v>69</v>
      </c>
      <c r="B60" s="350">
        <v>4925</v>
      </c>
      <c r="C60" s="350">
        <v>13833</v>
      </c>
      <c r="D60" s="350">
        <v>10701</v>
      </c>
      <c r="E60" s="350">
        <v>13323</v>
      </c>
      <c r="F60" s="350">
        <v>11862</v>
      </c>
      <c r="G60" s="350">
        <v>22922</v>
      </c>
      <c r="H60" s="350">
        <v>9028</v>
      </c>
      <c r="I60" s="350">
        <v>8413</v>
      </c>
      <c r="J60" s="350">
        <v>8592</v>
      </c>
      <c r="K60" s="350">
        <v>7135</v>
      </c>
      <c r="L60" s="350">
        <v>7865</v>
      </c>
      <c r="M60" s="350">
        <v>5157</v>
      </c>
      <c r="N60" s="38"/>
      <c r="O60"/>
      <c r="P60"/>
    </row>
    <row r="61" spans="1:33">
      <c r="A61" s="121" t="s">
        <v>60</v>
      </c>
      <c r="B61" s="350">
        <v>13821</v>
      </c>
      <c r="C61" s="350">
        <v>13804</v>
      </c>
      <c r="D61" s="350">
        <v>13100</v>
      </c>
      <c r="E61" s="350">
        <v>12953</v>
      </c>
      <c r="F61" s="350">
        <v>10676</v>
      </c>
      <c r="G61" s="350">
        <v>9688</v>
      </c>
      <c r="H61" s="350">
        <v>9426</v>
      </c>
      <c r="I61" s="350">
        <v>8680</v>
      </c>
      <c r="J61" s="350">
        <v>8019</v>
      </c>
      <c r="K61" s="350">
        <v>7871</v>
      </c>
      <c r="L61" s="350">
        <v>7798</v>
      </c>
      <c r="M61" s="350">
        <v>7636</v>
      </c>
      <c r="N61" s="38"/>
      <c r="O61"/>
      <c r="P61"/>
    </row>
    <row r="62" spans="1:33">
      <c r="A62" s="121" t="s">
        <v>643</v>
      </c>
      <c r="B62" s="350">
        <v>-3006</v>
      </c>
      <c r="C62" s="350">
        <v>-1499</v>
      </c>
      <c r="D62" s="350">
        <v>-178</v>
      </c>
      <c r="E62" s="350">
        <v>-2335</v>
      </c>
      <c r="F62" s="350">
        <v>-1313</v>
      </c>
      <c r="G62" s="350">
        <v>-546</v>
      </c>
      <c r="H62" s="350">
        <v>-1404</v>
      </c>
      <c r="I62" s="350">
        <v>-267</v>
      </c>
      <c r="J62" s="350">
        <v>-357</v>
      </c>
      <c r="K62" s="350">
        <v>93</v>
      </c>
      <c r="L62" s="350">
        <v>-418</v>
      </c>
      <c r="M62" s="350">
        <v>-603</v>
      </c>
      <c r="N62" s="38"/>
      <c r="O62"/>
      <c r="P62"/>
    </row>
    <row r="63" spans="1:33">
      <c r="A63" s="121" t="s">
        <v>644</v>
      </c>
      <c r="B63" s="350">
        <f>B59-B60-B61-B62</f>
        <v>10673</v>
      </c>
      <c r="C63" s="350">
        <f t="shared" ref="C63" si="27">C59-C60-C61-C62</f>
        <v>3008</v>
      </c>
      <c r="D63" s="350">
        <f>D59-D60-D61-D62</f>
        <v>1114</v>
      </c>
      <c r="E63" s="350">
        <f t="shared" ref="E63:M63" si="28">E59-E60-E61-E62</f>
        <v>1756</v>
      </c>
      <c r="F63" s="350">
        <f t="shared" si="28"/>
        <v>3072</v>
      </c>
      <c r="G63" s="350">
        <f t="shared" si="28"/>
        <v>-10803</v>
      </c>
      <c r="H63" s="350">
        <f t="shared" si="28"/>
        <v>2641</v>
      </c>
      <c r="I63" s="350">
        <f t="shared" si="28"/>
        <v>1952</v>
      </c>
      <c r="J63" s="350">
        <f t="shared" si="28"/>
        <v>691</v>
      </c>
      <c r="K63" s="350">
        <f t="shared" si="28"/>
        <v>-939</v>
      </c>
      <c r="L63" s="350">
        <f t="shared" si="28"/>
        <v>-391</v>
      </c>
      <c r="M63" s="350">
        <f t="shared" si="28"/>
        <v>2155</v>
      </c>
      <c r="N63" s="38"/>
      <c r="O63"/>
      <c r="P63"/>
    </row>
    <row r="64" spans="1:33" ht="15">
      <c r="A64" s="10" t="s">
        <v>134</v>
      </c>
      <c r="B64" s="349">
        <v>-14140</v>
      </c>
      <c r="C64" s="349">
        <v>-13446</v>
      </c>
      <c r="D64" s="349">
        <v>-12047</v>
      </c>
      <c r="E64" s="349">
        <v>-14841</v>
      </c>
      <c r="F64" s="349">
        <v>-50854</v>
      </c>
      <c r="G64" s="349">
        <v>-13533</v>
      </c>
      <c r="H64" s="349">
        <v>-18265</v>
      </c>
      <c r="I64" s="349">
        <v>-11964</v>
      </c>
      <c r="J64" s="349">
        <v>-8733</v>
      </c>
      <c r="K64" s="349">
        <v>-9514</v>
      </c>
      <c r="L64" s="349">
        <v>-1486</v>
      </c>
      <c r="M64" s="349">
        <v>-12508</v>
      </c>
      <c r="N64" s="38"/>
      <c r="O64"/>
      <c r="P64"/>
    </row>
    <row r="65" spans="1:16">
      <c r="A65" s="121" t="s">
        <v>135</v>
      </c>
      <c r="B65" s="350">
        <v>-10626</v>
      </c>
      <c r="C65" s="350">
        <v>-9174</v>
      </c>
      <c r="D65" s="350">
        <v>-9179</v>
      </c>
      <c r="E65" s="350">
        <v>-9953</v>
      </c>
      <c r="F65" s="350">
        <v>-9774</v>
      </c>
      <c r="G65" s="350">
        <v>-9550</v>
      </c>
      <c r="H65" s="350">
        <v>-9135</v>
      </c>
      <c r="I65" s="350">
        <v>-8499</v>
      </c>
      <c r="J65" s="350">
        <v>-7420</v>
      </c>
      <c r="K65" s="350">
        <v>-6596</v>
      </c>
      <c r="L65" s="350">
        <v>-5714</v>
      </c>
      <c r="M65" s="350">
        <v>-5307</v>
      </c>
      <c r="N65" s="38"/>
      <c r="O65"/>
      <c r="P65"/>
    </row>
    <row r="66" spans="1:16">
      <c r="A66" s="121" t="s">
        <v>136</v>
      </c>
      <c r="B66" s="350">
        <v>-12</v>
      </c>
      <c r="C66" s="350">
        <v>-1374</v>
      </c>
      <c r="D66" s="350">
        <v>-233</v>
      </c>
      <c r="E66" s="350">
        <v>-370</v>
      </c>
      <c r="F66" s="791">
        <v>-38219</v>
      </c>
      <c r="G66" s="350">
        <v>-532</v>
      </c>
      <c r="H66" s="350">
        <v>-3929</v>
      </c>
      <c r="I66" s="350">
        <v>-1786</v>
      </c>
      <c r="J66" s="350">
        <v>-477</v>
      </c>
      <c r="K66" s="350">
        <v>-1904</v>
      </c>
      <c r="L66" s="350">
        <v>0</v>
      </c>
      <c r="M66" s="350">
        <v>0</v>
      </c>
      <c r="N66" s="38"/>
      <c r="O66"/>
      <c r="P66"/>
    </row>
    <row r="67" spans="1:16">
      <c r="A67" s="121" t="s">
        <v>645</v>
      </c>
      <c r="B67" s="350">
        <f>B64-B65-B66</f>
        <v>-3502</v>
      </c>
      <c r="C67" s="350">
        <f>C64-C65-C66</f>
        <v>-2898</v>
      </c>
      <c r="D67" s="350">
        <f>D64-D65-D66</f>
        <v>-2635</v>
      </c>
      <c r="E67" s="350">
        <f t="shared" ref="E67" si="29">E64-E65-E66</f>
        <v>-4518</v>
      </c>
      <c r="F67" s="350">
        <v>-24</v>
      </c>
      <c r="G67" s="350">
        <v>4</v>
      </c>
      <c r="H67" s="350">
        <v>20</v>
      </c>
      <c r="I67" s="350">
        <v>31</v>
      </c>
      <c r="J67" s="350">
        <v>10</v>
      </c>
      <c r="K67" s="350">
        <v>39</v>
      </c>
      <c r="L67" s="350">
        <v>41</v>
      </c>
      <c r="M67" s="350">
        <v>28</v>
      </c>
      <c r="N67" s="38"/>
      <c r="O67"/>
      <c r="P67"/>
    </row>
    <row r="68" spans="1:16" ht="15">
      <c r="A68" s="10" t="s">
        <v>137</v>
      </c>
      <c r="B68" s="349">
        <v>-16184</v>
      </c>
      <c r="C68" s="349">
        <v>-18618</v>
      </c>
      <c r="D68" s="349">
        <v>-6513</v>
      </c>
      <c r="E68" s="349">
        <v>-9181</v>
      </c>
      <c r="F68" s="349">
        <v>27140</v>
      </c>
      <c r="G68" s="349">
        <v>-7572</v>
      </c>
      <c r="H68" s="349">
        <v>-434</v>
      </c>
      <c r="I68" s="349">
        <v>-8429</v>
      </c>
      <c r="J68" s="349">
        <v>-6020</v>
      </c>
      <c r="K68" s="349">
        <v>-13879</v>
      </c>
      <c r="L68" s="349">
        <v>-4037</v>
      </c>
      <c r="M68" s="349">
        <v>-6201</v>
      </c>
      <c r="N68" s="38"/>
      <c r="O68"/>
      <c r="P68"/>
    </row>
    <row r="69" spans="1:16">
      <c r="A69" s="121" t="s">
        <v>646</v>
      </c>
      <c r="B69" s="350">
        <v>2745</v>
      </c>
      <c r="C69" s="350">
        <v>2628</v>
      </c>
      <c r="D69" s="350">
        <v>18644</v>
      </c>
      <c r="E69" s="350">
        <v>5479</v>
      </c>
      <c r="F69" s="350">
        <v>44781</v>
      </c>
      <c r="G69" s="350">
        <v>11466</v>
      </c>
      <c r="H69" s="350">
        <v>9231</v>
      </c>
      <c r="I69" s="350">
        <v>5486</v>
      </c>
      <c r="J69" s="350">
        <v>4182</v>
      </c>
      <c r="K69" s="350">
        <v>2933</v>
      </c>
      <c r="L69" s="350">
        <v>4544</v>
      </c>
      <c r="M69" s="350">
        <v>0</v>
      </c>
      <c r="N69" s="38"/>
      <c r="O69"/>
      <c r="P69"/>
    </row>
    <row r="70" spans="1:16">
      <c r="A70" s="121" t="s">
        <v>647</v>
      </c>
      <c r="B70" s="350">
        <v>-2307</v>
      </c>
      <c r="C70" s="350">
        <v>-11498</v>
      </c>
      <c r="D70" s="350">
        <v>-18777</v>
      </c>
      <c r="E70" s="350">
        <v>-14354</v>
      </c>
      <c r="F70" s="350">
        <v>-8798</v>
      </c>
      <c r="G70" s="350">
        <v>-6364</v>
      </c>
      <c r="H70" s="350">
        <v>-3052</v>
      </c>
      <c r="I70" s="350">
        <v>-4378</v>
      </c>
      <c r="J70" s="350">
        <v>-3175</v>
      </c>
      <c r="K70" s="350">
        <v>-2444</v>
      </c>
      <c r="L70" s="350">
        <v>-2881</v>
      </c>
      <c r="M70" s="350">
        <v>-3216</v>
      </c>
      <c r="N70" s="38"/>
      <c r="O70"/>
      <c r="P70"/>
    </row>
    <row r="71" spans="1:16">
      <c r="A71" s="121" t="s">
        <v>648</v>
      </c>
      <c r="B71" s="350">
        <v>0</v>
      </c>
      <c r="C71" s="350">
        <v>0</v>
      </c>
      <c r="D71" s="350">
        <v>0</v>
      </c>
      <c r="E71" s="350">
        <v>0</v>
      </c>
      <c r="F71" s="350">
        <v>0</v>
      </c>
      <c r="G71" s="350">
        <v>0</v>
      </c>
      <c r="H71" s="350">
        <v>0</v>
      </c>
      <c r="I71" s="350">
        <v>0</v>
      </c>
      <c r="J71" s="350">
        <v>0</v>
      </c>
      <c r="K71" s="350">
        <v>0</v>
      </c>
      <c r="L71" s="350">
        <v>0</v>
      </c>
      <c r="M71" s="350">
        <v>0</v>
      </c>
      <c r="N71" s="38"/>
      <c r="O71"/>
      <c r="P71"/>
    </row>
    <row r="72" spans="1:16">
      <c r="A72" s="121" t="s">
        <v>649</v>
      </c>
      <c r="B72" s="350">
        <v>0</v>
      </c>
      <c r="C72" s="350">
        <v>0</v>
      </c>
      <c r="D72" s="350">
        <v>0</v>
      </c>
      <c r="E72" s="350">
        <v>0</v>
      </c>
      <c r="F72" s="350">
        <v>0</v>
      </c>
      <c r="G72" s="350">
        <v>0</v>
      </c>
      <c r="H72" s="350">
        <v>0</v>
      </c>
      <c r="I72" s="350">
        <v>0</v>
      </c>
      <c r="J72" s="350">
        <v>0</v>
      </c>
      <c r="K72" s="350">
        <v>0</v>
      </c>
      <c r="L72" s="350">
        <v>0</v>
      </c>
      <c r="M72" s="350">
        <v>0</v>
      </c>
      <c r="N72" s="38"/>
      <c r="O72"/>
      <c r="P72"/>
    </row>
    <row r="73" spans="1:16">
      <c r="A73" s="121" t="s">
        <v>138</v>
      </c>
      <c r="B73" s="350">
        <v>-4741</v>
      </c>
      <c r="C73" s="350">
        <v>-4532</v>
      </c>
      <c r="D73" s="350">
        <v>-4140</v>
      </c>
      <c r="E73" s="350">
        <v>-3735</v>
      </c>
      <c r="F73" s="350">
        <v>-3352</v>
      </c>
      <c r="G73" s="350">
        <v>-2883</v>
      </c>
      <c r="H73" s="472">
        <v>-2601</v>
      </c>
      <c r="I73" s="350">
        <v>-2437</v>
      </c>
      <c r="J73" s="472">
        <v>-2254</v>
      </c>
      <c r="K73" s="350">
        <v>-1964</v>
      </c>
      <c r="L73" s="350">
        <v>-1608</v>
      </c>
      <c r="M73" s="350">
        <v>-1187</v>
      </c>
      <c r="N73" s="35" t="s">
        <v>650</v>
      </c>
      <c r="O73" t="s">
        <v>651</v>
      </c>
      <c r="P73"/>
    </row>
    <row r="74" spans="1:16">
      <c r="A74" s="121" t="s">
        <v>496</v>
      </c>
      <c r="B74" s="791">
        <v>-13328</v>
      </c>
      <c r="C74" s="350">
        <v>-4672</v>
      </c>
      <c r="D74" s="350">
        <v>-534</v>
      </c>
      <c r="E74" s="350">
        <v>-504</v>
      </c>
      <c r="F74" s="350">
        <v>-5320</v>
      </c>
      <c r="G74" s="350">
        <v>-5435</v>
      </c>
      <c r="H74" s="472">
        <v>-5352</v>
      </c>
      <c r="I74" s="350">
        <v>0</v>
      </c>
      <c r="J74" s="472">
        <v>0</v>
      </c>
      <c r="K74" s="350">
        <v>-2000</v>
      </c>
      <c r="L74" s="350">
        <v>-3000</v>
      </c>
      <c r="M74" s="350">
        <v>-2141</v>
      </c>
      <c r="N74" s="35" t="s">
        <v>650</v>
      </c>
      <c r="O74" t="str">
        <f>+A74</f>
        <v>Share buyback</v>
      </c>
      <c r="P74"/>
    </row>
    <row r="75" spans="1:16">
      <c r="A75" s="121" t="s">
        <v>645</v>
      </c>
      <c r="B75" s="350">
        <f>B68-B69-B70-B71-B72-B73-B74</f>
        <v>1447</v>
      </c>
      <c r="C75" s="350">
        <f t="shared" ref="C75:M75" si="30">C68-C69-C70-C71-C72-C73-C74</f>
        <v>-544</v>
      </c>
      <c r="D75" s="350">
        <f t="shared" si="30"/>
        <v>-1706</v>
      </c>
      <c r="E75" s="350">
        <f t="shared" si="30"/>
        <v>3933</v>
      </c>
      <c r="F75" s="350">
        <f t="shared" si="30"/>
        <v>-171</v>
      </c>
      <c r="G75" s="350">
        <f t="shared" si="30"/>
        <v>-4356</v>
      </c>
      <c r="H75" s="350">
        <f t="shared" si="30"/>
        <v>1340</v>
      </c>
      <c r="I75" s="350">
        <f t="shared" si="30"/>
        <v>-7100</v>
      </c>
      <c r="J75" s="350">
        <f t="shared" si="30"/>
        <v>-4773</v>
      </c>
      <c r="K75" s="350">
        <f t="shared" si="30"/>
        <v>-10404</v>
      </c>
      <c r="L75" s="350">
        <f t="shared" si="30"/>
        <v>-1092</v>
      </c>
      <c r="M75" s="350">
        <f t="shared" si="30"/>
        <v>343</v>
      </c>
      <c r="N75" s="38"/>
      <c r="O75"/>
      <c r="P75"/>
    </row>
    <row r="76" spans="1:16" ht="15">
      <c r="A76" s="10" t="s">
        <v>141</v>
      </c>
      <c r="B76" s="349">
        <v>-86</v>
      </c>
      <c r="C76" s="349">
        <v>-71</v>
      </c>
      <c r="D76" s="349">
        <v>2</v>
      </c>
      <c r="E76" s="349">
        <v>5</v>
      </c>
      <c r="F76" s="349">
        <v>-245</v>
      </c>
      <c r="G76" s="349">
        <v>0</v>
      </c>
      <c r="H76" s="349">
        <v>0</v>
      </c>
      <c r="I76" s="349">
        <v>0</v>
      </c>
      <c r="J76" s="349">
        <v>0</v>
      </c>
      <c r="K76" s="349">
        <v>0</v>
      </c>
      <c r="L76" s="349">
        <v>0</v>
      </c>
      <c r="M76" s="349">
        <v>0</v>
      </c>
      <c r="N76" s="38"/>
      <c r="O76"/>
      <c r="P76"/>
    </row>
    <row r="77" spans="1:16" ht="15">
      <c r="A77" s="10" t="s">
        <v>579</v>
      </c>
      <c r="B77" s="349">
        <f>B59+B64+B68+B76</f>
        <v>-3997</v>
      </c>
      <c r="C77" s="349">
        <f>C59+C64+C68+C76</f>
        <v>-2989</v>
      </c>
      <c r="D77" s="349">
        <f t="shared" ref="D77:M77" si="31">D59+D64+D68+D76</f>
        <v>6179</v>
      </c>
      <c r="E77" s="349">
        <f t="shared" si="31"/>
        <v>1680</v>
      </c>
      <c r="F77" s="349">
        <f t="shared" si="31"/>
        <v>338</v>
      </c>
      <c r="G77" s="349">
        <f t="shared" si="31"/>
        <v>156</v>
      </c>
      <c r="H77" s="349">
        <f t="shared" si="31"/>
        <v>992</v>
      </c>
      <c r="I77" s="349">
        <f t="shared" si="31"/>
        <v>-1615</v>
      </c>
      <c r="J77" s="349">
        <f t="shared" si="31"/>
        <v>2192</v>
      </c>
      <c r="K77" s="349">
        <f t="shared" si="31"/>
        <v>-9233</v>
      </c>
      <c r="L77" s="349">
        <f t="shared" si="31"/>
        <v>9331</v>
      </c>
      <c r="M77" s="349">
        <f t="shared" si="31"/>
        <v>-4364</v>
      </c>
      <c r="N77" s="38"/>
      <c r="O77"/>
      <c r="P77"/>
    </row>
    <row r="78" spans="1:16">
      <c r="M78" s="25"/>
      <c r="N78"/>
      <c r="O78" t="s">
        <v>652</v>
      </c>
      <c r="P78"/>
    </row>
    <row r="79" spans="1:16" ht="15">
      <c r="A79" s="54" t="s">
        <v>653</v>
      </c>
      <c r="B79" s="54"/>
      <c r="C79" s="54"/>
      <c r="D79" s="54"/>
      <c r="E79" s="1030" t="s">
        <v>523</v>
      </c>
      <c r="F79" s="1030"/>
      <c r="G79" s="1030"/>
      <c r="H79" s="1030" t="s">
        <v>654</v>
      </c>
      <c r="I79" s="1030"/>
      <c r="J79" s="54" t="s">
        <v>525</v>
      </c>
      <c r="K79" s="54" t="s">
        <v>526</v>
      </c>
      <c r="L79" s="54" t="s">
        <v>527</v>
      </c>
      <c r="M79" s="36"/>
      <c r="N79"/>
      <c r="O79"/>
      <c r="P79"/>
    </row>
    <row r="80" spans="1:16">
      <c r="A80" s="27" t="s">
        <v>655</v>
      </c>
      <c r="B80" s="28">
        <v>142000</v>
      </c>
      <c r="C80" s="41" t="s">
        <v>656</v>
      </c>
      <c r="D80" s="25"/>
      <c r="E80" s="1027"/>
      <c r="F80" s="1027"/>
      <c r="G80" s="1027"/>
      <c r="H80" s="1028"/>
      <c r="I80" s="1028"/>
      <c r="J80" s="82"/>
      <c r="K80" s="81"/>
      <c r="L80" s="81"/>
      <c r="M80" s="25"/>
      <c r="N80" s="41" t="s">
        <v>657</v>
      </c>
      <c r="O80"/>
      <c r="P80"/>
    </row>
    <row r="81" spans="1:16">
      <c r="A81" s="27" t="s">
        <v>658</v>
      </c>
      <c r="B81" s="28">
        <v>285620</v>
      </c>
      <c r="C81" s="41" t="s">
        <v>659</v>
      </c>
      <c r="D81" s="25"/>
      <c r="E81" s="1027"/>
      <c r="F81" s="1027"/>
      <c r="G81" s="1027"/>
      <c r="H81" s="1028"/>
      <c r="I81" s="1028"/>
      <c r="J81" s="82"/>
      <c r="K81" s="81"/>
      <c r="L81" s="81"/>
      <c r="M81" s="25"/>
      <c r="N81" s="41" t="s">
        <v>657</v>
      </c>
      <c r="O81"/>
      <c r="P81"/>
    </row>
    <row r="82" spans="1:16">
      <c r="A82" s="27" t="s">
        <v>47</v>
      </c>
      <c r="B82" s="76">
        <f>OP!M19</f>
        <v>0.99</v>
      </c>
      <c r="C82" s="41" t="s">
        <v>659</v>
      </c>
      <c r="D82" s="83"/>
      <c r="E82" s="1027"/>
      <c r="F82" s="1027"/>
      <c r="G82" s="1027"/>
      <c r="H82" s="1028"/>
      <c r="I82" s="1028"/>
      <c r="J82" s="82"/>
      <c r="K82" s="81"/>
      <c r="L82" s="81"/>
      <c r="M82" s="85"/>
      <c r="N82" s="41" t="s">
        <v>657</v>
      </c>
      <c r="O82"/>
      <c r="P82"/>
    </row>
    <row r="83" spans="1:16">
      <c r="A83" s="27" t="s">
        <v>52</v>
      </c>
      <c r="B83" s="78">
        <f>OP!M20</f>
        <v>7.4000000000000003E-3</v>
      </c>
      <c r="C83" s="41" t="s">
        <v>659</v>
      </c>
      <c r="D83" s="84"/>
      <c r="E83" s="1027"/>
      <c r="F83" s="1027"/>
      <c r="G83" s="1027"/>
      <c r="H83" s="1028"/>
      <c r="I83" s="1028"/>
      <c r="J83" s="82"/>
      <c r="K83" s="81"/>
      <c r="L83" s="81"/>
      <c r="M83" s="85"/>
      <c r="N83" s="41" t="s">
        <v>657</v>
      </c>
      <c r="O83"/>
      <c r="P83"/>
    </row>
    <row r="84" spans="1:16">
      <c r="A84" s="27" t="s">
        <v>519</v>
      </c>
      <c r="B84" s="28" t="str">
        <f>OP!M22</f>
        <v>A-</v>
      </c>
      <c r="C84" s="41" t="s">
        <v>656</v>
      </c>
      <c r="D84" s="25"/>
      <c r="E84" s="1027"/>
      <c r="F84" s="1027"/>
      <c r="G84" s="1027"/>
      <c r="H84" s="1028"/>
      <c r="I84" s="1028"/>
      <c r="J84" s="82"/>
      <c r="K84" s="81"/>
      <c r="L84" s="81"/>
      <c r="M84" s="25"/>
      <c r="N84" s="41" t="s">
        <v>657</v>
      </c>
      <c r="O84"/>
      <c r="P84"/>
    </row>
    <row r="85" spans="1:16">
      <c r="A85" s="27" t="s">
        <v>660</v>
      </c>
      <c r="B85" s="79">
        <f ca="1">Peers!C35</f>
        <v>1.9452710149283641</v>
      </c>
      <c r="C85" s="41" t="s">
        <v>659</v>
      </c>
      <c r="D85" s="25"/>
      <c r="E85" s="1027"/>
      <c r="F85" s="1027"/>
      <c r="G85" s="1027"/>
      <c r="H85" s="1028"/>
      <c r="I85" s="1028"/>
      <c r="J85" s="81"/>
      <c r="K85" s="81"/>
      <c r="L85" s="81"/>
      <c r="M85" s="25"/>
      <c r="N85" s="41" t="s">
        <v>657</v>
      </c>
      <c r="O85"/>
    </row>
    <row r="86" spans="1:16">
      <c r="A86" s="27" t="s">
        <v>521</v>
      </c>
      <c r="B86" s="28"/>
      <c r="C86" s="41" t="s">
        <v>661</v>
      </c>
      <c r="D86" s="25"/>
      <c r="E86" s="1027"/>
      <c r="F86" s="1027"/>
      <c r="G86" s="1027"/>
      <c r="H86" s="1028"/>
      <c r="I86" s="1028"/>
      <c r="J86" s="81"/>
      <c r="K86" s="81"/>
      <c r="L86" s="81"/>
      <c r="M86" s="25"/>
      <c r="N86" s="41" t="s">
        <v>657</v>
      </c>
    </row>
    <row r="87" spans="1:16" ht="15">
      <c r="B87" s="54">
        <v>2020</v>
      </c>
      <c r="C87" s="54">
        <f>B87+1</f>
        <v>2021</v>
      </c>
      <c r="D87" s="54">
        <f>C87+1</f>
        <v>2022</v>
      </c>
      <c r="E87" s="42"/>
      <c r="G87" s="42"/>
      <c r="H87" s="42"/>
      <c r="I87" s="42"/>
      <c r="J87" s="42"/>
      <c r="K87" s="42"/>
      <c r="L87" s="42"/>
      <c r="M87" s="42"/>
      <c r="N87"/>
    </row>
    <row r="88" spans="1:16">
      <c r="A88" s="27" t="s">
        <v>522</v>
      </c>
      <c r="B88" s="77"/>
      <c r="D88" s="733">
        <v>8.6E-3</v>
      </c>
      <c r="E88" s="41" t="s">
        <v>661</v>
      </c>
      <c r="K88" s="23"/>
      <c r="L88" s="23"/>
      <c r="O88"/>
      <c r="P88"/>
    </row>
    <row r="89" spans="1:16" ht="15">
      <c r="A89" s="27" t="s">
        <v>75</v>
      </c>
      <c r="B89" s="80">
        <v>2.2999999999999998</v>
      </c>
      <c r="C89" s="80">
        <v>3.12</v>
      </c>
      <c r="D89" s="80">
        <v>1.27</v>
      </c>
      <c r="E89" s="41" t="s">
        <v>661</v>
      </c>
      <c r="K89" s="23"/>
      <c r="L89" s="23"/>
      <c r="O89" s="54"/>
    </row>
    <row r="90" spans="1:16" ht="15">
      <c r="M90"/>
      <c r="N90" s="119"/>
      <c r="O90" s="54"/>
    </row>
    <row r="91" spans="1:16">
      <c r="J91" s="25"/>
      <c r="L91"/>
      <c r="M91"/>
      <c r="N91"/>
    </row>
    <row r="92" spans="1:16">
      <c r="J92" s="25"/>
      <c r="L92"/>
      <c r="M92"/>
      <c r="N92"/>
    </row>
    <row r="93" spans="1:16">
      <c r="J93" s="25"/>
      <c r="L93"/>
      <c r="M93"/>
      <c r="N93"/>
    </row>
    <row r="94" spans="1:16">
      <c r="J94" s="25"/>
      <c r="L94"/>
      <c r="M94"/>
      <c r="N94"/>
    </row>
    <row r="95" spans="1:16">
      <c r="J95" s="25"/>
      <c r="L95"/>
      <c r="M95"/>
      <c r="N95"/>
    </row>
    <row r="96" spans="1:16">
      <c r="J96" s="25"/>
      <c r="L96"/>
      <c r="M96"/>
      <c r="N96"/>
      <c r="O96"/>
    </row>
    <row r="97" spans="1:14">
      <c r="J97" s="25"/>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c r="E2" s="11" t="s">
        <v>662</v>
      </c>
      <c r="F2" s="11" t="s">
        <v>663</v>
      </c>
      <c r="H2" s="11" t="s">
        <v>362</v>
      </c>
      <c r="K2" s="1031" t="s">
        <v>662</v>
      </c>
      <c r="L2" s="1033" t="s">
        <v>664</v>
      </c>
      <c r="M2" s="1034"/>
      <c r="N2" s="1034"/>
      <c r="O2" s="1034"/>
      <c r="P2" s="1035"/>
      <c r="Q2" s="1034" t="s">
        <v>313</v>
      </c>
      <c r="R2" s="1034"/>
      <c r="S2" s="1034"/>
      <c r="T2" s="1034"/>
      <c r="U2" s="1034"/>
      <c r="V2" s="1034"/>
      <c r="W2" s="1034"/>
      <c r="X2" s="1034"/>
      <c r="Y2" s="1034"/>
      <c r="Z2" s="1034"/>
      <c r="AA2" s="1035"/>
    </row>
    <row r="3" spans="2:27">
      <c r="E3" t="s">
        <v>276</v>
      </c>
      <c r="F3" t="s">
        <v>665</v>
      </c>
      <c r="H3" s="11" t="s">
        <v>301</v>
      </c>
      <c r="K3" s="1032"/>
      <c r="L3" s="88" t="s">
        <v>666</v>
      </c>
      <c r="M3" s="107" t="s">
        <v>667</v>
      </c>
      <c r="N3" s="107" t="s">
        <v>668</v>
      </c>
      <c r="O3" s="107" t="s">
        <v>669</v>
      </c>
      <c r="P3" s="108" t="s">
        <v>670</v>
      </c>
      <c r="Q3" s="107" t="s">
        <v>671</v>
      </c>
      <c r="R3" s="107" t="s">
        <v>672</v>
      </c>
      <c r="S3" s="107" t="s">
        <v>320</v>
      </c>
      <c r="T3" s="107" t="s">
        <v>673</v>
      </c>
      <c r="U3" s="107" t="s">
        <v>674</v>
      </c>
      <c r="V3" s="107" t="s">
        <v>675</v>
      </c>
      <c r="W3" s="107" t="s">
        <v>676</v>
      </c>
      <c r="X3" s="107" t="s">
        <v>677</v>
      </c>
      <c r="Y3" s="107" t="s">
        <v>678</v>
      </c>
      <c r="Z3" s="107" t="s">
        <v>679</v>
      </c>
      <c r="AA3" s="108" t="s">
        <v>350</v>
      </c>
    </row>
    <row r="4" spans="2:27">
      <c r="B4" s="89"/>
      <c r="E4" t="s">
        <v>276</v>
      </c>
      <c r="F4" t="s">
        <v>680</v>
      </c>
      <c r="H4" s="11" t="s">
        <v>369</v>
      </c>
      <c r="K4" s="109" t="s">
        <v>276</v>
      </c>
      <c r="L4" s="110" t="s">
        <v>362</v>
      </c>
      <c r="M4" t="s">
        <v>362</v>
      </c>
      <c r="N4" t="s">
        <v>301</v>
      </c>
      <c r="O4" t="s">
        <v>362</v>
      </c>
      <c r="P4" s="111" t="s">
        <v>362</v>
      </c>
      <c r="Q4" t="s">
        <v>301</v>
      </c>
      <c r="R4" t="s">
        <v>301</v>
      </c>
      <c r="S4" t="s">
        <v>362</v>
      </c>
      <c r="T4" t="s">
        <v>362</v>
      </c>
      <c r="U4" t="s">
        <v>369</v>
      </c>
      <c r="V4" t="s">
        <v>362</v>
      </c>
      <c r="W4" t="s">
        <v>362</v>
      </c>
      <c r="X4" t="s">
        <v>362</v>
      </c>
      <c r="Y4" t="s">
        <v>362</v>
      </c>
      <c r="Z4" t="s">
        <v>362</v>
      </c>
      <c r="AA4" s="111" t="s">
        <v>301</v>
      </c>
    </row>
    <row r="5" spans="2:27" ht="15">
      <c r="B5" s="103" t="s">
        <v>297</v>
      </c>
      <c r="E5" t="s">
        <v>276</v>
      </c>
      <c r="F5" t="s">
        <v>681</v>
      </c>
      <c r="H5" s="11" t="s">
        <v>682</v>
      </c>
      <c r="K5" s="109" t="s">
        <v>683</v>
      </c>
      <c r="L5" s="110" t="s">
        <v>362</v>
      </c>
      <c r="M5" t="s">
        <v>362</v>
      </c>
      <c r="N5" t="s">
        <v>301</v>
      </c>
      <c r="O5" t="s">
        <v>301</v>
      </c>
      <c r="P5" s="111" t="s">
        <v>362</v>
      </c>
      <c r="Q5" t="s">
        <v>301</v>
      </c>
      <c r="R5" t="s">
        <v>301</v>
      </c>
      <c r="S5" t="s">
        <v>362</v>
      </c>
      <c r="T5" t="s">
        <v>362</v>
      </c>
      <c r="U5" t="s">
        <v>301</v>
      </c>
      <c r="V5" t="s">
        <v>301</v>
      </c>
      <c r="W5" t="s">
        <v>301</v>
      </c>
      <c r="X5" t="s">
        <v>369</v>
      </c>
      <c r="Y5" t="s">
        <v>362</v>
      </c>
      <c r="Z5" t="s">
        <v>369</v>
      </c>
      <c r="AA5" s="111" t="s">
        <v>362</v>
      </c>
    </row>
    <row r="6" spans="2:27">
      <c r="B6" s="105" t="s">
        <v>684</v>
      </c>
      <c r="E6" t="s">
        <v>276</v>
      </c>
      <c r="F6" t="s">
        <v>685</v>
      </c>
      <c r="K6" s="109" t="s">
        <v>686</v>
      </c>
      <c r="L6" s="110" t="s">
        <v>369</v>
      </c>
      <c r="M6" t="s">
        <v>682</v>
      </c>
      <c r="N6" t="s">
        <v>369</v>
      </c>
      <c r="O6" t="s">
        <v>369</v>
      </c>
      <c r="P6" s="111" t="s">
        <v>369</v>
      </c>
      <c r="Q6" t="s">
        <v>301</v>
      </c>
      <c r="R6" t="s">
        <v>369</v>
      </c>
      <c r="S6" t="s">
        <v>369</v>
      </c>
      <c r="T6" t="s">
        <v>362</v>
      </c>
      <c r="U6" t="s">
        <v>301</v>
      </c>
      <c r="V6" t="s">
        <v>301</v>
      </c>
      <c r="W6" t="s">
        <v>362</v>
      </c>
      <c r="X6" t="s">
        <v>369</v>
      </c>
      <c r="Y6" t="s">
        <v>362</v>
      </c>
      <c r="Z6" t="s">
        <v>682</v>
      </c>
      <c r="AA6" s="111" t="s">
        <v>362</v>
      </c>
    </row>
    <row r="7" spans="2:27">
      <c r="B7" s="105" t="s">
        <v>687</v>
      </c>
      <c r="E7" t="s">
        <v>276</v>
      </c>
      <c r="F7" t="s">
        <v>688</v>
      </c>
      <c r="K7" s="109" t="s">
        <v>668</v>
      </c>
      <c r="L7" s="110" t="s">
        <v>682</v>
      </c>
      <c r="M7" t="s">
        <v>682</v>
      </c>
      <c r="N7" t="s">
        <v>301</v>
      </c>
      <c r="O7" t="s">
        <v>682</v>
      </c>
      <c r="P7" s="111" t="s">
        <v>369</v>
      </c>
      <c r="Q7" t="s">
        <v>369</v>
      </c>
      <c r="R7" t="s">
        <v>301</v>
      </c>
      <c r="S7" t="s">
        <v>301</v>
      </c>
      <c r="T7" t="s">
        <v>301</v>
      </c>
      <c r="U7" t="s">
        <v>301</v>
      </c>
      <c r="V7" t="s">
        <v>369</v>
      </c>
      <c r="W7" t="s">
        <v>301</v>
      </c>
      <c r="X7" t="s">
        <v>301</v>
      </c>
      <c r="Y7" t="s">
        <v>369</v>
      </c>
      <c r="Z7" t="s">
        <v>369</v>
      </c>
      <c r="AA7" s="111" t="s">
        <v>362</v>
      </c>
    </row>
    <row r="8" spans="2:27">
      <c r="B8" s="105"/>
      <c r="K8" s="109" t="s">
        <v>689</v>
      </c>
      <c r="L8" s="110" t="s">
        <v>362</v>
      </c>
      <c r="M8" t="s">
        <v>362</v>
      </c>
      <c r="N8" t="s">
        <v>362</v>
      </c>
      <c r="O8" t="s">
        <v>301</v>
      </c>
      <c r="P8" s="111" t="s">
        <v>301</v>
      </c>
      <c r="Q8" t="s">
        <v>362</v>
      </c>
      <c r="R8" t="s">
        <v>301</v>
      </c>
      <c r="S8" t="s">
        <v>301</v>
      </c>
      <c r="T8" t="s">
        <v>369</v>
      </c>
      <c r="U8" t="s">
        <v>301</v>
      </c>
      <c r="V8" t="s">
        <v>362</v>
      </c>
      <c r="W8" t="s">
        <v>362</v>
      </c>
      <c r="X8" t="s">
        <v>301</v>
      </c>
      <c r="Y8" t="s">
        <v>301</v>
      </c>
      <c r="Z8" t="s">
        <v>369</v>
      </c>
      <c r="AA8" s="111" t="s">
        <v>362</v>
      </c>
    </row>
    <row r="9" spans="2:27">
      <c r="B9" s="105" t="s">
        <v>306</v>
      </c>
      <c r="E9" t="s">
        <v>276</v>
      </c>
      <c r="F9" t="s">
        <v>690</v>
      </c>
      <c r="K9" s="109" t="s">
        <v>691</v>
      </c>
      <c r="L9" s="110" t="s">
        <v>362</v>
      </c>
      <c r="M9" t="s">
        <v>362</v>
      </c>
      <c r="N9" t="s">
        <v>362</v>
      </c>
      <c r="O9" t="s">
        <v>362</v>
      </c>
      <c r="P9" s="111" t="s">
        <v>362</v>
      </c>
      <c r="Q9" t="s">
        <v>362</v>
      </c>
      <c r="R9" t="s">
        <v>362</v>
      </c>
      <c r="S9" t="s">
        <v>301</v>
      </c>
      <c r="T9" t="s">
        <v>369</v>
      </c>
      <c r="U9" t="s">
        <v>301</v>
      </c>
      <c r="V9" t="s">
        <v>362</v>
      </c>
      <c r="W9" t="s">
        <v>362</v>
      </c>
      <c r="X9" t="s">
        <v>362</v>
      </c>
      <c r="Y9" t="s">
        <v>362</v>
      </c>
      <c r="Z9" t="s">
        <v>301</v>
      </c>
      <c r="AA9" s="111" t="s">
        <v>362</v>
      </c>
    </row>
    <row r="10" spans="2:27">
      <c r="B10" s="105"/>
      <c r="K10" s="109" t="s">
        <v>692</v>
      </c>
      <c r="L10" s="110" t="s">
        <v>362</v>
      </c>
      <c r="M10" t="s">
        <v>301</v>
      </c>
      <c r="N10" t="s">
        <v>362</v>
      </c>
      <c r="O10" t="s">
        <v>301</v>
      </c>
      <c r="P10" s="111" t="s">
        <v>369</v>
      </c>
      <c r="Q10" t="s">
        <v>362</v>
      </c>
      <c r="R10" t="s">
        <v>362</v>
      </c>
      <c r="S10" t="s">
        <v>362</v>
      </c>
      <c r="T10" t="s">
        <v>362</v>
      </c>
      <c r="U10" t="s">
        <v>362</v>
      </c>
      <c r="V10" t="s">
        <v>362</v>
      </c>
      <c r="W10" t="s">
        <v>362</v>
      </c>
      <c r="X10" t="s">
        <v>362</v>
      </c>
      <c r="Y10" t="s">
        <v>301</v>
      </c>
      <c r="Z10" t="s">
        <v>362</v>
      </c>
      <c r="AA10" s="111" t="s">
        <v>362</v>
      </c>
    </row>
    <row r="11" spans="2:27">
      <c r="B11" s="105" t="s">
        <v>309</v>
      </c>
      <c r="E11" t="s">
        <v>276</v>
      </c>
      <c r="F11" t="s">
        <v>693</v>
      </c>
      <c r="K11" s="109" t="s">
        <v>694</v>
      </c>
      <c r="L11" s="110" t="s">
        <v>362</v>
      </c>
      <c r="M11" t="s">
        <v>301</v>
      </c>
      <c r="N11" t="s">
        <v>362</v>
      </c>
      <c r="O11" t="s">
        <v>362</v>
      </c>
      <c r="P11" s="111" t="s">
        <v>362</v>
      </c>
      <c r="Q11" t="s">
        <v>362</v>
      </c>
      <c r="R11" t="s">
        <v>362</v>
      </c>
      <c r="S11" t="s">
        <v>301</v>
      </c>
      <c r="T11" t="s">
        <v>362</v>
      </c>
      <c r="U11" t="s">
        <v>369</v>
      </c>
      <c r="V11" t="s">
        <v>362</v>
      </c>
      <c r="W11" t="s">
        <v>362</v>
      </c>
      <c r="X11" t="s">
        <v>362</v>
      </c>
      <c r="Y11" t="s">
        <v>362</v>
      </c>
      <c r="Z11" t="s">
        <v>362</v>
      </c>
      <c r="AA11" s="111" t="s">
        <v>362</v>
      </c>
    </row>
    <row r="12" spans="2:27">
      <c r="B12" s="104" t="s">
        <v>695</v>
      </c>
      <c r="E12" t="s">
        <v>276</v>
      </c>
      <c r="F12" t="s">
        <v>696</v>
      </c>
      <c r="K12" s="109" t="s">
        <v>697</v>
      </c>
      <c r="L12" s="110" t="s">
        <v>682</v>
      </c>
      <c r="M12" t="s">
        <v>682</v>
      </c>
      <c r="N12" t="s">
        <v>682</v>
      </c>
      <c r="O12" t="s">
        <v>369</v>
      </c>
      <c r="P12" s="111" t="s">
        <v>369</v>
      </c>
      <c r="Q12" t="s">
        <v>362</v>
      </c>
      <c r="R12" t="s">
        <v>301</v>
      </c>
      <c r="S12" t="s">
        <v>369</v>
      </c>
      <c r="T12" t="s">
        <v>682</v>
      </c>
      <c r="U12" t="s">
        <v>301</v>
      </c>
      <c r="V12" t="s">
        <v>682</v>
      </c>
      <c r="W12" t="s">
        <v>301</v>
      </c>
      <c r="X12" t="s">
        <v>682</v>
      </c>
      <c r="Y12" t="s">
        <v>682</v>
      </c>
      <c r="Z12" t="s">
        <v>682</v>
      </c>
      <c r="AA12" s="111" t="s">
        <v>369</v>
      </c>
    </row>
    <row r="13" spans="2:27" ht="15">
      <c r="B13" s="103" t="s">
        <v>313</v>
      </c>
      <c r="E13" t="s">
        <v>276</v>
      </c>
      <c r="F13" t="s">
        <v>698</v>
      </c>
      <c r="K13" s="109" t="s">
        <v>699</v>
      </c>
      <c r="L13" s="110" t="s">
        <v>301</v>
      </c>
      <c r="M13" t="s">
        <v>362</v>
      </c>
      <c r="N13" t="s">
        <v>369</v>
      </c>
      <c r="O13" t="s">
        <v>362</v>
      </c>
      <c r="P13" s="111" t="s">
        <v>362</v>
      </c>
      <c r="Q13" t="s">
        <v>362</v>
      </c>
      <c r="R13" t="s">
        <v>362</v>
      </c>
      <c r="S13" t="s">
        <v>362</v>
      </c>
      <c r="T13" t="s">
        <v>362</v>
      </c>
      <c r="U13" t="s">
        <v>369</v>
      </c>
      <c r="V13" t="s">
        <v>362</v>
      </c>
      <c r="W13" t="s">
        <v>362</v>
      </c>
      <c r="X13" t="s">
        <v>362</v>
      </c>
      <c r="Y13" t="s">
        <v>362</v>
      </c>
      <c r="Z13" t="s">
        <v>301</v>
      </c>
      <c r="AA13" s="111" t="s">
        <v>682</v>
      </c>
    </row>
    <row r="14" spans="2:27">
      <c r="B14" s="93" t="s">
        <v>700</v>
      </c>
      <c r="E14" t="s">
        <v>276</v>
      </c>
      <c r="F14" t="s">
        <v>701</v>
      </c>
      <c r="K14" s="109" t="s">
        <v>702</v>
      </c>
      <c r="L14" s="110" t="s">
        <v>682</v>
      </c>
      <c r="M14" t="s">
        <v>682</v>
      </c>
      <c r="N14" t="s">
        <v>682</v>
      </c>
      <c r="O14" t="s">
        <v>682</v>
      </c>
      <c r="P14" s="111" t="s">
        <v>369</v>
      </c>
      <c r="Q14" t="s">
        <v>369</v>
      </c>
      <c r="R14" t="s">
        <v>369</v>
      </c>
      <c r="S14" t="s">
        <v>301</v>
      </c>
      <c r="T14" t="s">
        <v>369</v>
      </c>
      <c r="U14" t="s">
        <v>362</v>
      </c>
      <c r="V14" t="s">
        <v>682</v>
      </c>
      <c r="W14" t="s">
        <v>301</v>
      </c>
      <c r="X14" t="s">
        <v>301</v>
      </c>
      <c r="Y14" t="s">
        <v>682</v>
      </c>
      <c r="Z14" t="s">
        <v>369</v>
      </c>
      <c r="AA14" s="111" t="s">
        <v>301</v>
      </c>
    </row>
    <row r="15" spans="2:27">
      <c r="B15" s="93" t="s">
        <v>703</v>
      </c>
      <c r="E15" t="s">
        <v>683</v>
      </c>
      <c r="F15" t="s">
        <v>704</v>
      </c>
      <c r="K15" s="109" t="s">
        <v>705</v>
      </c>
      <c r="L15" s="110" t="s">
        <v>362</v>
      </c>
      <c r="M15" t="s">
        <v>362</v>
      </c>
      <c r="N15" t="s">
        <v>301</v>
      </c>
      <c r="O15" t="s">
        <v>362</v>
      </c>
      <c r="P15" s="111" t="s">
        <v>362</v>
      </c>
      <c r="Q15" t="s">
        <v>301</v>
      </c>
      <c r="R15" t="s">
        <v>362</v>
      </c>
      <c r="S15" t="s">
        <v>362</v>
      </c>
      <c r="T15" t="s">
        <v>362</v>
      </c>
      <c r="U15" t="s">
        <v>369</v>
      </c>
      <c r="V15" t="s">
        <v>362</v>
      </c>
      <c r="W15" t="s">
        <v>301</v>
      </c>
      <c r="X15" t="s">
        <v>362</v>
      </c>
      <c r="Y15" t="s">
        <v>301</v>
      </c>
      <c r="Z15" t="s">
        <v>362</v>
      </c>
      <c r="AA15" s="111" t="s">
        <v>362</v>
      </c>
    </row>
    <row r="16" spans="2:27">
      <c r="B16" s="96" t="s">
        <v>706</v>
      </c>
      <c r="E16" t="s">
        <v>683</v>
      </c>
      <c r="F16" t="s">
        <v>707</v>
      </c>
      <c r="K16" s="112" t="s">
        <v>708</v>
      </c>
      <c r="L16" s="113" t="s">
        <v>682</v>
      </c>
      <c r="M16" s="114" t="s">
        <v>369</v>
      </c>
      <c r="N16" s="114" t="s">
        <v>369</v>
      </c>
      <c r="O16" s="114" t="s">
        <v>301</v>
      </c>
      <c r="P16" s="115" t="s">
        <v>369</v>
      </c>
      <c r="Q16" s="114" t="s">
        <v>362</v>
      </c>
      <c r="R16" s="114" t="s">
        <v>301</v>
      </c>
      <c r="S16" s="114" t="s">
        <v>301</v>
      </c>
      <c r="T16" s="114" t="s">
        <v>362</v>
      </c>
      <c r="U16" s="114" t="s">
        <v>301</v>
      </c>
      <c r="V16" s="114" t="s">
        <v>301</v>
      </c>
      <c r="W16" s="114" t="s">
        <v>301</v>
      </c>
      <c r="X16" s="114" t="s">
        <v>301</v>
      </c>
      <c r="Y16" s="114" t="s">
        <v>362</v>
      </c>
      <c r="Z16" s="114" t="s">
        <v>301</v>
      </c>
      <c r="AA16" s="115" t="s">
        <v>362</v>
      </c>
    </row>
    <row r="17" spans="2:22">
      <c r="B17" s="96" t="s">
        <v>709</v>
      </c>
      <c r="E17" t="s">
        <v>683</v>
      </c>
      <c r="F17" t="s">
        <v>710</v>
      </c>
    </row>
    <row r="18" spans="2:22" hidden="1">
      <c r="B18" s="93" t="s">
        <v>711</v>
      </c>
      <c r="E18" t="s">
        <v>683</v>
      </c>
      <c r="F18" t="s">
        <v>712</v>
      </c>
    </row>
    <row r="19" spans="2:22" hidden="1">
      <c r="B19" s="93" t="s">
        <v>713</v>
      </c>
      <c r="E19" t="s">
        <v>683</v>
      </c>
      <c r="F19" t="s">
        <v>714</v>
      </c>
      <c r="L19" s="116" t="s">
        <v>276</v>
      </c>
      <c r="M19" s="117" t="s">
        <v>683</v>
      </c>
      <c r="N19" s="117" t="s">
        <v>686</v>
      </c>
      <c r="O19" s="117" t="s">
        <v>668</v>
      </c>
      <c r="P19" s="117" t="s">
        <v>691</v>
      </c>
      <c r="Q19" s="117" t="s">
        <v>694</v>
      </c>
      <c r="R19" s="117" t="s">
        <v>697</v>
      </c>
      <c r="S19" s="117" t="s">
        <v>699</v>
      </c>
      <c r="T19" s="117" t="s">
        <v>702</v>
      </c>
      <c r="U19" s="117" t="s">
        <v>705</v>
      </c>
      <c r="V19" s="118" t="s">
        <v>708</v>
      </c>
    </row>
    <row r="20" spans="2:22" hidden="1">
      <c r="B20" s="93" t="s">
        <v>335</v>
      </c>
      <c r="E20" t="s">
        <v>683</v>
      </c>
      <c r="F20" t="s">
        <v>715</v>
      </c>
      <c r="L20" s="110" t="s">
        <v>665</v>
      </c>
      <c r="M20" t="s">
        <v>704</v>
      </c>
      <c r="N20" t="s">
        <v>716</v>
      </c>
      <c r="O20" t="s">
        <v>717</v>
      </c>
      <c r="P20" t="s">
        <v>718</v>
      </c>
      <c r="Q20" t="s">
        <v>719</v>
      </c>
      <c r="R20" t="s">
        <v>720</v>
      </c>
      <c r="S20" t="s">
        <v>721</v>
      </c>
      <c r="T20" t="s">
        <v>722</v>
      </c>
      <c r="U20" t="s">
        <v>723</v>
      </c>
      <c r="V20" s="111" t="s">
        <v>724</v>
      </c>
    </row>
    <row r="21" spans="2:22" hidden="1">
      <c r="B21" s="93" t="s">
        <v>343</v>
      </c>
      <c r="E21" t="s">
        <v>683</v>
      </c>
      <c r="F21" t="s">
        <v>725</v>
      </c>
      <c r="L21" s="110" t="s">
        <v>680</v>
      </c>
      <c r="M21" t="s">
        <v>707</v>
      </c>
      <c r="N21" t="s">
        <v>726</v>
      </c>
      <c r="O21" t="s">
        <v>727</v>
      </c>
      <c r="P21" t="s">
        <v>728</v>
      </c>
      <c r="Q21" t="s">
        <v>729</v>
      </c>
      <c r="R21" t="s">
        <v>730</v>
      </c>
      <c r="S21" t="s">
        <v>731</v>
      </c>
      <c r="T21" t="s">
        <v>732</v>
      </c>
      <c r="U21" t="s">
        <v>733</v>
      </c>
      <c r="V21" s="111" t="s">
        <v>734</v>
      </c>
    </row>
    <row r="22" spans="2:22" hidden="1">
      <c r="B22" s="93" t="s">
        <v>345</v>
      </c>
      <c r="E22" t="s">
        <v>683</v>
      </c>
      <c r="F22" t="s">
        <v>735</v>
      </c>
      <c r="L22" s="110" t="s">
        <v>681</v>
      </c>
      <c r="M22" t="s">
        <v>710</v>
      </c>
      <c r="N22" t="s">
        <v>736</v>
      </c>
      <c r="O22" t="s">
        <v>737</v>
      </c>
      <c r="P22" t="s">
        <v>738</v>
      </c>
      <c r="Q22" t="s">
        <v>739</v>
      </c>
      <c r="R22" t="s">
        <v>740</v>
      </c>
      <c r="S22" t="s">
        <v>741</v>
      </c>
      <c r="T22" t="s">
        <v>742</v>
      </c>
      <c r="U22" t="s">
        <v>743</v>
      </c>
      <c r="V22" s="111" t="s">
        <v>744</v>
      </c>
    </row>
    <row r="23" spans="2:22" hidden="1">
      <c r="B23" s="93" t="s">
        <v>349</v>
      </c>
      <c r="E23" t="s">
        <v>683</v>
      </c>
      <c r="F23" t="s">
        <v>745</v>
      </c>
      <c r="L23" s="110" t="s">
        <v>685</v>
      </c>
      <c r="M23" t="s">
        <v>712</v>
      </c>
      <c r="N23" t="s">
        <v>746</v>
      </c>
      <c r="O23" t="s">
        <v>747</v>
      </c>
      <c r="P23" t="s">
        <v>748</v>
      </c>
      <c r="Q23" t="s">
        <v>749</v>
      </c>
      <c r="R23" t="s">
        <v>750</v>
      </c>
      <c r="S23" t="s">
        <v>751</v>
      </c>
      <c r="T23" t="s">
        <v>752</v>
      </c>
      <c r="U23" t="s">
        <v>753</v>
      </c>
      <c r="V23" s="111" t="s">
        <v>754</v>
      </c>
    </row>
    <row r="24" spans="2:22" hidden="1">
      <c r="B24" s="95" t="s">
        <v>350</v>
      </c>
      <c r="E24" t="s">
        <v>683</v>
      </c>
      <c r="F24" t="s">
        <v>755</v>
      </c>
      <c r="L24" s="110" t="s">
        <v>688</v>
      </c>
      <c r="M24" t="s">
        <v>714</v>
      </c>
      <c r="N24" t="s">
        <v>756</v>
      </c>
      <c r="O24" t="s">
        <v>757</v>
      </c>
      <c r="P24" t="s">
        <v>758</v>
      </c>
      <c r="Q24" t="s">
        <v>759</v>
      </c>
      <c r="R24" t="s">
        <v>760</v>
      </c>
      <c r="S24" t="s">
        <v>761</v>
      </c>
      <c r="T24" t="s">
        <v>762</v>
      </c>
      <c r="U24" t="s">
        <v>763</v>
      </c>
      <c r="V24" s="111" t="s">
        <v>764</v>
      </c>
    </row>
    <row r="25" spans="2:22" hidden="1">
      <c r="E25" t="s">
        <v>683</v>
      </c>
      <c r="F25" t="s">
        <v>765</v>
      </c>
      <c r="L25" s="110" t="s">
        <v>690</v>
      </c>
      <c r="M25" t="s">
        <v>715</v>
      </c>
      <c r="N25" t="s">
        <v>766</v>
      </c>
      <c r="P25" t="s">
        <v>767</v>
      </c>
      <c r="Q25" t="s">
        <v>768</v>
      </c>
      <c r="R25" t="s">
        <v>769</v>
      </c>
      <c r="S25" t="s">
        <v>770</v>
      </c>
      <c r="T25" t="s">
        <v>771</v>
      </c>
      <c r="U25" t="s">
        <v>772</v>
      </c>
      <c r="V25" s="111"/>
    </row>
    <row r="26" spans="2:22" hidden="1">
      <c r="E26" t="s">
        <v>683</v>
      </c>
      <c r="F26" t="s">
        <v>773</v>
      </c>
      <c r="L26" s="110" t="s">
        <v>693</v>
      </c>
      <c r="M26" t="s">
        <v>725</v>
      </c>
      <c r="N26" t="s">
        <v>774</v>
      </c>
      <c r="P26" t="s">
        <v>775</v>
      </c>
      <c r="Q26" t="s">
        <v>776</v>
      </c>
      <c r="R26" t="s">
        <v>777</v>
      </c>
      <c r="S26" t="s">
        <v>778</v>
      </c>
      <c r="T26" t="s">
        <v>779</v>
      </c>
      <c r="U26" t="s">
        <v>780</v>
      </c>
      <c r="V26" s="111"/>
    </row>
    <row r="27" spans="2:22" hidden="1">
      <c r="E27" t="s">
        <v>683</v>
      </c>
      <c r="F27" t="s">
        <v>781</v>
      </c>
      <c r="L27" s="110" t="s">
        <v>696</v>
      </c>
      <c r="M27" t="s">
        <v>735</v>
      </c>
      <c r="N27" t="s">
        <v>782</v>
      </c>
      <c r="P27" t="s">
        <v>783</v>
      </c>
      <c r="Q27" t="s">
        <v>784</v>
      </c>
      <c r="R27" t="s">
        <v>785</v>
      </c>
      <c r="S27" t="s">
        <v>786</v>
      </c>
      <c r="T27" t="s">
        <v>787</v>
      </c>
      <c r="U27" t="s">
        <v>788</v>
      </c>
      <c r="V27" s="111"/>
    </row>
    <row r="28" spans="2:22" hidden="1">
      <c r="E28" t="s">
        <v>683</v>
      </c>
      <c r="F28" t="s">
        <v>789</v>
      </c>
      <c r="L28" s="110" t="s">
        <v>698</v>
      </c>
      <c r="M28" t="s">
        <v>745</v>
      </c>
      <c r="N28" t="s">
        <v>790</v>
      </c>
      <c r="P28" t="s">
        <v>791</v>
      </c>
      <c r="Q28" t="s">
        <v>792</v>
      </c>
      <c r="R28" t="s">
        <v>793</v>
      </c>
      <c r="S28" t="s">
        <v>794</v>
      </c>
      <c r="T28" t="s">
        <v>795</v>
      </c>
      <c r="V28" s="111"/>
    </row>
    <row r="29" spans="2:22" hidden="1">
      <c r="E29" t="s">
        <v>683</v>
      </c>
      <c r="F29" t="s">
        <v>796</v>
      </c>
      <c r="L29" s="113" t="s">
        <v>701</v>
      </c>
      <c r="M29" s="114" t="s">
        <v>755</v>
      </c>
      <c r="N29" s="114" t="s">
        <v>797</v>
      </c>
      <c r="O29" s="114"/>
      <c r="P29" s="114" t="s">
        <v>798</v>
      </c>
      <c r="Q29" s="114" t="s">
        <v>799</v>
      </c>
      <c r="R29" s="114" t="s">
        <v>800</v>
      </c>
      <c r="S29" s="114" t="s">
        <v>801</v>
      </c>
      <c r="T29" s="114" t="s">
        <v>802</v>
      </c>
      <c r="U29" s="114"/>
      <c r="V29" s="115"/>
    </row>
    <row r="30" spans="2:22" hidden="1">
      <c r="E30" t="s">
        <v>683</v>
      </c>
      <c r="F30" t="s">
        <v>803</v>
      </c>
      <c r="M30" t="s">
        <v>765</v>
      </c>
      <c r="N30" t="s">
        <v>804</v>
      </c>
      <c r="P30" t="s">
        <v>805</v>
      </c>
      <c r="R30" t="s">
        <v>806</v>
      </c>
      <c r="S30" t="s">
        <v>807</v>
      </c>
      <c r="T30" t="s">
        <v>808</v>
      </c>
    </row>
    <row r="31" spans="2:22" hidden="1">
      <c r="E31" t="s">
        <v>683</v>
      </c>
      <c r="F31" t="s">
        <v>809</v>
      </c>
      <c r="M31" t="s">
        <v>773</v>
      </c>
      <c r="N31" t="s">
        <v>810</v>
      </c>
      <c r="P31" t="s">
        <v>811</v>
      </c>
      <c r="R31" t="s">
        <v>812</v>
      </c>
      <c r="S31" t="s">
        <v>813</v>
      </c>
    </row>
    <row r="32" spans="2:22" hidden="1">
      <c r="E32" t="s">
        <v>683</v>
      </c>
      <c r="F32" t="s">
        <v>814</v>
      </c>
      <c r="M32" t="s">
        <v>781</v>
      </c>
      <c r="P32" t="s">
        <v>815</v>
      </c>
      <c r="R32" t="s">
        <v>816</v>
      </c>
      <c r="S32" t="s">
        <v>817</v>
      </c>
    </row>
    <row r="33" spans="5:18" hidden="1">
      <c r="E33" t="s">
        <v>683</v>
      </c>
      <c r="F33" t="s">
        <v>818</v>
      </c>
      <c r="M33" t="s">
        <v>789</v>
      </c>
      <c r="R33" t="s">
        <v>819</v>
      </c>
    </row>
    <row r="34" spans="5:18" hidden="1">
      <c r="E34" t="s">
        <v>683</v>
      </c>
      <c r="F34" t="s">
        <v>820</v>
      </c>
      <c r="M34" t="s">
        <v>796</v>
      </c>
      <c r="R34" t="s">
        <v>821</v>
      </c>
    </row>
    <row r="35" spans="5:18" hidden="1">
      <c r="E35" t="s">
        <v>686</v>
      </c>
      <c r="F35" t="s">
        <v>716</v>
      </c>
      <c r="M35" t="s">
        <v>803</v>
      </c>
      <c r="R35" t="s">
        <v>822</v>
      </c>
    </row>
    <row r="36" spans="5:18" hidden="1">
      <c r="E36" t="s">
        <v>686</v>
      </c>
      <c r="F36" t="s">
        <v>726</v>
      </c>
      <c r="M36" t="s">
        <v>809</v>
      </c>
      <c r="R36" t="s">
        <v>823</v>
      </c>
    </row>
    <row r="37" spans="5:18" hidden="1">
      <c r="E37" t="s">
        <v>686</v>
      </c>
      <c r="F37" t="s">
        <v>736</v>
      </c>
      <c r="M37" t="s">
        <v>814</v>
      </c>
    </row>
    <row r="38" spans="5:18" hidden="1">
      <c r="E38" t="s">
        <v>686</v>
      </c>
      <c r="F38" t="s">
        <v>746</v>
      </c>
      <c r="M38" t="s">
        <v>818</v>
      </c>
    </row>
    <row r="39" spans="5:18" hidden="1">
      <c r="E39" t="s">
        <v>686</v>
      </c>
      <c r="F39" t="s">
        <v>756</v>
      </c>
      <c r="M39" t="s">
        <v>820</v>
      </c>
    </row>
    <row r="40" spans="5:18" hidden="1">
      <c r="E40" t="s">
        <v>686</v>
      </c>
      <c r="F40" t="s">
        <v>766</v>
      </c>
    </row>
    <row r="41" spans="5:18" hidden="1">
      <c r="E41" t="s">
        <v>686</v>
      </c>
      <c r="F41" t="s">
        <v>774</v>
      </c>
    </row>
    <row r="42" spans="5:18">
      <c r="E42" t="s">
        <v>686</v>
      </c>
      <c r="F42" t="s">
        <v>782</v>
      </c>
    </row>
    <row r="43" spans="5:18">
      <c r="E43" t="s">
        <v>686</v>
      </c>
      <c r="F43" t="s">
        <v>790</v>
      </c>
    </row>
    <row r="44" spans="5:18">
      <c r="E44" t="s">
        <v>686</v>
      </c>
      <c r="F44" t="s">
        <v>797</v>
      </c>
    </row>
    <row r="45" spans="5:18">
      <c r="E45" t="s">
        <v>686</v>
      </c>
      <c r="F45" t="s">
        <v>804</v>
      </c>
    </row>
    <row r="46" spans="5:18">
      <c r="E46" t="s">
        <v>686</v>
      </c>
      <c r="F46" t="s">
        <v>810</v>
      </c>
    </row>
    <row r="47" spans="5:18">
      <c r="E47" t="s">
        <v>668</v>
      </c>
      <c r="F47" t="s">
        <v>717</v>
      </c>
    </row>
    <row r="48" spans="5:18">
      <c r="E48" t="s">
        <v>668</v>
      </c>
      <c r="F48" t="s">
        <v>727</v>
      </c>
    </row>
    <row r="49" spans="5:6">
      <c r="E49" t="s">
        <v>668</v>
      </c>
      <c r="F49" t="s">
        <v>737</v>
      </c>
    </row>
    <row r="50" spans="5:6">
      <c r="E50" t="s">
        <v>668</v>
      </c>
      <c r="F50" t="s">
        <v>747</v>
      </c>
    </row>
    <row r="51" spans="5:6">
      <c r="E51" t="s">
        <v>668</v>
      </c>
      <c r="F51" t="s">
        <v>757</v>
      </c>
    </row>
    <row r="52" spans="5:6">
      <c r="E52" t="s">
        <v>691</v>
      </c>
      <c r="F52" t="s">
        <v>718</v>
      </c>
    </row>
    <row r="53" spans="5:6">
      <c r="E53" t="s">
        <v>691</v>
      </c>
      <c r="F53" t="s">
        <v>728</v>
      </c>
    </row>
    <row r="54" spans="5:6">
      <c r="E54" t="s">
        <v>691</v>
      </c>
      <c r="F54" t="s">
        <v>738</v>
      </c>
    </row>
    <row r="55" spans="5:6">
      <c r="E55" t="s">
        <v>691</v>
      </c>
      <c r="F55" t="s">
        <v>748</v>
      </c>
    </row>
    <row r="56" spans="5:6">
      <c r="E56" t="s">
        <v>691</v>
      </c>
      <c r="F56" t="s">
        <v>758</v>
      </c>
    </row>
    <row r="57" spans="5:6">
      <c r="E57" t="s">
        <v>691</v>
      </c>
      <c r="F57" t="s">
        <v>767</v>
      </c>
    </row>
    <row r="58" spans="5:6">
      <c r="E58" t="s">
        <v>691</v>
      </c>
      <c r="F58" t="s">
        <v>775</v>
      </c>
    </row>
    <row r="59" spans="5:6">
      <c r="E59" t="s">
        <v>691</v>
      </c>
      <c r="F59" t="s">
        <v>783</v>
      </c>
    </row>
    <row r="60" spans="5:6">
      <c r="E60" t="s">
        <v>691</v>
      </c>
      <c r="F60" t="s">
        <v>791</v>
      </c>
    </row>
    <row r="61" spans="5:6">
      <c r="E61" t="s">
        <v>691</v>
      </c>
      <c r="F61" t="s">
        <v>798</v>
      </c>
    </row>
    <row r="62" spans="5:6">
      <c r="E62" t="s">
        <v>691</v>
      </c>
      <c r="F62" t="s">
        <v>805</v>
      </c>
    </row>
    <row r="63" spans="5:6">
      <c r="E63" t="s">
        <v>691</v>
      </c>
      <c r="F63" t="s">
        <v>811</v>
      </c>
    </row>
    <row r="64" spans="5:6">
      <c r="E64" t="s">
        <v>691</v>
      </c>
      <c r="F64" t="s">
        <v>815</v>
      </c>
    </row>
    <row r="65" spans="5:6">
      <c r="E65" t="s">
        <v>694</v>
      </c>
      <c r="F65" t="s">
        <v>719</v>
      </c>
    </row>
    <row r="66" spans="5:6">
      <c r="E66" t="s">
        <v>694</v>
      </c>
      <c r="F66" t="s">
        <v>729</v>
      </c>
    </row>
    <row r="67" spans="5:6">
      <c r="E67" t="s">
        <v>694</v>
      </c>
      <c r="F67" t="s">
        <v>739</v>
      </c>
    </row>
    <row r="68" spans="5:6">
      <c r="E68" t="s">
        <v>694</v>
      </c>
      <c r="F68" t="s">
        <v>749</v>
      </c>
    </row>
    <row r="69" spans="5:6">
      <c r="E69" t="s">
        <v>694</v>
      </c>
      <c r="F69" t="s">
        <v>759</v>
      </c>
    </row>
    <row r="70" spans="5:6">
      <c r="E70" t="s">
        <v>694</v>
      </c>
      <c r="F70" t="s">
        <v>768</v>
      </c>
    </row>
    <row r="71" spans="5:6">
      <c r="E71" t="s">
        <v>694</v>
      </c>
      <c r="F71" t="s">
        <v>776</v>
      </c>
    </row>
    <row r="72" spans="5:6">
      <c r="E72" t="s">
        <v>694</v>
      </c>
      <c r="F72" t="s">
        <v>784</v>
      </c>
    </row>
    <row r="73" spans="5:6">
      <c r="E73" t="s">
        <v>694</v>
      </c>
      <c r="F73" t="s">
        <v>792</v>
      </c>
    </row>
    <row r="74" spans="5:6">
      <c r="E74" t="s">
        <v>694</v>
      </c>
      <c r="F74" t="s">
        <v>799</v>
      </c>
    </row>
    <row r="75" spans="5:6">
      <c r="E75" t="s">
        <v>697</v>
      </c>
      <c r="F75" t="s">
        <v>720</v>
      </c>
    </row>
    <row r="76" spans="5:6">
      <c r="E76" t="s">
        <v>697</v>
      </c>
      <c r="F76" t="s">
        <v>730</v>
      </c>
    </row>
    <row r="77" spans="5:6">
      <c r="E77" t="s">
        <v>697</v>
      </c>
      <c r="F77" t="s">
        <v>740</v>
      </c>
    </row>
    <row r="78" spans="5:6">
      <c r="E78" t="s">
        <v>697</v>
      </c>
      <c r="F78" t="s">
        <v>750</v>
      </c>
    </row>
    <row r="79" spans="5:6">
      <c r="E79" t="s">
        <v>697</v>
      </c>
      <c r="F79" t="s">
        <v>760</v>
      </c>
    </row>
    <row r="80" spans="5:6">
      <c r="E80" t="s">
        <v>697</v>
      </c>
      <c r="F80" t="s">
        <v>769</v>
      </c>
    </row>
    <row r="81" spans="5:6">
      <c r="E81" t="s">
        <v>697</v>
      </c>
      <c r="F81" t="s">
        <v>777</v>
      </c>
    </row>
    <row r="82" spans="5:6">
      <c r="E82" t="s">
        <v>697</v>
      </c>
      <c r="F82" t="s">
        <v>785</v>
      </c>
    </row>
    <row r="83" spans="5:6">
      <c r="E83" t="s">
        <v>697</v>
      </c>
      <c r="F83" t="s">
        <v>793</v>
      </c>
    </row>
    <row r="84" spans="5:6">
      <c r="E84" t="s">
        <v>697</v>
      </c>
      <c r="F84" t="s">
        <v>800</v>
      </c>
    </row>
    <row r="85" spans="5:6">
      <c r="E85" t="s">
        <v>697</v>
      </c>
      <c r="F85" t="s">
        <v>806</v>
      </c>
    </row>
    <row r="86" spans="5:6">
      <c r="E86" t="s">
        <v>697</v>
      </c>
      <c r="F86" t="s">
        <v>812</v>
      </c>
    </row>
    <row r="87" spans="5:6">
      <c r="E87" t="s">
        <v>697</v>
      </c>
      <c r="F87" t="s">
        <v>816</v>
      </c>
    </row>
    <row r="88" spans="5:6">
      <c r="E88" t="s">
        <v>697</v>
      </c>
      <c r="F88" t="s">
        <v>819</v>
      </c>
    </row>
    <row r="89" spans="5:6">
      <c r="E89" t="s">
        <v>697</v>
      </c>
      <c r="F89" t="s">
        <v>821</v>
      </c>
    </row>
    <row r="90" spans="5:6">
      <c r="E90" t="s">
        <v>697</v>
      </c>
      <c r="F90" t="s">
        <v>822</v>
      </c>
    </row>
    <row r="91" spans="5:6">
      <c r="E91" t="s">
        <v>697</v>
      </c>
      <c r="F91" t="s">
        <v>823</v>
      </c>
    </row>
    <row r="92" spans="5:6">
      <c r="E92" t="s">
        <v>699</v>
      </c>
      <c r="F92" t="s">
        <v>721</v>
      </c>
    </row>
    <row r="93" spans="5:6">
      <c r="E93" t="s">
        <v>699</v>
      </c>
      <c r="F93" t="s">
        <v>731</v>
      </c>
    </row>
    <row r="94" spans="5:6">
      <c r="E94" t="s">
        <v>699</v>
      </c>
      <c r="F94" t="s">
        <v>741</v>
      </c>
    </row>
    <row r="95" spans="5:6">
      <c r="E95" t="s">
        <v>699</v>
      </c>
      <c r="F95" t="s">
        <v>751</v>
      </c>
    </row>
    <row r="96" spans="5:6">
      <c r="E96" t="s">
        <v>699</v>
      </c>
      <c r="F96" t="s">
        <v>761</v>
      </c>
    </row>
    <row r="97" spans="5:6">
      <c r="E97" t="s">
        <v>699</v>
      </c>
      <c r="F97" t="s">
        <v>770</v>
      </c>
    </row>
    <row r="98" spans="5:6">
      <c r="E98" t="s">
        <v>699</v>
      </c>
      <c r="F98" t="s">
        <v>778</v>
      </c>
    </row>
    <row r="99" spans="5:6">
      <c r="E99" t="s">
        <v>699</v>
      </c>
      <c r="F99" t="s">
        <v>786</v>
      </c>
    </row>
    <row r="100" spans="5:6">
      <c r="E100" t="s">
        <v>699</v>
      </c>
      <c r="F100" t="s">
        <v>794</v>
      </c>
    </row>
    <row r="101" spans="5:6">
      <c r="E101" t="s">
        <v>699</v>
      </c>
      <c r="F101" t="s">
        <v>801</v>
      </c>
    </row>
    <row r="102" spans="5:6">
      <c r="E102" t="s">
        <v>699</v>
      </c>
      <c r="F102" t="s">
        <v>807</v>
      </c>
    </row>
    <row r="103" spans="5:6">
      <c r="E103" t="s">
        <v>699</v>
      </c>
      <c r="F103" t="s">
        <v>813</v>
      </c>
    </row>
    <row r="104" spans="5:6">
      <c r="E104" t="s">
        <v>699</v>
      </c>
      <c r="F104" t="s">
        <v>817</v>
      </c>
    </row>
    <row r="105" spans="5:6">
      <c r="E105" t="s">
        <v>702</v>
      </c>
      <c r="F105" t="s">
        <v>722</v>
      </c>
    </row>
    <row r="106" spans="5:6">
      <c r="E106" t="s">
        <v>702</v>
      </c>
      <c r="F106" t="s">
        <v>732</v>
      </c>
    </row>
    <row r="107" spans="5:6">
      <c r="E107" t="s">
        <v>702</v>
      </c>
      <c r="F107" t="s">
        <v>742</v>
      </c>
    </row>
    <row r="108" spans="5:6">
      <c r="E108" t="s">
        <v>702</v>
      </c>
      <c r="F108" t="s">
        <v>752</v>
      </c>
    </row>
    <row r="109" spans="5:6">
      <c r="E109" t="s">
        <v>702</v>
      </c>
      <c r="F109" t="s">
        <v>762</v>
      </c>
    </row>
    <row r="110" spans="5:6">
      <c r="E110" t="s">
        <v>702</v>
      </c>
      <c r="F110" t="s">
        <v>771</v>
      </c>
    </row>
    <row r="111" spans="5:6">
      <c r="E111" t="s">
        <v>702</v>
      </c>
      <c r="F111" t="s">
        <v>779</v>
      </c>
    </row>
    <row r="112" spans="5:6">
      <c r="E112" t="s">
        <v>702</v>
      </c>
      <c r="F112" t="s">
        <v>787</v>
      </c>
    </row>
    <row r="113" spans="5:6">
      <c r="E113" t="s">
        <v>702</v>
      </c>
      <c r="F113" t="s">
        <v>795</v>
      </c>
    </row>
    <row r="114" spans="5:6">
      <c r="E114" t="s">
        <v>702</v>
      </c>
      <c r="F114" t="s">
        <v>802</v>
      </c>
    </row>
    <row r="115" spans="5:6">
      <c r="E115" t="s">
        <v>702</v>
      </c>
      <c r="F115" t="s">
        <v>808</v>
      </c>
    </row>
    <row r="116" spans="5:6">
      <c r="E116" t="s">
        <v>705</v>
      </c>
      <c r="F116" t="s">
        <v>723</v>
      </c>
    </row>
    <row r="117" spans="5:6">
      <c r="E117" t="s">
        <v>705</v>
      </c>
      <c r="F117" t="s">
        <v>733</v>
      </c>
    </row>
    <row r="118" spans="5:6">
      <c r="E118" t="s">
        <v>705</v>
      </c>
      <c r="F118" t="s">
        <v>743</v>
      </c>
    </row>
    <row r="119" spans="5:6">
      <c r="E119" t="s">
        <v>705</v>
      </c>
      <c r="F119" t="s">
        <v>753</v>
      </c>
    </row>
    <row r="120" spans="5:6">
      <c r="E120" t="s">
        <v>705</v>
      </c>
      <c r="F120" t="s">
        <v>763</v>
      </c>
    </row>
    <row r="121" spans="5:6">
      <c r="E121" t="s">
        <v>705</v>
      </c>
      <c r="F121" t="s">
        <v>772</v>
      </c>
    </row>
    <row r="122" spans="5:6">
      <c r="E122" t="s">
        <v>705</v>
      </c>
      <c r="F122" t="s">
        <v>780</v>
      </c>
    </row>
    <row r="123" spans="5:6">
      <c r="E123" t="s">
        <v>705</v>
      </c>
      <c r="F123" t="s">
        <v>788</v>
      </c>
    </row>
    <row r="124" spans="5:6">
      <c r="E124" t="s">
        <v>708</v>
      </c>
      <c r="F124" t="s">
        <v>724</v>
      </c>
    </row>
    <row r="125" spans="5:6">
      <c r="E125" t="s">
        <v>708</v>
      </c>
      <c r="F125" t="s">
        <v>734</v>
      </c>
    </row>
    <row r="126" spans="5:6">
      <c r="E126" t="s">
        <v>708</v>
      </c>
      <c r="F126" t="s">
        <v>744</v>
      </c>
    </row>
    <row r="127" spans="5:6">
      <c r="E127" t="s">
        <v>708</v>
      </c>
      <c r="F127" t="s">
        <v>754</v>
      </c>
    </row>
    <row r="128" spans="5:6">
      <c r="E128" t="s">
        <v>708</v>
      </c>
      <c r="F128" t="s">
        <v>764</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E4E33FEE-1117-4802-A5BB-FA073D1C6E04}"/>
</file>

<file path=customXml/itemProps3.xml><?xml version="1.0" encoding="utf-8"?>
<ds:datastoreItem xmlns:ds="http://schemas.openxmlformats.org/officeDocument/2006/customXml" ds:itemID="{A3F17B55-3281-4CE6-B06D-DCB6D8A1EDFC}"/>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2025-01-20T17:16:16Z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