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threadedComments/threadedComment2.xml" ContentType="application/vnd.ms-excel.threaded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Pre-restructuring OPs/Industrials 1 - TL Damião Ribeiro/Daikin (6367)/"/>
    </mc:Choice>
  </mc:AlternateContent>
  <xr:revisionPtr revIDLastSave="35" documentId="14_{8CAA1D4D-9AE9-4DD9-9C26-9BAAA3692AA1}" xr6:coauthVersionLast="47" xr6:coauthVersionMax="47" xr10:uidLastSave="{DD5BFAAB-4F8B-48B5-B29B-98D65A744693}"/>
  <bookViews>
    <workbookView xWindow="0" yWindow="0" windowWidth="28800" windowHeight="18000" tabRatio="644" firstSheet="5" activeTab="5" xr2:uid="{00000000-000D-0000-FFFF-FFFF00000000}"/>
  </bookViews>
  <sheets>
    <sheet name="OP" sheetId="1" r:id="rId1"/>
    <sheet name="Segments" sheetId="3" r:id="rId2"/>
    <sheet name="Acuerdo" sheetId="11" state="hidden" r:id="rId3"/>
    <sheet name="Peers" sheetId="10" r:id="rId4"/>
    <sheet name="ESG" sheetId="23" r:id="rId5"/>
    <sheet name="DCF" sheetId="4" r:id="rId6"/>
    <sheet name="Assumptions" sheetId="22" r:id="rId7"/>
    <sheet name="Fin. Data" sheetId="16" r:id="rId8"/>
    <sheet name="Fin. Data (Common Size)" sheetId="20" r:id="rId9"/>
    <sheet name="Inputs" sheetId="17" r:id="rId10"/>
    <sheet name="Sector Impact" sheetId="18" state="hidden" r:id="rId11"/>
  </sheets>
  <externalReferences>
    <externalReference r:id="rId12"/>
  </externalReferences>
  <definedNames>
    <definedName name="_xlnm.Print_Area" localSheetId="0">OP!$A$1:$M$81</definedName>
    <definedName name="_xlnm.Print_Area" localSheetId="1">Segments!#REF!</definedName>
    <definedName name="Sectors" localSheetId="4">'[1]Sector Impact'!$K$4:$K$16</definedName>
    <definedName name="Sectors">'Sector Impact'!$K$4:$K$16</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1" l="1"/>
  <c r="Q46" i="1"/>
  <c r="M38" i="1"/>
  <c r="G21" i="4"/>
  <c r="C21" i="10"/>
  <c r="F19" i="4"/>
  <c r="AF28" i="4"/>
  <c r="K44" i="4"/>
  <c r="G41" i="4"/>
  <c r="H41" i="4" s="1"/>
  <c r="F34" i="4"/>
  <c r="G12" i="4"/>
  <c r="D58" i="4"/>
  <c r="C37" i="22"/>
  <c r="D36" i="10" l="1"/>
  <c r="E36" i="10"/>
  <c r="F36" i="10"/>
  <c r="G36" i="10"/>
  <c r="D35" i="10"/>
  <c r="E35" i="10"/>
  <c r="F35" i="10"/>
  <c r="G35" i="10"/>
  <c r="F50" i="10"/>
  <c r="G74" i="10"/>
  <c r="G16" i="10"/>
  <c r="G50" i="10"/>
  <c r="B70" i="3"/>
  <c r="U51" i="3"/>
  <c r="V51" i="3"/>
  <c r="W51" i="3"/>
  <c r="X51" i="3"/>
  <c r="T51" i="3"/>
  <c r="E43" i="22" l="1"/>
  <c r="F43" i="22"/>
  <c r="F42" i="22"/>
  <c r="F39" i="4"/>
  <c r="M9" i="17"/>
  <c r="L9" i="17"/>
  <c r="K9" i="17"/>
  <c r="J9" i="17"/>
  <c r="I9" i="17"/>
  <c r="H9" i="17"/>
  <c r="G9" i="17"/>
  <c r="F10" i="17"/>
  <c r="E9" i="17"/>
  <c r="D10" i="17"/>
  <c r="C9" i="17"/>
  <c r="B9" i="17"/>
  <c r="C58" i="10"/>
  <c r="H48" i="10"/>
  <c r="F48" i="10"/>
  <c r="G48" i="10"/>
  <c r="E48" i="10"/>
  <c r="D48" i="10"/>
  <c r="C48" i="10"/>
  <c r="D43" i="22"/>
  <c r="E42" i="22"/>
  <c r="D42" i="22"/>
  <c r="B13" i="17" l="1"/>
  <c r="B39" i="16"/>
  <c r="C47" i="17"/>
  <c r="B47" i="17"/>
  <c r="D47" i="17"/>
  <c r="E47" i="17"/>
  <c r="F47" i="17"/>
  <c r="G47" i="17"/>
  <c r="H47" i="17"/>
  <c r="I47" i="17"/>
  <c r="J47" i="17"/>
  <c r="K47" i="17"/>
  <c r="L47" i="17"/>
  <c r="M47" i="17"/>
  <c r="B50" i="17"/>
  <c r="C50" i="17"/>
  <c r="D50" i="17"/>
  <c r="E50" i="17"/>
  <c r="F50" i="17"/>
  <c r="G50" i="17"/>
  <c r="H50" i="17"/>
  <c r="I50" i="17"/>
  <c r="J50" i="17"/>
  <c r="K50" i="17"/>
  <c r="L50" i="17"/>
  <c r="M50" i="17"/>
  <c r="L11" i="23"/>
  <c r="P11" i="23"/>
  <c r="M17" i="1"/>
  <c r="P4" i="23" l="1"/>
  <c r="M15" i="23"/>
  <c r="M14" i="23"/>
  <c r="O4" i="23"/>
  <c r="N4" i="23"/>
  <c r="M4" i="23"/>
  <c r="X83" i="23"/>
  <c r="Y83" i="23"/>
  <c r="W83" i="23"/>
  <c r="N83" i="23"/>
  <c r="O83" i="23"/>
  <c r="M83" i="23"/>
  <c r="X66" i="23"/>
  <c r="Y66" i="23"/>
  <c r="W66" i="23"/>
  <c r="N66" i="23"/>
  <c r="O66" i="23"/>
  <c r="M66" i="23"/>
  <c r="O49" i="23"/>
  <c r="Y64" i="23" s="1"/>
  <c r="N49" i="23"/>
  <c r="X64" i="23" s="1"/>
  <c r="M49" i="23"/>
  <c r="O48" i="23"/>
  <c r="Y62" i="23" s="1"/>
  <c r="N48" i="23"/>
  <c r="X62" i="23" s="1"/>
  <c r="M48" i="23"/>
  <c r="O47" i="23"/>
  <c r="O77" i="23" s="1"/>
  <c r="N47" i="23"/>
  <c r="N77" i="23" s="1"/>
  <c r="M47" i="23"/>
  <c r="M77" i="23" l="1"/>
  <c r="M11" i="23"/>
  <c r="M79" i="23"/>
  <c r="N11" i="23"/>
  <c r="W81" i="23"/>
  <c r="O11" i="23"/>
  <c r="M64" i="23"/>
  <c r="M81" i="23"/>
  <c r="W77" i="23"/>
  <c r="O81" i="23"/>
  <c r="W64" i="23"/>
  <c r="N81" i="23"/>
  <c r="O79" i="23"/>
  <c r="Y79" i="23"/>
  <c r="N79" i="23"/>
  <c r="W79" i="23"/>
  <c r="X79" i="23"/>
  <c r="Y81" i="23"/>
  <c r="Y77" i="23"/>
  <c r="X81" i="23"/>
  <c r="X77" i="23"/>
  <c r="N64" i="23"/>
  <c r="O60" i="23"/>
  <c r="Y60" i="23"/>
  <c r="M60" i="23"/>
  <c r="N60" i="23"/>
  <c r="O62" i="23"/>
  <c r="W60" i="23"/>
  <c r="X60" i="23"/>
  <c r="M62" i="23"/>
  <c r="N62" i="23"/>
  <c r="O64" i="23"/>
  <c r="W62" i="23"/>
  <c r="D21" i="10"/>
  <c r="AE74" i="23" l="1"/>
  <c r="AD74" i="23"/>
  <c r="AC74" i="23"/>
  <c r="AB74" i="23"/>
  <c r="AA75" i="23"/>
  <c r="Z75" i="23"/>
  <c r="Y75" i="23"/>
  <c r="X75" i="23"/>
  <c r="W75" i="23"/>
  <c r="U74" i="23"/>
  <c r="T74" i="23"/>
  <c r="S74" i="23"/>
  <c r="R74" i="23"/>
  <c r="Q75" i="23"/>
  <c r="P75" i="23"/>
  <c r="O75" i="23"/>
  <c r="N75" i="23"/>
  <c r="M75" i="23"/>
  <c r="AE57" i="23"/>
  <c r="AD57" i="23"/>
  <c r="AC57" i="23"/>
  <c r="AB57" i="23"/>
  <c r="AA58" i="23"/>
  <c r="Z58" i="23"/>
  <c r="Y58" i="23"/>
  <c r="X58" i="23"/>
  <c r="W58" i="23"/>
  <c r="U57" i="23"/>
  <c r="T57" i="23"/>
  <c r="S57" i="23"/>
  <c r="R57" i="23"/>
  <c r="Q58" i="23"/>
  <c r="P58" i="23"/>
  <c r="O58" i="23"/>
  <c r="N58" i="23"/>
  <c r="M58" i="23"/>
  <c r="C22" i="23"/>
  <c r="C21" i="23"/>
  <c r="C20" i="23"/>
  <c r="C19" i="23"/>
  <c r="C18" i="23"/>
  <c r="C17" i="23"/>
  <c r="C16" i="23"/>
  <c r="P15" i="23"/>
  <c r="P9" i="23" s="1"/>
  <c r="O15" i="23"/>
  <c r="N15" i="23"/>
  <c r="C15" i="23"/>
  <c r="P14" i="23"/>
  <c r="P8" i="23" s="1"/>
  <c r="O14" i="23"/>
  <c r="N14" i="23"/>
  <c r="C14" i="23"/>
  <c r="P13" i="23"/>
  <c r="P7" i="23" s="1"/>
  <c r="O13" i="23"/>
  <c r="N13" i="23"/>
  <c r="M13" i="23"/>
  <c r="C13" i="23"/>
  <c r="P12" i="23"/>
  <c r="O12" i="23"/>
  <c r="N12" i="23"/>
  <c r="M12" i="23"/>
  <c r="C12" i="23"/>
  <c r="N8" i="23"/>
  <c r="C10" i="23"/>
  <c r="L9" i="23"/>
  <c r="C9" i="23"/>
  <c r="L8" i="23"/>
  <c r="C8" i="23"/>
  <c r="O7" i="23"/>
  <c r="L7" i="23"/>
  <c r="C7" i="23"/>
  <c r="P6" i="23"/>
  <c r="L6" i="23"/>
  <c r="C6" i="23"/>
  <c r="O9" i="23" l="1"/>
  <c r="N9" i="23"/>
  <c r="O6" i="23"/>
  <c r="N7" i="23"/>
  <c r="O8" i="23"/>
  <c r="M6" i="23"/>
  <c r="N6" i="23"/>
  <c r="M7" i="23"/>
  <c r="M9" i="23"/>
  <c r="M8" i="23"/>
  <c r="C42" i="22" l="1"/>
  <c r="G42" i="22"/>
  <c r="G46" i="22" s="1"/>
  <c r="G45" i="22"/>
  <c r="G41" i="22"/>
  <c r="F41" i="22"/>
  <c r="E41" i="22"/>
  <c r="D41" i="22"/>
  <c r="E57" i="4"/>
  <c r="AF7" i="4"/>
  <c r="M7" i="4"/>
  <c r="N7" i="4"/>
  <c r="O7" i="4"/>
  <c r="P7" i="4"/>
  <c r="Q7" i="4"/>
  <c r="R7" i="4"/>
  <c r="S7" i="4"/>
  <c r="T7" i="4"/>
  <c r="U7" i="4"/>
  <c r="V7" i="4"/>
  <c r="W7" i="4"/>
  <c r="X7" i="4"/>
  <c r="Y7" i="4"/>
  <c r="Z7" i="4"/>
  <c r="AA7" i="4"/>
  <c r="AB7" i="4"/>
  <c r="AC7" i="4"/>
  <c r="AD7" i="4"/>
  <c r="AE7" i="4"/>
  <c r="L7" i="4"/>
  <c r="D37" i="22"/>
  <c r="E37" i="22"/>
  <c r="F37" i="22"/>
  <c r="I37" i="22" s="1"/>
  <c r="D60" i="4" s="1"/>
  <c r="G37" i="22"/>
  <c r="D23" i="22"/>
  <c r="E23" i="22"/>
  <c r="D22" i="4"/>
  <c r="D19" i="4" s="1"/>
  <c r="C23" i="22"/>
  <c r="G22" i="22"/>
  <c r="E22" i="4"/>
  <c r="E19" i="4" s="1"/>
  <c r="F22" i="4"/>
  <c r="D33" i="22"/>
  <c r="D35" i="22" s="1"/>
  <c r="E33" i="22"/>
  <c r="E35" i="22"/>
  <c r="F33" i="22"/>
  <c r="F35" i="22" s="1"/>
  <c r="G33" i="22"/>
  <c r="G35" i="22" s="1"/>
  <c r="C33" i="22"/>
  <c r="C35" i="22" s="1"/>
  <c r="I34" i="22" s="1"/>
  <c r="D66" i="4" s="1"/>
  <c r="G31" i="22"/>
  <c r="F31" i="22"/>
  <c r="E31" i="22"/>
  <c r="D31" i="22"/>
  <c r="C31" i="22"/>
  <c r="I30" i="22"/>
  <c r="D63" i="4" s="1"/>
  <c r="D57" i="4"/>
  <c r="D27" i="22"/>
  <c r="E27" i="22"/>
  <c r="C27" i="22"/>
  <c r="G26" i="22"/>
  <c r="D15" i="22"/>
  <c r="E15" i="22"/>
  <c r="F15" i="22"/>
  <c r="G15" i="22"/>
  <c r="C15" i="22"/>
  <c r="I14" i="22" s="1"/>
  <c r="D62" i="4"/>
  <c r="G23" i="4" s="1"/>
  <c r="E10" i="22"/>
  <c r="G7" i="22"/>
  <c r="D50" i="4"/>
  <c r="J6" i="4"/>
  <c r="K6" i="4" s="1"/>
  <c r="H37" i="10"/>
  <c r="G79" i="16"/>
  <c r="F46" i="1"/>
  <c r="F47" i="1"/>
  <c r="F48" i="1"/>
  <c r="F49" i="1"/>
  <c r="F50" i="1"/>
  <c r="F51" i="1"/>
  <c r="F52" i="1"/>
  <c r="F53" i="1"/>
  <c r="C2" i="22"/>
  <c r="C44" i="10"/>
  <c r="C46" i="10" s="1"/>
  <c r="G44" i="10"/>
  <c r="G46" i="10"/>
  <c r="G43" i="10"/>
  <c r="G42" i="10"/>
  <c r="E33" i="10"/>
  <c r="F33" i="10"/>
  <c r="G33" i="10"/>
  <c r="C38" i="10"/>
  <c r="D30" i="10"/>
  <c r="E30" i="10"/>
  <c r="F30" i="10"/>
  <c r="G30" i="10"/>
  <c r="D29" i="10"/>
  <c r="E29" i="10"/>
  <c r="F29" i="10"/>
  <c r="G29" i="10"/>
  <c r="D27" i="10"/>
  <c r="E27" i="10"/>
  <c r="F27" i="10"/>
  <c r="G27" i="10"/>
  <c r="D20" i="10"/>
  <c r="E20" i="10"/>
  <c r="F20" i="10"/>
  <c r="G20" i="10"/>
  <c r="D16" i="10"/>
  <c r="E16" i="10"/>
  <c r="F16" i="10"/>
  <c r="D15" i="10"/>
  <c r="E15" i="10"/>
  <c r="F15" i="10"/>
  <c r="G15" i="10"/>
  <c r="D14" i="10"/>
  <c r="E14" i="10"/>
  <c r="F14" i="10"/>
  <c r="G14" i="10"/>
  <c r="D13" i="10"/>
  <c r="E13" i="10"/>
  <c r="F13" i="10"/>
  <c r="G13" i="10"/>
  <c r="F12" i="10"/>
  <c r="G12" i="10"/>
  <c r="E12" i="10"/>
  <c r="D12" i="10"/>
  <c r="D33" i="10"/>
  <c r="B5" i="16"/>
  <c r="E44" i="10" a="1"/>
  <c r="E44" i="10" s="1"/>
  <c r="F44" i="10" a="1"/>
  <c r="F44" i="10" s="1"/>
  <c r="F42" i="10" s="1"/>
  <c r="D44" i="10" a="1"/>
  <c r="D44" i="10" s="1"/>
  <c r="E10" i="10"/>
  <c r="E49" i="10" s="1"/>
  <c r="F10" i="10"/>
  <c r="F49" i="10" s="1"/>
  <c r="G10" i="10"/>
  <c r="D10" i="10"/>
  <c r="D49" i="10" s="1"/>
  <c r="B81" i="17"/>
  <c r="B18" i="16"/>
  <c r="AQ95" i="17"/>
  <c r="AR95" i="17"/>
  <c r="AS95" i="17"/>
  <c r="AT95" i="17"/>
  <c r="AU95" i="17"/>
  <c r="AV95" i="17"/>
  <c r="AW95" i="17"/>
  <c r="AX95" i="17"/>
  <c r="AY95" i="17"/>
  <c r="AZ95" i="17"/>
  <c r="BA95" i="17"/>
  <c r="AP95" i="17"/>
  <c r="AQ94" i="17"/>
  <c r="AR94" i="17"/>
  <c r="AS94" i="17"/>
  <c r="AT94" i="17"/>
  <c r="AU94" i="17"/>
  <c r="AV94" i="17"/>
  <c r="AW94" i="17"/>
  <c r="AX94" i="17"/>
  <c r="AY94" i="17"/>
  <c r="AZ94" i="17"/>
  <c r="BA94" i="17"/>
  <c r="AP94" i="17"/>
  <c r="L106" i="1"/>
  <c r="K106" i="1"/>
  <c r="J106" i="1"/>
  <c r="I106" i="1"/>
  <c r="AL79" i="17"/>
  <c r="AM79" i="17"/>
  <c r="AN79" i="17"/>
  <c r="AO79" i="17"/>
  <c r="AP79" i="17"/>
  <c r="AQ79" i="17"/>
  <c r="AR79" i="17"/>
  <c r="AS79" i="17"/>
  <c r="AT79" i="17"/>
  <c r="AU79" i="17"/>
  <c r="AV79" i="17"/>
  <c r="AK79" i="17"/>
  <c r="C63" i="17"/>
  <c r="F6" i="4"/>
  <c r="E6" i="4"/>
  <c r="D6" i="4"/>
  <c r="AK14" i="17"/>
  <c r="AL14" i="17"/>
  <c r="AM14" i="17"/>
  <c r="AN14" i="17"/>
  <c r="AO14" i="17"/>
  <c r="AP14" i="17"/>
  <c r="AQ14" i="17"/>
  <c r="AR14" i="17"/>
  <c r="AS14" i="17"/>
  <c r="AT14" i="17"/>
  <c r="AU14" i="17"/>
  <c r="AV14" i="17"/>
  <c r="AJ14" i="17"/>
  <c r="B77" i="17"/>
  <c r="B75" i="17"/>
  <c r="B67" i="17"/>
  <c r="B63" i="17"/>
  <c r="B46" i="17"/>
  <c r="B32" i="17"/>
  <c r="B36" i="17"/>
  <c r="B31" i="17"/>
  <c r="B23" i="17"/>
  <c r="B14" i="17"/>
  <c r="C13" i="17"/>
  <c r="C14" i="17" s="1"/>
  <c r="D13" i="17"/>
  <c r="D14" i="17" s="1"/>
  <c r="E13" i="17"/>
  <c r="E14" i="17" s="1"/>
  <c r="F13" i="17"/>
  <c r="F14" i="17" s="1"/>
  <c r="G13" i="17"/>
  <c r="G14" i="17" s="1"/>
  <c r="H13" i="17"/>
  <c r="H14" i="17" s="1"/>
  <c r="I13" i="17"/>
  <c r="I14" i="17" s="1"/>
  <c r="J13" i="17"/>
  <c r="J14" i="17" s="1"/>
  <c r="K13" i="17"/>
  <c r="K14" i="17" s="1"/>
  <c r="L13" i="17"/>
  <c r="L14" i="17" s="1"/>
  <c r="M13" i="17"/>
  <c r="M14" i="17" s="1"/>
  <c r="C23" i="17"/>
  <c r="D23" i="17"/>
  <c r="C22" i="17"/>
  <c r="E23" i="17"/>
  <c r="F23" i="17"/>
  <c r="G23" i="17"/>
  <c r="F22" i="17"/>
  <c r="H23" i="17"/>
  <c r="I23" i="17"/>
  <c r="J23" i="17"/>
  <c r="K23" i="17"/>
  <c r="J22" i="17"/>
  <c r="L23" i="17"/>
  <c r="K22" i="17"/>
  <c r="M23" i="17"/>
  <c r="M22" i="17"/>
  <c r="C31" i="17"/>
  <c r="D31" i="17"/>
  <c r="E31" i="17"/>
  <c r="F31" i="17"/>
  <c r="G31" i="17"/>
  <c r="H31" i="17"/>
  <c r="I31" i="17"/>
  <c r="J31" i="17"/>
  <c r="K31" i="17"/>
  <c r="L31" i="17"/>
  <c r="M31" i="17"/>
  <c r="C32" i="17"/>
  <c r="C36" i="17"/>
  <c r="D32" i="17"/>
  <c r="E32" i="17"/>
  <c r="E36" i="17"/>
  <c r="F32" i="17"/>
  <c r="F36" i="17"/>
  <c r="G32" i="17"/>
  <c r="G36" i="17"/>
  <c r="G37" i="17"/>
  <c r="H32" i="17"/>
  <c r="I32" i="17"/>
  <c r="I36" i="17"/>
  <c r="J32" i="17"/>
  <c r="J36" i="17"/>
  <c r="K32" i="17"/>
  <c r="K36" i="17"/>
  <c r="L32" i="17"/>
  <c r="M32" i="17"/>
  <c r="M36" i="17"/>
  <c r="D36" i="17"/>
  <c r="H36" i="17"/>
  <c r="H37" i="17"/>
  <c r="L36" i="17"/>
  <c r="C46" i="17"/>
  <c r="D46" i="17"/>
  <c r="E46" i="17"/>
  <c r="F46" i="17"/>
  <c r="G46" i="17"/>
  <c r="H46" i="17"/>
  <c r="I46" i="17"/>
  <c r="J46" i="17"/>
  <c r="K46" i="17"/>
  <c r="L46" i="17"/>
  <c r="M46" i="17"/>
  <c r="D63" i="17"/>
  <c r="E63" i="17"/>
  <c r="F63" i="17"/>
  <c r="G63" i="17"/>
  <c r="H63" i="17"/>
  <c r="I63" i="17"/>
  <c r="J63" i="17"/>
  <c r="K63" i="17"/>
  <c r="L63" i="17"/>
  <c r="M63" i="17"/>
  <c r="C67" i="17"/>
  <c r="D67" i="17"/>
  <c r="E67" i="17"/>
  <c r="F67" i="17"/>
  <c r="C75" i="17"/>
  <c r="D75" i="17"/>
  <c r="E75" i="17"/>
  <c r="F75" i="17"/>
  <c r="G75" i="17"/>
  <c r="H75" i="17"/>
  <c r="I75" i="17"/>
  <c r="J75" i="17"/>
  <c r="K75" i="17"/>
  <c r="L75" i="17"/>
  <c r="M75" i="17"/>
  <c r="C77" i="17"/>
  <c r="D77" i="17"/>
  <c r="E77" i="17"/>
  <c r="F77" i="17"/>
  <c r="G77" i="17"/>
  <c r="H77" i="17"/>
  <c r="I77" i="17"/>
  <c r="J77" i="17"/>
  <c r="K77" i="17"/>
  <c r="L77" i="17"/>
  <c r="M77" i="17"/>
  <c r="AY77" i="17"/>
  <c r="AY75" i="17"/>
  <c r="AY63" i="17"/>
  <c r="AY46" i="17"/>
  <c r="AY32" i="17"/>
  <c r="AY36" i="17"/>
  <c r="AY31" i="17"/>
  <c r="AY23" i="17"/>
  <c r="AY22" i="17"/>
  <c r="AY13" i="17"/>
  <c r="AY14" i="17"/>
  <c r="C3" i="10"/>
  <c r="D3" i="10" s="1" a="1"/>
  <c r="D3" i="10" s="1"/>
  <c r="AK45" i="17"/>
  <c r="AL45" i="17"/>
  <c r="AM45" i="17"/>
  <c r="AN45" i="17"/>
  <c r="AO45" i="17"/>
  <c r="AP45" i="17"/>
  <c r="AQ45" i="17"/>
  <c r="AR45" i="17"/>
  <c r="AS45" i="17"/>
  <c r="AT45" i="17"/>
  <c r="AU45" i="17"/>
  <c r="AJ45" i="17"/>
  <c r="C2" i="10"/>
  <c r="D2" i="10" s="1" a="1"/>
  <c r="D2" i="10" s="1"/>
  <c r="AJ69" i="17"/>
  <c r="AK69" i="17"/>
  <c r="AL69" i="17"/>
  <c r="AM69" i="17"/>
  <c r="AN69" i="17"/>
  <c r="AO69" i="17"/>
  <c r="AP69" i="17"/>
  <c r="AQ69" i="17"/>
  <c r="AR69" i="17"/>
  <c r="AS69" i="17"/>
  <c r="AT69" i="17"/>
  <c r="AI69" i="17"/>
  <c r="AK40" i="17"/>
  <c r="AL40" i="17"/>
  <c r="AM40" i="17"/>
  <c r="AN40" i="17"/>
  <c r="AO40" i="17"/>
  <c r="AP40" i="17"/>
  <c r="AQ40" i="17"/>
  <c r="AR40" i="17"/>
  <c r="AS40" i="17"/>
  <c r="AT40" i="17"/>
  <c r="AU40" i="17"/>
  <c r="AJ40" i="17"/>
  <c r="AK35" i="17"/>
  <c r="AL35" i="17"/>
  <c r="AM35" i="17"/>
  <c r="AN35" i="17"/>
  <c r="AO35" i="17"/>
  <c r="AP35" i="17"/>
  <c r="AQ35" i="17"/>
  <c r="AR35" i="17"/>
  <c r="AS35" i="17"/>
  <c r="AT35" i="17"/>
  <c r="AU35" i="17"/>
  <c r="AJ35" i="17"/>
  <c r="H22" i="17"/>
  <c r="E22" i="17"/>
  <c r="B22" i="17"/>
  <c r="I37" i="17"/>
  <c r="L37" i="17"/>
  <c r="AY37" i="17"/>
  <c r="B37" i="17"/>
  <c r="I22" i="17"/>
  <c r="D37" i="17"/>
  <c r="J37" i="17"/>
  <c r="M37" i="17"/>
  <c r="E37" i="17"/>
  <c r="K37" i="17"/>
  <c r="C37" i="17"/>
  <c r="F37" i="17"/>
  <c r="G22" i="17"/>
  <c r="L22" i="17"/>
  <c r="D22" i="17"/>
  <c r="AJ61" i="17"/>
  <c r="AK61" i="17"/>
  <c r="AL61" i="17"/>
  <c r="AM61" i="17"/>
  <c r="AN61" i="17"/>
  <c r="AO61" i="17"/>
  <c r="AP61" i="17"/>
  <c r="AQ61" i="17"/>
  <c r="AR61" i="17"/>
  <c r="AS61" i="17"/>
  <c r="AT61" i="17"/>
  <c r="AI61" i="17"/>
  <c r="P21" i="3"/>
  <c r="P20" i="3"/>
  <c r="P19" i="3"/>
  <c r="P18" i="3"/>
  <c r="P12" i="3"/>
  <c r="P6" i="3"/>
  <c r="P10" i="3"/>
  <c r="P11" i="3"/>
  <c r="P9" i="3"/>
  <c r="P5" i="3"/>
  <c r="F28" i="1"/>
  <c r="F27" i="1"/>
  <c r="F26" i="1"/>
  <c r="F25" i="1"/>
  <c r="K20" i="3"/>
  <c r="L20" i="3"/>
  <c r="M20" i="3"/>
  <c r="N20" i="3"/>
  <c r="O20" i="3"/>
  <c r="F23" i="1"/>
  <c r="F21" i="1"/>
  <c r="F22" i="1"/>
  <c r="F20" i="1"/>
  <c r="F19" i="1"/>
  <c r="O6" i="3"/>
  <c r="O7" i="3"/>
  <c r="O8" i="3"/>
  <c r="O9" i="3"/>
  <c r="O10" i="3"/>
  <c r="O11" i="3"/>
  <c r="O12" i="3"/>
  <c r="N6" i="3"/>
  <c r="N7" i="3"/>
  <c r="N8" i="3"/>
  <c r="N9" i="3"/>
  <c r="N10" i="3"/>
  <c r="N11" i="3"/>
  <c r="N12" i="3"/>
  <c r="M6" i="3"/>
  <c r="M7" i="3"/>
  <c r="M8" i="3"/>
  <c r="M9" i="3"/>
  <c r="M10" i="3"/>
  <c r="M11" i="3"/>
  <c r="M12" i="3"/>
  <c r="L6" i="3"/>
  <c r="L7" i="3"/>
  <c r="L8" i="3"/>
  <c r="L9" i="3"/>
  <c r="L10" i="3"/>
  <c r="L11" i="3"/>
  <c r="L12" i="3"/>
  <c r="K11" i="3"/>
  <c r="K12" i="3"/>
  <c r="K6" i="3"/>
  <c r="K7" i="3"/>
  <c r="K8" i="3"/>
  <c r="K9" i="3"/>
  <c r="E2" i="1"/>
  <c r="C7" i="10" s="1"/>
  <c r="H45" i="10"/>
  <c r="G21" i="10"/>
  <c r="F21" i="10"/>
  <c r="E21" i="10"/>
  <c r="F45" i="1"/>
  <c r="G106" i="1"/>
  <c r="D21" i="4"/>
  <c r="E21" i="4"/>
  <c r="F21" i="4"/>
  <c r="D24" i="4"/>
  <c r="F50" i="4"/>
  <c r="F45" i="4" s="1"/>
  <c r="D27" i="4"/>
  <c r="E27" i="4"/>
  <c r="F27" i="4"/>
  <c r="C5" i="10"/>
  <c r="D5" i="10" s="1" a="1"/>
  <c r="D5" i="10" s="1"/>
  <c r="C4" i="10"/>
  <c r="D4" i="10" s="1" a="1"/>
  <c r="D4" i="10" s="1"/>
  <c r="F31" i="4"/>
  <c r="F25" i="4"/>
  <c r="F18" i="1"/>
  <c r="D28" i="4"/>
  <c r="E28" i="4"/>
  <c r="F28" i="4"/>
  <c r="D73" i="4"/>
  <c r="D31" i="4"/>
  <c r="E31" i="4"/>
  <c r="L18" i="3"/>
  <c r="M18" i="3"/>
  <c r="N18" i="3"/>
  <c r="O18" i="3"/>
  <c r="L19" i="3"/>
  <c r="M19" i="3"/>
  <c r="N19" i="3"/>
  <c r="O19" i="3"/>
  <c r="L21" i="3"/>
  <c r="M21" i="3"/>
  <c r="N21" i="3"/>
  <c r="O21" i="3"/>
  <c r="K19" i="3"/>
  <c r="K21" i="3"/>
  <c r="K18" i="3"/>
  <c r="O5" i="3"/>
  <c r="N5" i="3"/>
  <c r="M5" i="3"/>
  <c r="L5" i="3"/>
  <c r="K10" i="3"/>
  <c r="K5" i="3"/>
  <c r="E11" i="4"/>
  <c r="F11" i="4"/>
  <c r="D11" i="4"/>
  <c r="D25" i="4"/>
  <c r="D22" i="3"/>
  <c r="H4" i="4"/>
  <c r="I4" i="4"/>
  <c r="J4" i="4"/>
  <c r="K4" i="4"/>
  <c r="L4" i="4"/>
  <c r="M4" i="4"/>
  <c r="N4" i="4"/>
  <c r="O4" i="4"/>
  <c r="P4" i="4"/>
  <c r="Q4" i="4"/>
  <c r="R4" i="4"/>
  <c r="S4" i="4"/>
  <c r="T4" i="4"/>
  <c r="U4" i="4"/>
  <c r="V4" i="4"/>
  <c r="W4" i="4"/>
  <c r="X4" i="4"/>
  <c r="Y4" i="4"/>
  <c r="Z4" i="4"/>
  <c r="AA4" i="4"/>
  <c r="AB4" i="4"/>
  <c r="AC4" i="4"/>
  <c r="AD4" i="4"/>
  <c r="AE4" i="4"/>
  <c r="AF4" i="4"/>
  <c r="D17" i="10"/>
  <c r="E17" i="10"/>
  <c r="F17" i="10"/>
  <c r="G17" i="10"/>
  <c r="D19" i="10"/>
  <c r="E19" i="10"/>
  <c r="F19" i="10"/>
  <c r="G19" i="10"/>
  <c r="D23" i="10"/>
  <c r="E23" i="10"/>
  <c r="F23" i="10"/>
  <c r="G23" i="10"/>
  <c r="D24" i="10"/>
  <c r="E24" i="10"/>
  <c r="F24" i="10"/>
  <c r="G24" i="10"/>
  <c r="D26" i="10"/>
  <c r="E26" i="10"/>
  <c r="F26" i="10"/>
  <c r="G26" i="10"/>
  <c r="D28" i="10"/>
  <c r="E28" i="10"/>
  <c r="F28" i="10"/>
  <c r="G28" i="10"/>
  <c r="D32" i="10"/>
  <c r="E32" i="10"/>
  <c r="F32" i="10"/>
  <c r="G32" i="10"/>
  <c r="D34" i="10"/>
  <c r="E34" i="10"/>
  <c r="F34" i="10"/>
  <c r="G34" i="10"/>
  <c r="C39" i="10"/>
  <c r="H8" i="10"/>
  <c r="C69" i="10"/>
  <c r="C68" i="10"/>
  <c r="C65" i="10"/>
  <c r="B15" i="3"/>
  <c r="E22" i="3"/>
  <c r="F22" i="3"/>
  <c r="G22" i="3"/>
  <c r="H22" i="3"/>
  <c r="I22" i="3"/>
  <c r="E13" i="3"/>
  <c r="F13" i="3"/>
  <c r="G13" i="3"/>
  <c r="H13" i="3"/>
  <c r="I13" i="3"/>
  <c r="O13" i="3" s="1"/>
  <c r="K17" i="3"/>
  <c r="L17" i="3" s="1"/>
  <c r="M17" i="3" s="1"/>
  <c r="N17" i="3" s="1"/>
  <c r="O17" i="3" s="1"/>
  <c r="P17" i="3" s="1"/>
  <c r="K4" i="3"/>
  <c r="L4" i="3" s="1"/>
  <c r="M4" i="3" s="1"/>
  <c r="N4" i="3" s="1"/>
  <c r="O4" i="3" s="1"/>
  <c r="P4" i="3" s="1"/>
  <c r="D17" i="3"/>
  <c r="E17" i="3" s="1"/>
  <c r="F17" i="3" s="1"/>
  <c r="G17" i="3" s="1"/>
  <c r="H17" i="3" s="1"/>
  <c r="I17"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C60" i="10" s="1"/>
  <c r="M73" i="20"/>
  <c r="L73" i="20"/>
  <c r="K73" i="20"/>
  <c r="J73" i="20"/>
  <c r="I73" i="20"/>
  <c r="H73" i="20"/>
  <c r="G73" i="20"/>
  <c r="F73" i="20"/>
  <c r="E73" i="20"/>
  <c r="D73" i="20"/>
  <c r="C73" i="20"/>
  <c r="B73" i="20"/>
  <c r="M72" i="20"/>
  <c r="L72" i="20"/>
  <c r="K72" i="20"/>
  <c r="J72" i="20"/>
  <c r="I72" i="20"/>
  <c r="H72" i="20"/>
  <c r="G72" i="20"/>
  <c r="F72" i="20"/>
  <c r="E72" i="20"/>
  <c r="D72" i="20"/>
  <c r="C72" i="20"/>
  <c r="B72" i="20"/>
  <c r="M71" i="20"/>
  <c r="L71" i="20"/>
  <c r="K71" i="20"/>
  <c r="J71" i="20"/>
  <c r="I71" i="20"/>
  <c r="H71" i="20"/>
  <c r="G71" i="20"/>
  <c r="F71" i="20"/>
  <c r="E71" i="20"/>
  <c r="D71" i="20"/>
  <c r="C71" i="20"/>
  <c r="M70" i="20"/>
  <c r="L70" i="20"/>
  <c r="K70" i="20"/>
  <c r="J70" i="20"/>
  <c r="I70" i="20"/>
  <c r="H70" i="20"/>
  <c r="G70" i="20"/>
  <c r="F70" i="20"/>
  <c r="E70" i="20"/>
  <c r="D70" i="20"/>
  <c r="C70" i="20"/>
  <c r="M69" i="20"/>
  <c r="L69" i="20"/>
  <c r="K69" i="20"/>
  <c r="J69" i="20"/>
  <c r="I69" i="20"/>
  <c r="H69" i="20"/>
  <c r="G69" i="20"/>
  <c r="F69" i="20"/>
  <c r="E69" i="20"/>
  <c r="D69" i="20"/>
  <c r="C69" i="20"/>
  <c r="M68" i="20"/>
  <c r="L68" i="20"/>
  <c r="K68" i="20"/>
  <c r="J68" i="20"/>
  <c r="I68" i="20"/>
  <c r="H68" i="20"/>
  <c r="G68" i="20"/>
  <c r="F68" i="20"/>
  <c r="E68" i="20"/>
  <c r="D68" i="20"/>
  <c r="C68" i="20"/>
  <c r="B68" i="20"/>
  <c r="M67" i="20"/>
  <c r="L67" i="20"/>
  <c r="K67" i="20"/>
  <c r="J67" i="20"/>
  <c r="I67" i="20"/>
  <c r="H67" i="20"/>
  <c r="G67" i="20"/>
  <c r="F67" i="20"/>
  <c r="E67" i="20"/>
  <c r="D67" i="20"/>
  <c r="C67" i="20"/>
  <c r="B67" i="20"/>
  <c r="M61" i="20"/>
  <c r="L61" i="20"/>
  <c r="K61" i="20"/>
  <c r="J61" i="20"/>
  <c r="I61" i="20"/>
  <c r="H61" i="20"/>
  <c r="G61" i="20"/>
  <c r="F61" i="20"/>
  <c r="E61" i="20"/>
  <c r="D61" i="20"/>
  <c r="C61" i="20"/>
  <c r="B61" i="20"/>
  <c r="M54" i="20"/>
  <c r="L54" i="20"/>
  <c r="K54" i="20"/>
  <c r="J54" i="20"/>
  <c r="I54" i="20"/>
  <c r="H54" i="20"/>
  <c r="G54" i="20"/>
  <c r="F54" i="20"/>
  <c r="E54" i="20"/>
  <c r="D54" i="20"/>
  <c r="C54" i="20"/>
  <c r="B54" i="20"/>
  <c r="M53" i="20"/>
  <c r="L53" i="20"/>
  <c r="K53" i="20"/>
  <c r="J53" i="20"/>
  <c r="I53" i="20"/>
  <c r="H53" i="20"/>
  <c r="G53" i="20"/>
  <c r="F53" i="20"/>
  <c r="E53" i="20"/>
  <c r="D53" i="20"/>
  <c r="C53" i="20"/>
  <c r="B53" i="20"/>
  <c r="M50" i="20"/>
  <c r="L50" i="20"/>
  <c r="K50" i="20"/>
  <c r="J50" i="20"/>
  <c r="I50" i="20"/>
  <c r="H50" i="20"/>
  <c r="G50" i="20"/>
  <c r="F50" i="20"/>
  <c r="E50" i="20"/>
  <c r="D50" i="20"/>
  <c r="C50" i="20"/>
  <c r="B50" i="20"/>
  <c r="M49" i="20"/>
  <c r="M58" i="20" s="1"/>
  <c r="L49" i="20"/>
  <c r="L58" i="20" s="1"/>
  <c r="K49" i="20"/>
  <c r="K58" i="20" s="1"/>
  <c r="J49" i="20"/>
  <c r="J58" i="20" s="1"/>
  <c r="I49" i="20"/>
  <c r="I58" i="20" s="1"/>
  <c r="H49" i="20"/>
  <c r="H58" i="20" s="1"/>
  <c r="G49" i="20"/>
  <c r="F49" i="20"/>
  <c r="F58" i="20" s="1"/>
  <c r="E49" i="20"/>
  <c r="E58" i="20" s="1"/>
  <c r="D49" i="20"/>
  <c r="D58" i="20" s="1"/>
  <c r="C49" i="20"/>
  <c r="C58" i="20" s="1"/>
  <c r="B49" i="20"/>
  <c r="B58" i="20" s="1"/>
  <c r="M48" i="20"/>
  <c r="L48" i="20"/>
  <c r="K48" i="20"/>
  <c r="J48" i="20"/>
  <c r="I48" i="20"/>
  <c r="H48" i="20"/>
  <c r="G48" i="20"/>
  <c r="F48" i="20"/>
  <c r="E48" i="20"/>
  <c r="D48" i="20"/>
  <c r="C48" i="20"/>
  <c r="B48" i="20"/>
  <c r="M42" i="20"/>
  <c r="L42" i="20"/>
  <c r="K42" i="20"/>
  <c r="J42" i="20"/>
  <c r="I42" i="20"/>
  <c r="H42" i="20"/>
  <c r="G42" i="20"/>
  <c r="F42" i="20"/>
  <c r="E42" i="20"/>
  <c r="D42" i="20"/>
  <c r="C42" i="20"/>
  <c r="B42" i="20"/>
  <c r="M41" i="20"/>
  <c r="L41" i="20"/>
  <c r="K41" i="20"/>
  <c r="J41" i="20"/>
  <c r="I41" i="20"/>
  <c r="H41" i="20"/>
  <c r="G41" i="20"/>
  <c r="F41" i="20"/>
  <c r="E41" i="20"/>
  <c r="D41" i="20"/>
  <c r="C41" i="20"/>
  <c r="B41" i="20"/>
  <c r="M40" i="20"/>
  <c r="L40" i="20"/>
  <c r="K40" i="20"/>
  <c r="J40" i="20"/>
  <c r="I40" i="20"/>
  <c r="H40" i="20"/>
  <c r="G40" i="20"/>
  <c r="F40" i="20"/>
  <c r="E40" i="20"/>
  <c r="D40" i="20"/>
  <c r="C40" i="20"/>
  <c r="B40" i="20"/>
  <c r="M39" i="20"/>
  <c r="M26" i="20" s="1"/>
  <c r="L39" i="20"/>
  <c r="K39" i="20"/>
  <c r="J39" i="20"/>
  <c r="I39" i="20"/>
  <c r="H39" i="20"/>
  <c r="G39" i="20"/>
  <c r="F39" i="20"/>
  <c r="E39" i="20"/>
  <c r="D39" i="20"/>
  <c r="C39" i="20"/>
  <c r="B39" i="20"/>
  <c r="M33" i="20"/>
  <c r="L33" i="20"/>
  <c r="K33" i="20"/>
  <c r="J33" i="20"/>
  <c r="I33" i="20"/>
  <c r="H33" i="20"/>
  <c r="G33" i="20"/>
  <c r="F33" i="20"/>
  <c r="E33" i="20"/>
  <c r="D33" i="20"/>
  <c r="C33" i="20"/>
  <c r="B33" i="20"/>
  <c r="M32" i="20"/>
  <c r="L32" i="20"/>
  <c r="K32" i="20"/>
  <c r="J32" i="20"/>
  <c r="I32" i="20"/>
  <c r="H32" i="20"/>
  <c r="G32" i="20"/>
  <c r="F32" i="20"/>
  <c r="E32" i="20"/>
  <c r="D32" i="20"/>
  <c r="C32" i="20"/>
  <c r="B32" i="20"/>
  <c r="M28" i="20"/>
  <c r="L28" i="20"/>
  <c r="K28" i="20"/>
  <c r="J28" i="20"/>
  <c r="I28" i="20"/>
  <c r="H28" i="20"/>
  <c r="G28" i="20"/>
  <c r="F28" i="20"/>
  <c r="E28" i="20"/>
  <c r="D28" i="20"/>
  <c r="C28" i="20"/>
  <c r="B28" i="20"/>
  <c r="M27" i="20"/>
  <c r="L27" i="20"/>
  <c r="K27" i="20"/>
  <c r="J27" i="20"/>
  <c r="I27" i="20"/>
  <c r="H27" i="20"/>
  <c r="G27" i="20"/>
  <c r="F27" i="20"/>
  <c r="E27" i="20"/>
  <c r="D27" i="20"/>
  <c r="C27" i="20"/>
  <c r="B27" i="20"/>
  <c r="M23" i="20"/>
  <c r="L23" i="20"/>
  <c r="K23" i="20"/>
  <c r="J23" i="20"/>
  <c r="I23" i="20"/>
  <c r="H23" i="20"/>
  <c r="G23" i="20"/>
  <c r="F23" i="20"/>
  <c r="E23" i="20"/>
  <c r="D23" i="20"/>
  <c r="C23" i="20"/>
  <c r="B23" i="20"/>
  <c r="M21" i="20"/>
  <c r="L21" i="20"/>
  <c r="K21" i="20"/>
  <c r="J21" i="20"/>
  <c r="I21" i="20"/>
  <c r="H21" i="20"/>
  <c r="G21" i="20"/>
  <c r="F21" i="20"/>
  <c r="E21" i="20"/>
  <c r="D21" i="20"/>
  <c r="C21" i="20"/>
  <c r="B21" i="20"/>
  <c r="M15" i="20"/>
  <c r="L15" i="20"/>
  <c r="K15" i="20"/>
  <c r="J15" i="20"/>
  <c r="I15" i="20"/>
  <c r="H15" i="20"/>
  <c r="G15" i="20"/>
  <c r="F15" i="20"/>
  <c r="E15" i="20"/>
  <c r="D15" i="20"/>
  <c r="C15" i="20"/>
  <c r="B15" i="20"/>
  <c r="M14" i="20"/>
  <c r="L14" i="20"/>
  <c r="K14" i="20"/>
  <c r="J14" i="20"/>
  <c r="I14" i="20"/>
  <c r="H14" i="20"/>
  <c r="G14" i="20"/>
  <c r="F14" i="20"/>
  <c r="E14" i="20"/>
  <c r="D14" i="20"/>
  <c r="C14" i="20"/>
  <c r="B14" i="20"/>
  <c r="M11" i="20"/>
  <c r="L11" i="20"/>
  <c r="L16" i="20" s="1"/>
  <c r="K11" i="20"/>
  <c r="J11" i="20"/>
  <c r="J16" i="20" s="1"/>
  <c r="I11" i="20"/>
  <c r="I16" i="20" s="1"/>
  <c r="H11" i="20"/>
  <c r="G11" i="20"/>
  <c r="F11" i="20"/>
  <c r="F16" i="20" s="1"/>
  <c r="E11" i="20"/>
  <c r="D11" i="20"/>
  <c r="D16" i="20" s="1"/>
  <c r="C11" i="20"/>
  <c r="C16" i="20" s="1"/>
  <c r="B11" i="20"/>
  <c r="M7" i="20"/>
  <c r="L7" i="20"/>
  <c r="K7" i="20"/>
  <c r="J7" i="20"/>
  <c r="I7" i="20"/>
  <c r="H7" i="20"/>
  <c r="G7" i="20"/>
  <c r="F7" i="20"/>
  <c r="E7" i="20"/>
  <c r="D7" i="20"/>
  <c r="C7" i="20"/>
  <c r="B7" i="20"/>
  <c r="M5" i="20"/>
  <c r="M6" i="20" s="1"/>
  <c r="L5" i="20"/>
  <c r="K5" i="20"/>
  <c r="J5" i="20"/>
  <c r="I5" i="20"/>
  <c r="H5" i="20"/>
  <c r="G5" i="20"/>
  <c r="F5" i="20"/>
  <c r="F9" i="20" s="1"/>
  <c r="F10" i="20" s="1"/>
  <c r="E5" i="20"/>
  <c r="E9" i="20" s="1"/>
  <c r="E10" i="20" s="1"/>
  <c r="D5" i="20"/>
  <c r="D9" i="20" s="1"/>
  <c r="D10" i="20" s="1"/>
  <c r="C5" i="20"/>
  <c r="B5" i="20"/>
  <c r="B9" i="20" s="1"/>
  <c r="B10" i="20" s="1"/>
  <c r="B4" i="20"/>
  <c r="C4" i="20" s="1"/>
  <c r="A2" i="20"/>
  <c r="A1" i="20"/>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F79" i="16"/>
  <c r="E79" i="16"/>
  <c r="D79" i="16"/>
  <c r="C79" i="16"/>
  <c r="B79" i="16"/>
  <c r="M78" i="16"/>
  <c r="L78" i="16"/>
  <c r="K78" i="16"/>
  <c r="J78" i="16"/>
  <c r="I78" i="16"/>
  <c r="H78" i="16"/>
  <c r="G78" i="16"/>
  <c r="F78" i="16"/>
  <c r="E78" i="16"/>
  <c r="D78" i="16"/>
  <c r="C78" i="16"/>
  <c r="B78"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9" i="16"/>
  <c r="B44" i="16"/>
  <c r="M42" i="16"/>
  <c r="L42" i="16"/>
  <c r="K42" i="16"/>
  <c r="J42" i="16"/>
  <c r="I42" i="16"/>
  <c r="H42" i="16"/>
  <c r="G42" i="16"/>
  <c r="F42" i="16"/>
  <c r="E42" i="16"/>
  <c r="D42" i="16"/>
  <c r="C42" i="16"/>
  <c r="B42" i="16"/>
  <c r="C66" i="10" s="1"/>
  <c r="M41" i="16"/>
  <c r="L41" i="16"/>
  <c r="K41" i="16"/>
  <c r="J41" i="16"/>
  <c r="I41" i="16"/>
  <c r="H41" i="16"/>
  <c r="G41" i="16"/>
  <c r="F41" i="16"/>
  <c r="E41" i="16"/>
  <c r="D41" i="16"/>
  <c r="C41" i="16"/>
  <c r="B41" i="16"/>
  <c r="C64" i="10" s="1"/>
  <c r="M40" i="16"/>
  <c r="L40" i="16"/>
  <c r="K40" i="16"/>
  <c r="J40" i="16"/>
  <c r="I40" i="16"/>
  <c r="H40" i="16"/>
  <c r="G40" i="16"/>
  <c r="F40" i="16"/>
  <c r="E40" i="16"/>
  <c r="D40" i="16"/>
  <c r="C40" i="16"/>
  <c r="B40" i="16"/>
  <c r="C63" i="10" s="1"/>
  <c r="M39" i="16"/>
  <c r="M26" i="16" s="1"/>
  <c r="L39" i="16"/>
  <c r="L26" i="16" s="1"/>
  <c r="K39" i="16"/>
  <c r="J39" i="16"/>
  <c r="I39" i="16"/>
  <c r="H39" i="16"/>
  <c r="G39" i="16"/>
  <c r="F39" i="16"/>
  <c r="E39" i="16"/>
  <c r="D39" i="16"/>
  <c r="D43" i="4" s="1"/>
  <c r="C39" i="16"/>
  <c r="M33" i="16"/>
  <c r="L33" i="16"/>
  <c r="K33" i="16"/>
  <c r="J33" i="16"/>
  <c r="I33" i="16"/>
  <c r="H33" i="16"/>
  <c r="G33" i="16"/>
  <c r="F33" i="16"/>
  <c r="E33" i="16"/>
  <c r="D33" i="16"/>
  <c r="C33" i="16"/>
  <c r="B33" i="16"/>
  <c r="F24" i="4" s="1"/>
  <c r="M32" i="16"/>
  <c r="L32" i="16"/>
  <c r="K32" i="16"/>
  <c r="J32" i="16"/>
  <c r="I32" i="16"/>
  <c r="H32" i="16"/>
  <c r="G32" i="16"/>
  <c r="F32" i="16"/>
  <c r="E32" i="16"/>
  <c r="D32" i="16"/>
  <c r="D23" i="4" s="1"/>
  <c r="D26" i="4" s="1"/>
  <c r="C32" i="16"/>
  <c r="B32" i="16"/>
  <c r="F23" i="4" s="1"/>
  <c r="M28" i="16"/>
  <c r="L28" i="16"/>
  <c r="K28" i="16"/>
  <c r="J28" i="16"/>
  <c r="I28" i="16"/>
  <c r="H28" i="16"/>
  <c r="G28" i="16"/>
  <c r="F28" i="16"/>
  <c r="E28" i="16"/>
  <c r="D28" i="16"/>
  <c r="D29" i="4" s="1"/>
  <c r="C28" i="16"/>
  <c r="B28" i="16"/>
  <c r="F29" i="4" s="1"/>
  <c r="M27" i="16"/>
  <c r="L27" i="16"/>
  <c r="K27" i="16"/>
  <c r="J27" i="16"/>
  <c r="I27" i="16"/>
  <c r="H27" i="16"/>
  <c r="G27" i="16"/>
  <c r="F27" i="16"/>
  <c r="E27" i="16"/>
  <c r="D27" i="16"/>
  <c r="C27" i="16"/>
  <c r="B27" i="16"/>
  <c r="F30" i="4" s="1"/>
  <c r="M23" i="16"/>
  <c r="L23" i="16"/>
  <c r="K23" i="16"/>
  <c r="J23" i="16"/>
  <c r="I23" i="16"/>
  <c r="H23" i="16"/>
  <c r="G23" i="16"/>
  <c r="F23" i="16"/>
  <c r="E23" i="16"/>
  <c r="D23" i="16"/>
  <c r="C23" i="16"/>
  <c r="M21" i="16"/>
  <c r="L21" i="16"/>
  <c r="K21" i="16"/>
  <c r="J21" i="16"/>
  <c r="I21" i="16"/>
  <c r="H21" i="16"/>
  <c r="G21" i="16"/>
  <c r="F21" i="16"/>
  <c r="E21" i="16"/>
  <c r="D21" i="16"/>
  <c r="D16" i="4" s="1"/>
  <c r="C21" i="16"/>
  <c r="B21" i="16"/>
  <c r="C59" i="10" s="1"/>
  <c r="M17" i="16"/>
  <c r="M17" i="20" s="1"/>
  <c r="L17" i="16"/>
  <c r="L17" i="20" s="1"/>
  <c r="K17" i="16"/>
  <c r="K17" i="20" s="1"/>
  <c r="J17" i="16"/>
  <c r="J17" i="20" s="1"/>
  <c r="I17" i="16"/>
  <c r="I17" i="20" s="1"/>
  <c r="H17" i="16"/>
  <c r="H17" i="20" s="1"/>
  <c r="G17" i="16"/>
  <c r="G17" i="20" s="1"/>
  <c r="F17" i="16"/>
  <c r="F17" i="20" s="1"/>
  <c r="E17" i="16"/>
  <c r="E17" i="20" s="1"/>
  <c r="D17" i="16"/>
  <c r="D17" i="20" s="1"/>
  <c r="C17" i="16"/>
  <c r="C17" i="20" s="1"/>
  <c r="B17" i="16"/>
  <c r="M15" i="16"/>
  <c r="L15" i="16"/>
  <c r="K15" i="16"/>
  <c r="J15" i="16"/>
  <c r="I15" i="16"/>
  <c r="H15" i="16"/>
  <c r="G15" i="16"/>
  <c r="F15" i="16"/>
  <c r="E15" i="16"/>
  <c r="D15" i="16"/>
  <c r="D14" i="4" s="1"/>
  <c r="C15" i="16"/>
  <c r="E14" i="4"/>
  <c r="B15" i="16"/>
  <c r="F14" i="4" s="1"/>
  <c r="M14" i="16"/>
  <c r="L14" i="16"/>
  <c r="K14" i="16"/>
  <c r="J14" i="16"/>
  <c r="I14" i="16"/>
  <c r="H14" i="16"/>
  <c r="G14" i="16"/>
  <c r="F14" i="16"/>
  <c r="E14" i="16"/>
  <c r="D14" i="16"/>
  <c r="D13" i="4" s="1"/>
  <c r="C14" i="16"/>
  <c r="E13" i="4" s="1"/>
  <c r="B14" i="16"/>
  <c r="C11" i="16"/>
  <c r="E8" i="4"/>
  <c r="E7" i="4"/>
  <c r="D11" i="16"/>
  <c r="E11" i="16"/>
  <c r="F11" i="16"/>
  <c r="G11" i="16"/>
  <c r="H11" i="16"/>
  <c r="I11" i="16"/>
  <c r="J11" i="16"/>
  <c r="K11" i="16"/>
  <c r="L11" i="16"/>
  <c r="M11" i="16"/>
  <c r="B11" i="16"/>
  <c r="F8" i="4" s="1"/>
  <c r="G8" i="4"/>
  <c r="C7" i="16"/>
  <c r="D7" i="16"/>
  <c r="E7" i="16"/>
  <c r="F7" i="16"/>
  <c r="G7" i="16"/>
  <c r="H7" i="16"/>
  <c r="I7" i="16"/>
  <c r="J7" i="16"/>
  <c r="K7" i="16"/>
  <c r="L7" i="16"/>
  <c r="M7" i="16"/>
  <c r="B7" i="16"/>
  <c r="M5" i="16"/>
  <c r="L5" i="16"/>
  <c r="K5" i="16"/>
  <c r="J5" i="16"/>
  <c r="I5" i="16"/>
  <c r="H5" i="16"/>
  <c r="H6" i="16" s="1"/>
  <c r="G5" i="16"/>
  <c r="F5" i="16"/>
  <c r="E5" i="16"/>
  <c r="C52" i="10" s="1"/>
  <c r="D5" i="16"/>
  <c r="C5" i="16"/>
  <c r="D68" i="16"/>
  <c r="E68" i="16"/>
  <c r="F68" i="16"/>
  <c r="G68" i="16"/>
  <c r="H68" i="16"/>
  <c r="I68" i="16"/>
  <c r="K68" i="16"/>
  <c r="M71" i="16"/>
  <c r="L71" i="16"/>
  <c r="K71" i="16"/>
  <c r="J71" i="16"/>
  <c r="I71" i="16"/>
  <c r="H71" i="16"/>
  <c r="G71" i="16"/>
  <c r="F71" i="16"/>
  <c r="E71" i="16"/>
  <c r="D71" i="16"/>
  <c r="C71" i="16"/>
  <c r="B71" i="16"/>
  <c r="B67" i="16"/>
  <c r="M75" i="16"/>
  <c r="L75" i="16"/>
  <c r="K75" i="16"/>
  <c r="J75" i="16"/>
  <c r="I75" i="16"/>
  <c r="H75" i="16"/>
  <c r="G75" i="16"/>
  <c r="F75" i="16"/>
  <c r="E75" i="16"/>
  <c r="D75" i="16"/>
  <c r="C75" i="16"/>
  <c r="M67" i="16"/>
  <c r="J67" i="16"/>
  <c r="I67" i="16"/>
  <c r="H67" i="16"/>
  <c r="G67" i="16"/>
  <c r="F67" i="16"/>
  <c r="E67" i="16"/>
  <c r="D67" i="16"/>
  <c r="C67" i="16"/>
  <c r="C44" i="16"/>
  <c r="B44" i="20"/>
  <c r="C51" i="16"/>
  <c r="D51" i="16"/>
  <c r="F51" i="20"/>
  <c r="G51" i="20"/>
  <c r="H51" i="20"/>
  <c r="J51" i="16"/>
  <c r="K51" i="20"/>
  <c r="L51" i="20"/>
  <c r="M51" i="20"/>
  <c r="B51" i="16"/>
  <c r="AB38" i="17"/>
  <c r="B21" i="3"/>
  <c r="H28" i="1"/>
  <c r="B20" i="3"/>
  <c r="H27" i="1" s="1"/>
  <c r="B18" i="3"/>
  <c r="H25" i="1"/>
  <c r="F46" i="4"/>
  <c r="S47" i="4"/>
  <c r="J46" i="4"/>
  <c r="Z46" i="4"/>
  <c r="O45" i="4"/>
  <c r="AE45" i="4"/>
  <c r="P46" i="4"/>
  <c r="U45" i="4"/>
  <c r="Z47" i="4"/>
  <c r="AC46" i="4"/>
  <c r="H47" i="4"/>
  <c r="X47" i="4"/>
  <c r="K46" i="4"/>
  <c r="O46" i="4"/>
  <c r="AA46" i="4"/>
  <c r="AE46" i="4"/>
  <c r="P45" i="4"/>
  <c r="T45" i="4"/>
  <c r="AF45" i="4"/>
  <c r="I47" i="4"/>
  <c r="Q47" i="4"/>
  <c r="U47" i="4"/>
  <c r="AC47" i="4"/>
  <c r="L46" i="4"/>
  <c r="T46" i="4"/>
  <c r="AB46" i="4"/>
  <c r="I45" i="4"/>
  <c r="Q45" i="4"/>
  <c r="Y45" i="4"/>
  <c r="G45" i="4"/>
  <c r="N47" i="4"/>
  <c r="V47" i="4"/>
  <c r="I46" i="4"/>
  <c r="Q46" i="4"/>
  <c r="Y46" i="4"/>
  <c r="N45" i="4"/>
  <c r="V45" i="4"/>
  <c r="AD45" i="4"/>
  <c r="E51" i="16"/>
  <c r="O22" i="3"/>
  <c r="K22" i="3"/>
  <c r="N13" i="3"/>
  <c r="B19" i="3"/>
  <c r="H26" i="1" s="1"/>
  <c r="E5" i="4"/>
  <c r="C21" i="1"/>
  <c r="L51" i="16"/>
  <c r="F51" i="16"/>
  <c r="M51" i="16"/>
  <c r="B51" i="20"/>
  <c r="D51" i="20"/>
  <c r="E51" i="20"/>
  <c r="C51" i="20"/>
  <c r="G51" i="16"/>
  <c r="C44" i="20"/>
  <c r="H51" i="16"/>
  <c r="J51" i="20"/>
  <c r="I51" i="20"/>
  <c r="I51" i="16"/>
  <c r="K51" i="16"/>
  <c r="B2" i="3"/>
  <c r="B5" i="17"/>
  <c r="D5" i="17"/>
  <c r="E5" i="17" s="1"/>
  <c r="F5" i="17" s="1"/>
  <c r="G5" i="17" s="1"/>
  <c r="H5" i="17" s="1"/>
  <c r="I5" i="17" s="1"/>
  <c r="J5" i="17" s="1"/>
  <c r="K5" i="17" s="1"/>
  <c r="L5" i="17" s="1"/>
  <c r="M5" i="17" s="1"/>
  <c r="B4" i="16"/>
  <c r="L45" i="1"/>
  <c r="M45" i="1"/>
  <c r="B53" i="1"/>
  <c r="B52" i="1" s="1"/>
  <c r="B51" i="1" s="1"/>
  <c r="B50" i="1" s="1"/>
  <c r="B49" i="1" s="1"/>
  <c r="B48" i="1" s="1"/>
  <c r="B47" i="1" s="1"/>
  <c r="B46" i="1" s="1"/>
  <c r="B45" i="1" s="1"/>
  <c r="B84" i="17"/>
  <c r="B82" i="16" s="1"/>
  <c r="B83" i="17"/>
  <c r="B70" i="20" s="1"/>
  <c r="B82" i="17"/>
  <c r="B69" i="20" s="1"/>
  <c r="H25" i="10"/>
  <c r="H11" i="10"/>
  <c r="H39" i="10"/>
  <c r="C87" i="17"/>
  <c r="D87" i="17"/>
  <c r="AD53" i="17"/>
  <c r="AC53" i="17"/>
  <c r="AD52" i="17"/>
  <c r="AC52" i="17"/>
  <c r="AG49" i="17"/>
  <c r="AG52" i="17"/>
  <c r="AF49" i="17"/>
  <c r="AE49" i="17"/>
  <c r="AB49" i="17"/>
  <c r="AB52" i="17"/>
  <c r="AA49" i="17"/>
  <c r="AA52" i="17"/>
  <c r="Z49" i="17"/>
  <c r="Z52" i="17"/>
  <c r="AD48" i="17"/>
  <c r="AC48" i="17"/>
  <c r="AB48" i="17"/>
  <c r="AA48" i="17"/>
  <c r="Z48" i="17"/>
  <c r="AG44" i="17"/>
  <c r="AG48" i="17"/>
  <c r="AF44" i="17"/>
  <c r="AF48" i="17"/>
  <c r="AE44" i="17"/>
  <c r="AE48" i="17"/>
  <c r="AG39" i="17"/>
  <c r="AF39" i="17"/>
  <c r="AE39" i="17"/>
  <c r="AD39" i="17"/>
  <c r="AC39" i="17"/>
  <c r="AB31" i="17"/>
  <c r="AB39" i="17"/>
  <c r="AA31" i="17"/>
  <c r="AA39" i="17"/>
  <c r="Z31" i="17"/>
  <c r="Z39" i="17"/>
  <c r="AA25" i="17"/>
  <c r="O74" i="17"/>
  <c r="AE12" i="17"/>
  <c r="AG11" i="17"/>
  <c r="AF11" i="17"/>
  <c r="AE11" i="17"/>
  <c r="AD11" i="17"/>
  <c r="AG9" i="17"/>
  <c r="AF9" i="17"/>
  <c r="AD9" i="17"/>
  <c r="AC9" i="17"/>
  <c r="AB9" i="17"/>
  <c r="AA9" i="17"/>
  <c r="Z9" i="17"/>
  <c r="AG10" i="17"/>
  <c r="AF10" i="17"/>
  <c r="AE10" i="17"/>
  <c r="AD10" i="17"/>
  <c r="AC10" i="17"/>
  <c r="AB10" i="17"/>
  <c r="AA10" i="17"/>
  <c r="Z10" i="17"/>
  <c r="AG7" i="17"/>
  <c r="AG8" i="17"/>
  <c r="AF7" i="17"/>
  <c r="AF8" i="17"/>
  <c r="AE7" i="17"/>
  <c r="AE8" i="17"/>
  <c r="AD7" i="17"/>
  <c r="AD8" i="17"/>
  <c r="AC7" i="17"/>
  <c r="AC8" i="17"/>
  <c r="AB7" i="17"/>
  <c r="AB8" i="17"/>
  <c r="AA7" i="17"/>
  <c r="AA8" i="17"/>
  <c r="Z7" i="17"/>
  <c r="Z8" i="17"/>
  <c r="Z13" i="17"/>
  <c r="Z14" i="17"/>
  <c r="O7" i="17"/>
  <c r="A2" i="16"/>
  <c r="A1" i="16"/>
  <c r="C19" i="1"/>
  <c r="C9" i="10" s="1"/>
  <c r="D13" i="3"/>
  <c r="B8" i="3" s="1"/>
  <c r="B6" i="3"/>
  <c r="B5" i="3"/>
  <c r="F5" i="4"/>
  <c r="M54" i="1"/>
  <c r="K22" i="1"/>
  <c r="K23" i="1" s="1"/>
  <c r="H18" i="16"/>
  <c r="H18" i="20"/>
  <c r="E18" i="20"/>
  <c r="E18" i="16"/>
  <c r="L18" i="20"/>
  <c r="L18" i="16"/>
  <c r="K18" i="20"/>
  <c r="K18" i="16"/>
  <c r="B18" i="20"/>
  <c r="C18" i="20"/>
  <c r="C18" i="16"/>
  <c r="C43" i="20"/>
  <c r="C43" i="16"/>
  <c r="F18" i="20"/>
  <c r="F18" i="16"/>
  <c r="B43" i="16"/>
  <c r="B43" i="20"/>
  <c r="G18" i="16"/>
  <c r="G18" i="20"/>
  <c r="I18" i="20"/>
  <c r="I18" i="16"/>
  <c r="J18" i="20"/>
  <c r="J18" i="16"/>
  <c r="M18" i="16"/>
  <c r="M18" i="20"/>
  <c r="D18" i="16"/>
  <c r="D18" i="20"/>
  <c r="AD13" i="17"/>
  <c r="AD14" i="17"/>
  <c r="AB53" i="17"/>
  <c r="AG53" i="17"/>
  <c r="Z53" i="17"/>
  <c r="AA13" i="17"/>
  <c r="AA14" i="17"/>
  <c r="AC13" i="17"/>
  <c r="AC14" i="17"/>
  <c r="AG13" i="17"/>
  <c r="AG14" i="17"/>
  <c r="AA53" i="17"/>
  <c r="AB13" i="17"/>
  <c r="AB14" i="17"/>
  <c r="AE13" i="17"/>
  <c r="AE14" i="17"/>
  <c r="AE53" i="17"/>
  <c r="AF13" i="17"/>
  <c r="AF14" i="17"/>
  <c r="AF53" i="17"/>
  <c r="AF52" i="17"/>
  <c r="AE52" i="17"/>
  <c r="H38" i="10"/>
  <c r="H40" i="10"/>
  <c r="H18" i="10"/>
  <c r="H31" i="10"/>
  <c r="Q49" i="1"/>
  <c r="Q50" i="1"/>
  <c r="Q51" i="1"/>
  <c r="Q47" i="1"/>
  <c r="F56" i="1"/>
  <c r="F57" i="1"/>
  <c r="Q52" i="1"/>
  <c r="Q48" i="1"/>
  <c r="Q53" i="1"/>
  <c r="M44" i="16"/>
  <c r="I44" i="16"/>
  <c r="I43" i="16"/>
  <c r="E44" i="16"/>
  <c r="L44" i="16"/>
  <c r="L43" i="16"/>
  <c r="L44" i="20"/>
  <c r="G44" i="20"/>
  <c r="J44" i="16"/>
  <c r="J44" i="20"/>
  <c r="K43" i="20"/>
  <c r="K43" i="16"/>
  <c r="F43" i="20"/>
  <c r="F43" i="16"/>
  <c r="J43" i="20"/>
  <c r="J43" i="16"/>
  <c r="G43" i="16"/>
  <c r="G43" i="20"/>
  <c r="H44" i="20"/>
  <c r="F44" i="20"/>
  <c r="K44" i="16"/>
  <c r="F44" i="16"/>
  <c r="G44" i="16"/>
  <c r="H44" i="16"/>
  <c r="K44" i="20"/>
  <c r="L43" i="20"/>
  <c r="I43" i="20"/>
  <c r="E44" i="20"/>
  <c r="M44" i="20"/>
  <c r="I44" i="20"/>
  <c r="M43" i="16"/>
  <c r="M43" i="20"/>
  <c r="H43" i="20"/>
  <c r="H43" i="16"/>
  <c r="E43" i="16"/>
  <c r="E43" i="20"/>
  <c r="D43" i="20"/>
  <c r="D43" i="16"/>
  <c r="D44" i="20"/>
  <c r="D44" i="16"/>
  <c r="B68" i="16"/>
  <c r="B75" i="16"/>
  <c r="C68" i="16"/>
  <c r="M48" i="1" s="1"/>
  <c r="E25" i="4"/>
  <c r="H25" i="4" s="1"/>
  <c r="K67" i="16"/>
  <c r="L67" i="16"/>
  <c r="J68" i="16"/>
  <c r="L68" i="16"/>
  <c r="M68" i="16"/>
  <c r="G5" i="4"/>
  <c r="G11" i="4"/>
  <c r="G20" i="4"/>
  <c r="G24" i="4"/>
  <c r="G25" i="4"/>
  <c r="G31" i="4"/>
  <c r="H31" i="4" s="1"/>
  <c r="I31" i="4" s="1"/>
  <c r="J31" i="4" s="1"/>
  <c r="H5" i="4"/>
  <c r="H11" i="4"/>
  <c r="H20" i="4"/>
  <c r="H24" i="4"/>
  <c r="H8" i="4"/>
  <c r="I5" i="4"/>
  <c r="J5" i="4"/>
  <c r="I11" i="4"/>
  <c r="I20" i="4" s="1"/>
  <c r="I24" i="4"/>
  <c r="I8" i="4"/>
  <c r="J11" i="4"/>
  <c r="J20" i="4" s="1"/>
  <c r="J8" i="4"/>
  <c r="J24" i="4"/>
  <c r="B56" i="20"/>
  <c r="B56" i="16"/>
  <c r="E18" i="1" s="1"/>
  <c r="B56" i="17"/>
  <c r="B63" i="20"/>
  <c r="B64" i="16"/>
  <c r="C71" i="10" s="1"/>
  <c r="J56" i="17"/>
  <c r="J64" i="16"/>
  <c r="J63" i="20"/>
  <c r="J56" i="20"/>
  <c r="J56" i="16"/>
  <c r="L56" i="17"/>
  <c r="L64" i="16"/>
  <c r="L63" i="20"/>
  <c r="L56" i="20"/>
  <c r="L56" i="16"/>
  <c r="F56" i="17"/>
  <c r="F64" i="16"/>
  <c r="F63" i="20"/>
  <c r="F56" i="16"/>
  <c r="F56" i="20"/>
  <c r="E56" i="20"/>
  <c r="E56" i="16"/>
  <c r="E56" i="17"/>
  <c r="E64" i="16"/>
  <c r="E63" i="20"/>
  <c r="J55" i="16"/>
  <c r="J55" i="20"/>
  <c r="L55" i="20"/>
  <c r="L55" i="16"/>
  <c r="H56" i="16"/>
  <c r="H56" i="20"/>
  <c r="H56" i="17"/>
  <c r="H64" i="16"/>
  <c r="H63" i="20"/>
  <c r="C56" i="16"/>
  <c r="C56" i="20"/>
  <c r="C56" i="17"/>
  <c r="C64" i="16"/>
  <c r="C63" i="20"/>
  <c r="K56" i="20"/>
  <c r="K56" i="16"/>
  <c r="K56" i="17"/>
  <c r="K64" i="16"/>
  <c r="K63" i="20"/>
  <c r="I56" i="16"/>
  <c r="I56" i="20"/>
  <c r="I56" i="17"/>
  <c r="I64" i="16"/>
  <c r="I63" i="20"/>
  <c r="M56" i="20"/>
  <c r="M56" i="16"/>
  <c r="M56" i="17"/>
  <c r="M63" i="20"/>
  <c r="M64" i="16"/>
  <c r="D56" i="20"/>
  <c r="D56" i="16"/>
  <c r="D56" i="17"/>
  <c r="D63" i="20"/>
  <c r="D64" i="16"/>
  <c r="M55" i="16"/>
  <c r="M55" i="20"/>
  <c r="H55" i="16"/>
  <c r="H55" i="20"/>
  <c r="G56" i="20"/>
  <c r="G56" i="16"/>
  <c r="G56" i="17"/>
  <c r="G64" i="16"/>
  <c r="G63" i="20"/>
  <c r="G52" i="16"/>
  <c r="G52" i="20"/>
  <c r="H52" i="20"/>
  <c r="H52" i="16"/>
  <c r="M52" i="20"/>
  <c r="M52" i="16"/>
  <c r="D52" i="16"/>
  <c r="D52" i="20"/>
  <c r="I52" i="20"/>
  <c r="I52" i="16"/>
  <c r="K52" i="20"/>
  <c r="K52" i="16"/>
  <c r="C52" i="20"/>
  <c r="C52" i="16"/>
  <c r="L52" i="20"/>
  <c r="L52" i="16"/>
  <c r="J52" i="16"/>
  <c r="J52" i="20"/>
  <c r="E52" i="16"/>
  <c r="E52" i="20"/>
  <c r="F52" i="20"/>
  <c r="F52" i="16"/>
  <c r="B52" i="16"/>
  <c r="B52" i="20"/>
  <c r="B55" i="16"/>
  <c r="B55" i="20"/>
  <c r="F55" i="16"/>
  <c r="F55" i="20"/>
  <c r="E55" i="16"/>
  <c r="E55" i="20"/>
  <c r="C55" i="16"/>
  <c r="C55" i="20"/>
  <c r="K55" i="16"/>
  <c r="K55" i="20"/>
  <c r="I55" i="16"/>
  <c r="I55" i="20"/>
  <c r="D55" i="20"/>
  <c r="D55" i="16"/>
  <c r="G55" i="20"/>
  <c r="G55" i="16"/>
  <c r="M47" i="1" l="1"/>
  <c r="L47" i="1"/>
  <c r="M46" i="1"/>
  <c r="M52" i="1"/>
  <c r="E17" i="1"/>
  <c r="I25" i="4"/>
  <c r="L51" i="1"/>
  <c r="L48" i="1"/>
  <c r="L54" i="1"/>
  <c r="M51" i="1"/>
  <c r="C23" i="10"/>
  <c r="H18" i="1"/>
  <c r="T50" i="3"/>
  <c r="H19" i="1"/>
  <c r="U50" i="3"/>
  <c r="M13" i="3"/>
  <c r="N22" i="3"/>
  <c r="X45" i="4"/>
  <c r="H45" i="4"/>
  <c r="S46" i="4"/>
  <c r="AB47" i="4"/>
  <c r="L47" i="4"/>
  <c r="J45" i="4"/>
  <c r="AD47" i="4"/>
  <c r="AC45" i="4"/>
  <c r="X46" i="4"/>
  <c r="M47" i="4"/>
  <c r="S45" i="4"/>
  <c r="AD46" i="4"/>
  <c r="N46" i="4"/>
  <c r="W47" i="4"/>
  <c r="F47" i="4"/>
  <c r="G46" i="4"/>
  <c r="T47" i="4"/>
  <c r="Z45" i="4"/>
  <c r="U46" i="4"/>
  <c r="R47" i="4"/>
  <c r="M45" i="4"/>
  <c r="H46" i="4"/>
  <c r="AA45" i="4"/>
  <c r="K45" i="4"/>
  <c r="V46" i="4"/>
  <c r="AE47" i="4"/>
  <c r="O47" i="4"/>
  <c r="J38" i="1"/>
  <c r="AB45" i="4"/>
  <c r="L45" i="4"/>
  <c r="W46" i="4"/>
  <c r="AF47" i="4"/>
  <c r="P47" i="4"/>
  <c r="R45" i="4"/>
  <c r="M46" i="4"/>
  <c r="J47" i="4"/>
  <c r="AF46" i="4"/>
  <c r="Y47" i="4"/>
  <c r="W45" i="4"/>
  <c r="G47" i="4"/>
  <c r="R46" i="4"/>
  <c r="AA47" i="4"/>
  <c r="K47" i="4"/>
  <c r="J25" i="4"/>
  <c r="K8" i="4"/>
  <c r="K24" i="4"/>
  <c r="L6" i="4"/>
  <c r="K23" i="4"/>
  <c r="K11" i="4"/>
  <c r="K20" i="4" s="1"/>
  <c r="K5" i="4"/>
  <c r="G40" i="4"/>
  <c r="G26" i="4"/>
  <c r="J23" i="4"/>
  <c r="J26" i="4" s="1"/>
  <c r="H23" i="4"/>
  <c r="H26" i="4" s="1"/>
  <c r="I23" i="4"/>
  <c r="I26" i="4" s="1"/>
  <c r="J6" i="20"/>
  <c r="I26" i="16"/>
  <c r="I29" i="16" s="1"/>
  <c r="I26" i="20"/>
  <c r="H26" i="16"/>
  <c r="H26" i="20"/>
  <c r="F26" i="20"/>
  <c r="F29" i="20" s="1"/>
  <c r="H22" i="16"/>
  <c r="M24" i="20"/>
  <c r="M25" i="20" s="1"/>
  <c r="F24" i="20"/>
  <c r="L19" i="20"/>
  <c r="L20" i="20" s="1"/>
  <c r="E12" i="20"/>
  <c r="M9" i="20"/>
  <c r="M10" i="20" s="1"/>
  <c r="I19" i="20"/>
  <c r="I20" i="20" s="1"/>
  <c r="J16" i="16"/>
  <c r="C16" i="16"/>
  <c r="K34" i="16"/>
  <c r="L29" i="16"/>
  <c r="C58" i="16"/>
  <c r="E44" i="4" s="1"/>
  <c r="K58" i="16"/>
  <c r="K59" i="16" s="1"/>
  <c r="G58" i="16"/>
  <c r="G59" i="16" s="1"/>
  <c r="D8" i="20"/>
  <c r="D22" i="20"/>
  <c r="L22" i="20"/>
  <c r="D35" i="20"/>
  <c r="D36" i="20" s="1"/>
  <c r="L35" i="20"/>
  <c r="L36" i="20" s="1"/>
  <c r="D34" i="20"/>
  <c r="L34" i="20"/>
  <c r="H34" i="20"/>
  <c r="J6" i="16"/>
  <c r="F16" i="16"/>
  <c r="D35" i="16"/>
  <c r="D36" i="16" s="1"/>
  <c r="E39" i="22" s="1"/>
  <c r="L35" i="16"/>
  <c r="L36" i="16" s="1"/>
  <c r="M29" i="16"/>
  <c r="D58" i="16"/>
  <c r="D44" i="4" s="1"/>
  <c r="I22" i="20"/>
  <c r="E8" i="20"/>
  <c r="M8" i="20"/>
  <c r="E22" i="20"/>
  <c r="M22" i="20"/>
  <c r="E35" i="20"/>
  <c r="E36" i="20" s="1"/>
  <c r="M35" i="20"/>
  <c r="M36" i="20" s="1"/>
  <c r="I35" i="20"/>
  <c r="I36" i="20" s="1"/>
  <c r="E34" i="20"/>
  <c r="M34" i="20"/>
  <c r="D19" i="20"/>
  <c r="D20" i="20" s="1"/>
  <c r="I24" i="16"/>
  <c r="E35" i="16"/>
  <c r="E36" i="16" s="1"/>
  <c r="F39" i="22" s="1"/>
  <c r="M35" i="16"/>
  <c r="M36" i="16" s="1"/>
  <c r="I35" i="16"/>
  <c r="I36" i="16" s="1"/>
  <c r="E34" i="16"/>
  <c r="M34" i="16"/>
  <c r="I34" i="16"/>
  <c r="M58" i="16"/>
  <c r="M60" i="16" s="1"/>
  <c r="I58" i="16"/>
  <c r="I59" i="16" s="1"/>
  <c r="F8" i="20"/>
  <c r="F22" i="20"/>
  <c r="F35" i="20"/>
  <c r="F36" i="20" s="1"/>
  <c r="J35" i="20"/>
  <c r="F34" i="20"/>
  <c r="G8" i="16"/>
  <c r="D19" i="16"/>
  <c r="E18" i="22" s="1"/>
  <c r="E17" i="4"/>
  <c r="J24" i="16"/>
  <c r="C6" i="20"/>
  <c r="G26" i="20"/>
  <c r="G29" i="20" s="1"/>
  <c r="K12" i="16"/>
  <c r="K24" i="16"/>
  <c r="H29" i="16"/>
  <c r="D6" i="20"/>
  <c r="D22" i="16"/>
  <c r="L8" i="16"/>
  <c r="E12" i="16"/>
  <c r="K26" i="16"/>
  <c r="K29" i="16" s="1"/>
  <c r="G6" i="20"/>
  <c r="C22" i="20"/>
  <c r="J26" i="20"/>
  <c r="J29" i="20" s="1"/>
  <c r="L59" i="20"/>
  <c r="E6" i="20"/>
  <c r="G43" i="22"/>
  <c r="G47" i="22" s="1"/>
  <c r="G49" i="10"/>
  <c r="H23" i="10"/>
  <c r="C59" i="20"/>
  <c r="K19" i="16"/>
  <c r="K20" i="16" s="1"/>
  <c r="B71" i="20"/>
  <c r="I19" i="16"/>
  <c r="I20" i="16" s="1"/>
  <c r="I34" i="20"/>
  <c r="B26" i="20"/>
  <c r="B29" i="20" s="1"/>
  <c r="M59" i="20"/>
  <c r="I24" i="20"/>
  <c r="D30" i="4"/>
  <c r="D32" i="4" s="1"/>
  <c r="K16" i="16"/>
  <c r="K9" i="16"/>
  <c r="K10" i="16" s="1"/>
  <c r="L9" i="16"/>
  <c r="L10" i="16" s="1"/>
  <c r="L22" i="16"/>
  <c r="E30" i="4"/>
  <c r="E8" i="16"/>
  <c r="E22" i="16"/>
  <c r="L24" i="16"/>
  <c r="D9" i="16"/>
  <c r="D10" i="16" s="1"/>
  <c r="E23" i="4"/>
  <c r="M49" i="1"/>
  <c r="H8" i="20"/>
  <c r="H9" i="20"/>
  <c r="H10" i="20" s="1"/>
  <c r="H12" i="20"/>
  <c r="G8" i="20"/>
  <c r="B91" i="16"/>
  <c r="C4" i="16"/>
  <c r="D4" i="16" s="1"/>
  <c r="D91" i="16" s="1"/>
  <c r="F24" i="16"/>
  <c r="D34" i="16"/>
  <c r="J19" i="16"/>
  <c r="J20" i="16" s="1"/>
  <c r="J24" i="20"/>
  <c r="J36" i="20"/>
  <c r="D8" i="16"/>
  <c r="F22" i="16"/>
  <c r="F35" i="16"/>
  <c r="F36" i="16" s="1"/>
  <c r="G39" i="22" s="1"/>
  <c r="F34" i="16"/>
  <c r="J34" i="16"/>
  <c r="F58" i="16"/>
  <c r="F60" i="16" s="1"/>
  <c r="J58" i="16"/>
  <c r="J59" i="16" s="1"/>
  <c r="K8" i="20"/>
  <c r="K12" i="20"/>
  <c r="G22" i="20"/>
  <c r="G35" i="20"/>
  <c r="G36" i="20" s="1"/>
  <c r="C35" i="20"/>
  <c r="C36" i="20" s="1"/>
  <c r="K35" i="20"/>
  <c r="K36" i="20" s="1"/>
  <c r="G34" i="20"/>
  <c r="K34" i="20"/>
  <c r="K59" i="20"/>
  <c r="F6" i="16"/>
  <c r="I8" i="20"/>
  <c r="C9" i="20"/>
  <c r="C10" i="20" s="1"/>
  <c r="C12" i="20"/>
  <c r="G35" i="16"/>
  <c r="G36" i="16" s="1"/>
  <c r="C35" i="16"/>
  <c r="C36" i="16" s="1"/>
  <c r="D39" i="22" s="1"/>
  <c r="G34" i="16"/>
  <c r="L12" i="20"/>
  <c r="D24" i="20"/>
  <c r="L24" i="20"/>
  <c r="F19" i="16"/>
  <c r="G18" i="22" s="1"/>
  <c r="F59" i="20"/>
  <c r="J12" i="16"/>
  <c r="J8" i="16"/>
  <c r="G12" i="16"/>
  <c r="M19" i="16"/>
  <c r="M20" i="16" s="1"/>
  <c r="E19" i="20"/>
  <c r="E20" i="20" s="1"/>
  <c r="E24" i="20"/>
  <c r="F9" i="16"/>
  <c r="F10" i="16" s="1"/>
  <c r="C9" i="16"/>
  <c r="C10" i="16" s="1"/>
  <c r="K22" i="16"/>
  <c r="J26" i="16"/>
  <c r="J29" i="16" s="1"/>
  <c r="F13" i="4"/>
  <c r="F15" i="4" s="1"/>
  <c r="K28" i="1"/>
  <c r="M22" i="1" s="1"/>
  <c r="L49" i="1"/>
  <c r="L46" i="1"/>
  <c r="F17" i="4"/>
  <c r="B6" i="20"/>
  <c r="I60" i="16"/>
  <c r="C53" i="10"/>
  <c r="L16" i="16"/>
  <c r="L19" i="16"/>
  <c r="L20" i="16" s="1"/>
  <c r="C19" i="16"/>
  <c r="D18" i="22" s="1"/>
  <c r="M53" i="1"/>
  <c r="J22" i="16"/>
  <c r="B8" i="20"/>
  <c r="F8" i="16"/>
  <c r="G9" i="20"/>
  <c r="G10" i="20" s="1"/>
  <c r="F6" i="20"/>
  <c r="C8" i="20"/>
  <c r="G12" i="20"/>
  <c r="G16" i="20"/>
  <c r="K22" i="20"/>
  <c r="G24" i="20"/>
  <c r="C34" i="20"/>
  <c r="H59" i="20"/>
  <c r="M22" i="16"/>
  <c r="M6" i="16"/>
  <c r="J35" i="16"/>
  <c r="J36" i="16" s="1"/>
  <c r="B81" i="16"/>
  <c r="L12" i="16"/>
  <c r="K16" i="20"/>
  <c r="C24" i="16"/>
  <c r="M24" i="16"/>
  <c r="M25" i="16" s="1"/>
  <c r="D26" i="16"/>
  <c r="D29" i="16" s="1"/>
  <c r="E26" i="16"/>
  <c r="E29" i="16" s="1"/>
  <c r="H16" i="20"/>
  <c r="H24" i="20"/>
  <c r="H29" i="20"/>
  <c r="C26" i="20"/>
  <c r="C29" i="20" s="1"/>
  <c r="L26" i="20"/>
  <c r="L29" i="20" s="1"/>
  <c r="J12" i="20"/>
  <c r="F26" i="16"/>
  <c r="F29" i="16" s="1"/>
  <c r="E26" i="20"/>
  <c r="E29" i="20" s="1"/>
  <c r="M29" i="20"/>
  <c r="M30" i="20" s="1"/>
  <c r="M31" i="20" s="1"/>
  <c r="C34" i="16"/>
  <c r="M50" i="1"/>
  <c r="K27" i="1"/>
  <c r="M23" i="1" s="1"/>
  <c r="E29" i="4"/>
  <c r="F12" i="16"/>
  <c r="D17" i="4"/>
  <c r="D24" i="16"/>
  <c r="H35" i="16"/>
  <c r="H36" i="16" s="1"/>
  <c r="H34" i="16"/>
  <c r="L34" i="16"/>
  <c r="H22" i="20"/>
  <c r="B12" i="20"/>
  <c r="C6" i="16"/>
  <c r="C8" i="16"/>
  <c r="G26" i="16"/>
  <c r="G29" i="16" s="1"/>
  <c r="K9" i="20"/>
  <c r="K10" i="20" s="1"/>
  <c r="K6" i="20"/>
  <c r="K24" i="20"/>
  <c r="D59" i="16"/>
  <c r="J9" i="16"/>
  <c r="J10" i="16" s="1"/>
  <c r="D6" i="16"/>
  <c r="D5" i="4" s="1"/>
  <c r="I6" i="16"/>
  <c r="I59" i="20"/>
  <c r="E6" i="16"/>
  <c r="E9" i="16"/>
  <c r="E10" i="16" s="1"/>
  <c r="C91" i="16"/>
  <c r="B34" i="16"/>
  <c r="C19" i="20"/>
  <c r="C20" i="20" s="1"/>
  <c r="J9" i="20"/>
  <c r="J10" i="20" s="1"/>
  <c r="E24" i="4"/>
  <c r="K6" i="16"/>
  <c r="L6" i="16"/>
  <c r="M16" i="16"/>
  <c r="M12" i="16"/>
  <c r="M13" i="16" s="1"/>
  <c r="E19" i="16"/>
  <c r="F18" i="22" s="1"/>
  <c r="E16" i="16"/>
  <c r="G19" i="16"/>
  <c r="G20" i="16" s="1"/>
  <c r="M8" i="16"/>
  <c r="E15" i="4"/>
  <c r="E24" i="16"/>
  <c r="L8" i="20"/>
  <c r="L9" i="20"/>
  <c r="L10" i="20" s="1"/>
  <c r="D12" i="20"/>
  <c r="H24" i="16"/>
  <c r="C12" i="16"/>
  <c r="C22" i="16"/>
  <c r="C26" i="16"/>
  <c r="C29" i="16" s="1"/>
  <c r="H58" i="16"/>
  <c r="L58" i="16"/>
  <c r="L59" i="16" s="1"/>
  <c r="E16" i="20"/>
  <c r="E59" i="20"/>
  <c r="F55" i="1"/>
  <c r="E12" i="4"/>
  <c r="K8" i="16"/>
  <c r="K35" i="16"/>
  <c r="K36" i="16" s="1"/>
  <c r="E58" i="16"/>
  <c r="E60" i="16" s="1"/>
  <c r="H45" i="1" a="1"/>
  <c r="H35" i="20"/>
  <c r="H36" i="20" s="1"/>
  <c r="D12" i="16"/>
  <c r="G9" i="16"/>
  <c r="G10" i="16" s="1"/>
  <c r="G6" i="16"/>
  <c r="D4" i="20"/>
  <c r="C80" i="20"/>
  <c r="I6" i="20"/>
  <c r="H6" i="20"/>
  <c r="G19" i="20"/>
  <c r="G20" i="20" s="1"/>
  <c r="G58" i="20"/>
  <c r="G59" i="20" s="1"/>
  <c r="H19" i="20"/>
  <c r="H20" i="20" s="1"/>
  <c r="I12" i="16"/>
  <c r="I16" i="16"/>
  <c r="G22" i="16"/>
  <c r="H8" i="16"/>
  <c r="I12" i="20"/>
  <c r="I9" i="20"/>
  <c r="I10" i="20" s="1"/>
  <c r="I9" i="16"/>
  <c r="I10" i="16" s="1"/>
  <c r="H12" i="16"/>
  <c r="H19" i="16"/>
  <c r="H20" i="16" s="1"/>
  <c r="H16" i="16"/>
  <c r="K19" i="20"/>
  <c r="K20" i="20" s="1"/>
  <c r="C24" i="20"/>
  <c r="B80" i="16"/>
  <c r="H9" i="16"/>
  <c r="H10" i="16" s="1"/>
  <c r="I29" i="20"/>
  <c r="J22" i="20"/>
  <c r="I8" i="16"/>
  <c r="G24" i="16"/>
  <c r="J19" i="20"/>
  <c r="J20" i="20" s="1"/>
  <c r="J59" i="20"/>
  <c r="D26" i="20"/>
  <c r="D29" i="20" s="1"/>
  <c r="G16" i="16"/>
  <c r="E16" i="4"/>
  <c r="I22" i="16"/>
  <c r="D8" i="4"/>
  <c r="D16" i="16"/>
  <c r="C59" i="16"/>
  <c r="B35" i="16"/>
  <c r="B36" i="16" s="1"/>
  <c r="C39" i="22" s="1"/>
  <c r="L52" i="1"/>
  <c r="M29" i="1" s="1"/>
  <c r="M19" i="20"/>
  <c r="M20" i="20" s="1"/>
  <c r="M16" i="20"/>
  <c r="M12" i="20"/>
  <c r="D59" i="20"/>
  <c r="K26" i="20"/>
  <c r="K29" i="20" s="1"/>
  <c r="M59" i="16"/>
  <c r="B80" i="20"/>
  <c r="J8" i="20"/>
  <c r="B17" i="20"/>
  <c r="B19" i="20" s="1"/>
  <c r="E20" i="1" s="1"/>
  <c r="F12" i="20"/>
  <c r="F19" i="20"/>
  <c r="F20" i="20" s="1"/>
  <c r="J34" i="20"/>
  <c r="C55" i="10"/>
  <c r="C28" i="10" s="1"/>
  <c r="H28" i="10" s="1"/>
  <c r="C34" i="10"/>
  <c r="H34" i="10" s="1"/>
  <c r="L50" i="1"/>
  <c r="L6" i="20"/>
  <c r="B35" i="20"/>
  <c r="B36" i="20" s="1"/>
  <c r="B34" i="20"/>
  <c r="M9" i="16"/>
  <c r="M10" i="16" s="1"/>
  <c r="C50" i="10"/>
  <c r="F16" i="4"/>
  <c r="B58" i="16"/>
  <c r="F44" i="4" s="1"/>
  <c r="C42" i="10"/>
  <c r="B6" i="16"/>
  <c r="B16" i="16"/>
  <c r="K21" i="1" s="1"/>
  <c r="B59" i="20"/>
  <c r="G14" i="4"/>
  <c r="H14" i="4" s="1"/>
  <c r="C45" i="1" a="1"/>
  <c r="C57" i="1" s="1"/>
  <c r="C54" i="10"/>
  <c r="C10" i="10" s="1"/>
  <c r="C49" i="10" s="1"/>
  <c r="H49" i="10" s="1"/>
  <c r="B8" i="16"/>
  <c r="L46" i="23"/>
  <c r="L4" i="23"/>
  <c r="B24" i="16"/>
  <c r="B22" i="16"/>
  <c r="F32" i="4"/>
  <c r="L53" i="1"/>
  <c r="B16" i="20"/>
  <c r="B22" i="20"/>
  <c r="B24" i="20"/>
  <c r="F44" i="22"/>
  <c r="D44" i="22"/>
  <c r="C43" i="10"/>
  <c r="H9" i="10"/>
  <c r="B12" i="16"/>
  <c r="B19" i="16"/>
  <c r="C18" i="22" s="1"/>
  <c r="K20" i="1"/>
  <c r="E44" i="22"/>
  <c r="C57" i="10"/>
  <c r="F35" i="4"/>
  <c r="M21" i="1"/>
  <c r="K24" i="1"/>
  <c r="F7" i="4"/>
  <c r="F12" i="4"/>
  <c r="E22" i="1"/>
  <c r="C67" i="10"/>
  <c r="C32" i="10"/>
  <c r="H32" i="10" s="1"/>
  <c r="C16" i="10"/>
  <c r="H16" i="10" s="1"/>
  <c r="F26" i="4"/>
  <c r="E19" i="1"/>
  <c r="C62" i="10"/>
  <c r="C24" i="10" s="1"/>
  <c r="H24" i="10" s="1"/>
  <c r="B26" i="16"/>
  <c r="B29" i="16" s="1"/>
  <c r="C46" i="22"/>
  <c r="B9" i="16"/>
  <c r="B10" i="16" s="1"/>
  <c r="G44" i="22"/>
  <c r="L13" i="3"/>
  <c r="B22" i="3"/>
  <c r="M22" i="3"/>
  <c r="B7" i="3"/>
  <c r="B9" i="3"/>
  <c r="L22" i="3"/>
  <c r="B10" i="3"/>
  <c r="K13" i="3"/>
  <c r="B12" i="3"/>
  <c r="H23" i="1" s="1"/>
  <c r="B11" i="3"/>
  <c r="D43" i="10"/>
  <c r="D46" i="10"/>
  <c r="H44" i="10"/>
  <c r="D42" i="10"/>
  <c r="F43" i="10"/>
  <c r="F46" i="10"/>
  <c r="E43" i="10"/>
  <c r="E42" i="10"/>
  <c r="E46" i="10"/>
  <c r="I42" i="22"/>
  <c r="D17" i="22"/>
  <c r="E19" i="22"/>
  <c r="D34" i="4"/>
  <c r="E54" i="4"/>
  <c r="D54" i="4"/>
  <c r="G10" i="4" s="1"/>
  <c r="E53" i="4"/>
  <c r="D53" i="4"/>
  <c r="E60" i="4"/>
  <c r="R51" i="1" l="1"/>
  <c r="M55" i="1"/>
  <c r="E25" i="20"/>
  <c r="C74" i="10"/>
  <c r="C41" i="22" s="1"/>
  <c r="H25" i="16"/>
  <c r="E45" i="1" a="1"/>
  <c r="E45" i="1" s="1"/>
  <c r="U54" i="3"/>
  <c r="U53" i="3"/>
  <c r="T54" i="3"/>
  <c r="T53" i="3"/>
  <c r="H22" i="1"/>
  <c r="X50" i="3"/>
  <c r="H21" i="1"/>
  <c r="W50" i="3"/>
  <c r="H20" i="1"/>
  <c r="V50" i="3"/>
  <c r="B13" i="3"/>
  <c r="L5" i="4"/>
  <c r="L23" i="4"/>
  <c r="L8" i="4"/>
  <c r="L24" i="4"/>
  <c r="M6" i="4"/>
  <c r="M21" i="4" s="1"/>
  <c r="L11" i="4"/>
  <c r="L20" i="4" s="1"/>
  <c r="K31" i="4"/>
  <c r="K25" i="4"/>
  <c r="K26" i="4" s="1"/>
  <c r="H40" i="4"/>
  <c r="I40" i="4" s="1"/>
  <c r="J40" i="4" s="1"/>
  <c r="K40" i="4" s="1"/>
  <c r="L40" i="4" s="1"/>
  <c r="L25" i="20"/>
  <c r="K60" i="16"/>
  <c r="G17" i="22"/>
  <c r="F19" i="22"/>
  <c r="K30" i="16"/>
  <c r="K31" i="16" s="1"/>
  <c r="G60" i="16"/>
  <c r="D60" i="16"/>
  <c r="D20" i="16"/>
  <c r="C60" i="16"/>
  <c r="G30" i="16"/>
  <c r="G31" i="16" s="1"/>
  <c r="I25" i="16"/>
  <c r="M30" i="16"/>
  <c r="M31" i="16" s="1"/>
  <c r="E17" i="22"/>
  <c r="D35" i="4"/>
  <c r="D36" i="4" s="1"/>
  <c r="J13" i="16"/>
  <c r="E13" i="16"/>
  <c r="F59" i="16"/>
  <c r="I13" i="16"/>
  <c r="D19" i="22"/>
  <c r="J25" i="16"/>
  <c r="C20" i="16"/>
  <c r="G30" i="20"/>
  <c r="G31" i="20" s="1"/>
  <c r="D13" i="16"/>
  <c r="J30" i="16"/>
  <c r="J31" i="16" s="1"/>
  <c r="I25" i="20"/>
  <c r="E25" i="16"/>
  <c r="F25" i="16"/>
  <c r="C26" i="10"/>
  <c r="H26" i="10" s="1"/>
  <c r="I30" i="20"/>
  <c r="I31" i="20" s="1"/>
  <c r="H25" i="20"/>
  <c r="L55" i="1"/>
  <c r="J60" i="16"/>
  <c r="B25" i="20"/>
  <c r="E30" i="20"/>
  <c r="E31" i="20" s="1"/>
  <c r="E32" i="4"/>
  <c r="J25" i="20"/>
  <c r="G13" i="20"/>
  <c r="J13" i="20"/>
  <c r="L60" i="16"/>
  <c r="F17" i="22"/>
  <c r="E26" i="1"/>
  <c r="F13" i="20"/>
  <c r="E4" i="16"/>
  <c r="E91" i="16" s="1"/>
  <c r="C30" i="16"/>
  <c r="C31" i="16" s="1"/>
  <c r="D25" i="20"/>
  <c r="E26" i="4"/>
  <c r="E34" i="4" s="1"/>
  <c r="B85" i="17"/>
  <c r="K25" i="20"/>
  <c r="G25" i="20"/>
  <c r="B30" i="20"/>
  <c r="B31" i="20" s="1"/>
  <c r="L25" i="16"/>
  <c r="F20" i="16"/>
  <c r="B13" i="20"/>
  <c r="G19" i="22"/>
  <c r="E35" i="4"/>
  <c r="K13" i="20"/>
  <c r="D30" i="16"/>
  <c r="D31" i="16" s="1"/>
  <c r="M26" i="1"/>
  <c r="E59" i="16"/>
  <c r="F25" i="20"/>
  <c r="I39" i="22"/>
  <c r="D64" i="4" s="1"/>
  <c r="C25" i="20"/>
  <c r="K25" i="16"/>
  <c r="F30" i="20"/>
  <c r="F31" i="20" s="1"/>
  <c r="D25" i="16"/>
  <c r="C30" i="20"/>
  <c r="C31" i="20" s="1"/>
  <c r="I30" i="16"/>
  <c r="I31" i="16" s="1"/>
  <c r="F13" i="16"/>
  <c r="L30" i="16"/>
  <c r="L31" i="16" s="1"/>
  <c r="L13" i="16"/>
  <c r="B13" i="16"/>
  <c r="E25" i="1"/>
  <c r="B60" i="16"/>
  <c r="E28" i="1" s="1"/>
  <c r="K19" i="1"/>
  <c r="C17" i="22"/>
  <c r="C70" i="10"/>
  <c r="I45" i="1" a="1"/>
  <c r="C15" i="10"/>
  <c r="H15" i="10" s="1"/>
  <c r="E20" i="16"/>
  <c r="G25" i="16"/>
  <c r="F30" i="16"/>
  <c r="F31" i="16" s="1"/>
  <c r="B20" i="20"/>
  <c r="C20" i="1"/>
  <c r="C22" i="1" s="1"/>
  <c r="M24" i="1" s="1"/>
  <c r="H60" i="16"/>
  <c r="H59" i="16"/>
  <c r="D13" i="20"/>
  <c r="C13" i="20"/>
  <c r="E13" i="20"/>
  <c r="E30" i="16"/>
  <c r="E31" i="16" s="1"/>
  <c r="H30" i="16"/>
  <c r="H31" i="16" s="1"/>
  <c r="C14" i="10"/>
  <c r="H14" i="10" s="1"/>
  <c r="K13" i="16"/>
  <c r="D30" i="20"/>
  <c r="D31" i="20" s="1"/>
  <c r="L30" i="20"/>
  <c r="L31" i="20" s="1"/>
  <c r="C25" i="16"/>
  <c r="C12" i="10"/>
  <c r="H12" i="10" s="1"/>
  <c r="C33" i="10"/>
  <c r="H33" i="10" s="1"/>
  <c r="H57" i="1"/>
  <c r="H45" i="1"/>
  <c r="L13" i="20"/>
  <c r="M13" i="20"/>
  <c r="H13" i="16"/>
  <c r="G13" i="16"/>
  <c r="B25" i="16"/>
  <c r="R53" i="1"/>
  <c r="K26" i="1"/>
  <c r="E21" i="1"/>
  <c r="R47" i="1"/>
  <c r="E4" i="20"/>
  <c r="D80" i="20"/>
  <c r="H30" i="20"/>
  <c r="H31" i="20" s="1"/>
  <c r="K30" i="20"/>
  <c r="K31" i="20" s="1"/>
  <c r="J30" i="20"/>
  <c r="J31" i="20" s="1"/>
  <c r="D12" i="4"/>
  <c r="D7" i="4"/>
  <c r="D15" i="4"/>
  <c r="C13" i="16"/>
  <c r="N49" i="1"/>
  <c r="R49" i="1"/>
  <c r="I13" i="20"/>
  <c r="H13" i="20"/>
  <c r="F4" i="16"/>
  <c r="G4" i="16" s="1"/>
  <c r="H4" i="16" s="1"/>
  <c r="I4" i="16" s="1"/>
  <c r="J4" i="16" s="1"/>
  <c r="K4" i="16" s="1"/>
  <c r="L4" i="16" s="1"/>
  <c r="M4" i="16" s="1"/>
  <c r="R50" i="1"/>
  <c r="R52" i="1"/>
  <c r="R48" i="1"/>
  <c r="N50" i="1"/>
  <c r="N53" i="1"/>
  <c r="B59" i="16"/>
  <c r="E23" i="1" s="1"/>
  <c r="N52" i="1"/>
  <c r="B30" i="16"/>
  <c r="B31" i="16" s="1"/>
  <c r="C19" i="22"/>
  <c r="C56" i="10"/>
  <c r="B20" i="16"/>
  <c r="C45" i="1"/>
  <c r="C54" i="1" s="1"/>
  <c r="N48" i="1"/>
  <c r="C13" i="10"/>
  <c r="H13" i="10" s="1"/>
  <c r="C29" i="10"/>
  <c r="H29" i="10" s="1"/>
  <c r="N51" i="1"/>
  <c r="C56" i="1"/>
  <c r="N47" i="1"/>
  <c r="C27" i="10"/>
  <c r="H27" i="10" s="1"/>
  <c r="F36" i="4"/>
  <c r="D45" i="1" a="1"/>
  <c r="C43" i="22"/>
  <c r="H10" i="10"/>
  <c r="I14" i="4"/>
  <c r="J14" i="4" s="1"/>
  <c r="C30" i="10"/>
  <c r="H30" i="10" s="1"/>
  <c r="C19" i="10"/>
  <c r="H19" i="10" s="1"/>
  <c r="H42" i="10"/>
  <c r="H46" i="10"/>
  <c r="H43" i="10"/>
  <c r="H21" i="4"/>
  <c r="I21" i="4"/>
  <c r="J21" i="4"/>
  <c r="K21" i="4"/>
  <c r="L21" i="4"/>
  <c r="G9" i="4"/>
  <c r="H9" i="4"/>
  <c r="K9" i="4"/>
  <c r="G39" i="4"/>
  <c r="G38" i="4"/>
  <c r="O47" i="1" l="1"/>
  <c r="O48" i="1"/>
  <c r="O49" i="1"/>
  <c r="O50" i="1"/>
  <c r="O51" i="1"/>
  <c r="O52" i="1"/>
  <c r="O53" i="1"/>
  <c r="H56" i="1"/>
  <c r="R46" i="1"/>
  <c r="I45" i="1"/>
  <c r="S46" i="1"/>
  <c r="C17" i="10"/>
  <c r="H17" i="10" s="1"/>
  <c r="C36" i="10"/>
  <c r="H36" i="10" s="1"/>
  <c r="C35" i="10"/>
  <c r="V54" i="3"/>
  <c r="V53" i="3"/>
  <c r="Y50" i="3"/>
  <c r="W54" i="3"/>
  <c r="W53" i="3"/>
  <c r="X54" i="3"/>
  <c r="X53" i="3"/>
  <c r="Y53" i="3"/>
  <c r="Y54" i="3"/>
  <c r="M5" i="4"/>
  <c r="M23" i="4"/>
  <c r="M24" i="4"/>
  <c r="N6" i="4"/>
  <c r="M11" i="4"/>
  <c r="M20" i="4" s="1"/>
  <c r="M8" i="4"/>
  <c r="L31" i="4"/>
  <c r="L25" i="4"/>
  <c r="L26" i="4" s="1"/>
  <c r="I9" i="4"/>
  <c r="J9" i="4"/>
  <c r="M9" i="4"/>
  <c r="L9" i="4"/>
  <c r="H35" i="10"/>
  <c r="E24" i="1"/>
  <c r="I18" i="22"/>
  <c r="G44" i="4" s="1"/>
  <c r="H21" i="10"/>
  <c r="E36" i="4"/>
  <c r="E43" i="4" s="1"/>
  <c r="F43" i="4" s="1"/>
  <c r="G13" i="4" s="1"/>
  <c r="G15" i="4" s="1"/>
  <c r="G16" i="4" s="1"/>
  <c r="G17" i="4" s="1"/>
  <c r="S52" i="1"/>
  <c r="K25" i="1"/>
  <c r="S48" i="1"/>
  <c r="S49" i="1"/>
  <c r="M56" i="1"/>
  <c r="M28" i="1"/>
  <c r="L56" i="1"/>
  <c r="H54" i="1"/>
  <c r="M25" i="1"/>
  <c r="S51" i="1"/>
  <c r="S53" i="1"/>
  <c r="S50" i="1"/>
  <c r="S47" i="1"/>
  <c r="G45" i="1" a="1"/>
  <c r="G45" i="1" s="1"/>
  <c r="E80" i="20"/>
  <c r="F4" i="20"/>
  <c r="G4" i="20" s="1"/>
  <c r="H4" i="20" s="1"/>
  <c r="I4" i="20" s="1"/>
  <c r="J4" i="20" s="1"/>
  <c r="K4" i="20" s="1"/>
  <c r="L4" i="20" s="1"/>
  <c r="M4" i="20" s="1"/>
  <c r="C20" i="10"/>
  <c r="H20" i="10" s="1"/>
  <c r="N46" i="1"/>
  <c r="C55" i="1" s="1"/>
  <c r="D45" i="1"/>
  <c r="D57" i="1"/>
  <c r="C47" i="22"/>
  <c r="I43" i="22"/>
  <c r="C44" i="22"/>
  <c r="I44" i="22" s="1"/>
  <c r="K14" i="4"/>
  <c r="L14" i="4" s="1"/>
  <c r="H10" i="4"/>
  <c r="H38" i="4"/>
  <c r="H39" i="4"/>
  <c r="H12" i="4"/>
  <c r="D56" i="1" l="1"/>
  <c r="O46" i="1"/>
  <c r="G30" i="4"/>
  <c r="G19" i="4"/>
  <c r="N5" i="4"/>
  <c r="N11" i="4"/>
  <c r="N20" i="4" s="1"/>
  <c r="N23" i="4"/>
  <c r="N8" i="4"/>
  <c r="N24" i="4"/>
  <c r="O6" i="4"/>
  <c r="N21" i="4"/>
  <c r="M31" i="4"/>
  <c r="M25" i="4"/>
  <c r="M26" i="4"/>
  <c r="M40" i="4"/>
  <c r="G28" i="4"/>
  <c r="L57" i="1"/>
  <c r="M57" i="1"/>
  <c r="H44" i="4"/>
  <c r="G22" i="4"/>
  <c r="G29" i="4"/>
  <c r="H55" i="1"/>
  <c r="D54" i="1"/>
  <c r="D55" i="1"/>
  <c r="M14" i="4"/>
  <c r="I41" i="4"/>
  <c r="J41" i="4" s="1"/>
  <c r="K41" i="4" s="1"/>
  <c r="L41" i="4" s="1"/>
  <c r="M41" i="4" s="1"/>
  <c r="I10" i="4"/>
  <c r="I38" i="4"/>
  <c r="G35" i="4" l="1"/>
  <c r="O5" i="4"/>
  <c r="O8" i="4"/>
  <c r="O23" i="4"/>
  <c r="O24" i="4"/>
  <c r="P6" i="4"/>
  <c r="O11" i="4"/>
  <c r="O20" i="4" s="1"/>
  <c r="O21" i="4"/>
  <c r="N40" i="4"/>
  <c r="N9" i="4"/>
  <c r="N41" i="4" s="1"/>
  <c r="N25" i="4"/>
  <c r="N26" i="4" s="1"/>
  <c r="N31" i="4"/>
  <c r="G32" i="4"/>
  <c r="G34" i="4"/>
  <c r="H28" i="4"/>
  <c r="N14" i="4"/>
  <c r="J10" i="4"/>
  <c r="J12" i="4" s="1"/>
  <c r="J44" i="4" s="1"/>
  <c r="J38" i="4"/>
  <c r="I12" i="4"/>
  <c r="I44" i="4" s="1"/>
  <c r="I28" i="4" s="1"/>
  <c r="I39" i="4"/>
  <c r="G36" i="4" l="1"/>
  <c r="O40" i="4"/>
  <c r="O9" i="4"/>
  <c r="O41" i="4" s="1"/>
  <c r="O25" i="4"/>
  <c r="O26" i="4" s="1"/>
  <c r="O31" i="4"/>
  <c r="Q6" i="4"/>
  <c r="P24" i="4"/>
  <c r="P11" i="4"/>
  <c r="P20" i="4" s="1"/>
  <c r="P8" i="4"/>
  <c r="P5" i="4"/>
  <c r="P23" i="4"/>
  <c r="P21" i="4"/>
  <c r="O14" i="4"/>
  <c r="P14" i="4" s="1"/>
  <c r="G43" i="4"/>
  <c r="H13" i="4" s="1"/>
  <c r="H15" i="4" s="1"/>
  <c r="H16" i="4" s="1"/>
  <c r="H17" i="4" s="1"/>
  <c r="H29" i="4" s="1"/>
  <c r="J39" i="4"/>
  <c r="K10" i="4"/>
  <c r="K12" i="4" s="1"/>
  <c r="K28" i="4" s="1"/>
  <c r="K38" i="4"/>
  <c r="J28" i="4"/>
  <c r="P40" i="4" l="1"/>
  <c r="P9" i="4"/>
  <c r="P41" i="4" s="1"/>
  <c r="Q23" i="4"/>
  <c r="R6" i="4"/>
  <c r="Q5" i="4"/>
  <c r="Q11" i="4"/>
  <c r="Q20" i="4" s="1"/>
  <c r="Q8" i="4"/>
  <c r="Q24" i="4"/>
  <c r="Q21" i="4"/>
  <c r="P26" i="4"/>
  <c r="P25" i="4"/>
  <c r="P31" i="4"/>
  <c r="H19" i="4"/>
  <c r="H22" i="4" s="1"/>
  <c r="H34" i="4" s="1"/>
  <c r="H30" i="4"/>
  <c r="H35" i="4" s="1"/>
  <c r="L10" i="4"/>
  <c r="L12" i="4" s="1"/>
  <c r="L44" i="4" s="1"/>
  <c r="L28" i="4" s="1"/>
  <c r="L38" i="4"/>
  <c r="K39" i="4"/>
  <c r="Q31" i="4" l="1"/>
  <c r="Q25" i="4"/>
  <c r="Q26" i="4" s="1"/>
  <c r="R24" i="4"/>
  <c r="R8" i="4"/>
  <c r="R11" i="4"/>
  <c r="R20" i="4" s="1"/>
  <c r="R23" i="4"/>
  <c r="S6" i="4"/>
  <c r="R5" i="4"/>
  <c r="R21" i="4"/>
  <c r="Q14" i="4"/>
  <c r="Q40" i="4"/>
  <c r="Q9" i="4"/>
  <c r="Q41" i="4" s="1"/>
  <c r="H36" i="4"/>
  <c r="H43" i="4" s="1"/>
  <c r="I13" i="4" s="1"/>
  <c r="I15" i="4" s="1"/>
  <c r="I16" i="4" s="1"/>
  <c r="I17" i="4" s="1"/>
  <c r="I19" i="4" s="1"/>
  <c r="I22" i="4" s="1"/>
  <c r="I34" i="4" s="1"/>
  <c r="H32" i="4"/>
  <c r="L39" i="4"/>
  <c r="M10" i="4"/>
  <c r="M12" i="4" s="1"/>
  <c r="M44" i="4" s="1"/>
  <c r="M28" i="4" s="1"/>
  <c r="M38" i="4"/>
  <c r="R25" i="4" l="1"/>
  <c r="R26" i="4" s="1"/>
  <c r="R31" i="4"/>
  <c r="S24" i="4"/>
  <c r="S23" i="4"/>
  <c r="T6" i="4"/>
  <c r="S8" i="4"/>
  <c r="S11" i="4"/>
  <c r="S20" i="4" s="1"/>
  <c r="S5" i="4"/>
  <c r="S21" i="4"/>
  <c r="R40" i="4"/>
  <c r="R9" i="4"/>
  <c r="R41" i="4" s="1"/>
  <c r="R14" i="4"/>
  <c r="S14" i="4"/>
  <c r="I29" i="4"/>
  <c r="I30" i="4"/>
  <c r="N10" i="4"/>
  <c r="N12" i="4" s="1"/>
  <c r="N44" i="4" s="1"/>
  <c r="N28" i="4" s="1"/>
  <c r="N38" i="4"/>
  <c r="M39" i="4"/>
  <c r="I35" i="4" l="1"/>
  <c r="T14" i="4"/>
  <c r="S31" i="4"/>
  <c r="S25" i="4"/>
  <c r="S40" i="4"/>
  <c r="S9" i="4"/>
  <c r="S41" i="4" s="1"/>
  <c r="T8" i="4"/>
  <c r="T23" i="4"/>
  <c r="T5" i="4"/>
  <c r="T24" i="4"/>
  <c r="U6" i="4"/>
  <c r="T11" i="4"/>
  <c r="T20" i="4" s="1"/>
  <c r="T21" i="4"/>
  <c r="S26" i="4"/>
  <c r="I32" i="4"/>
  <c r="I36" i="4"/>
  <c r="I43" i="4" s="1"/>
  <c r="J13" i="4" s="1"/>
  <c r="J15" i="4" s="1"/>
  <c r="J16" i="4" s="1"/>
  <c r="J17" i="4" s="1"/>
  <c r="J19" i="4" s="1"/>
  <c r="J22" i="4" s="1"/>
  <c r="J34" i="4" s="1"/>
  <c r="N39" i="4"/>
  <c r="O10" i="4"/>
  <c r="O12" i="4" s="1"/>
  <c r="O44" i="4" s="1"/>
  <c r="O28" i="4" s="1"/>
  <c r="O38" i="4"/>
  <c r="T40" i="4" l="1"/>
  <c r="T9" i="4"/>
  <c r="T41" i="4" s="1"/>
  <c r="U8" i="4"/>
  <c r="U11" i="4"/>
  <c r="U20" i="4" s="1"/>
  <c r="U23" i="4"/>
  <c r="U24" i="4"/>
  <c r="V6" i="4"/>
  <c r="U5" i="4"/>
  <c r="U21" i="4"/>
  <c r="T31" i="4"/>
  <c r="T25" i="4"/>
  <c r="T26" i="4" s="1"/>
  <c r="J29" i="4"/>
  <c r="J30" i="4"/>
  <c r="P10" i="4"/>
  <c r="P12" i="4" s="1"/>
  <c r="P44" i="4" s="1"/>
  <c r="P28" i="4" s="1"/>
  <c r="P38" i="4"/>
  <c r="O39" i="4"/>
  <c r="U25" i="4" l="1"/>
  <c r="U26" i="4" s="1"/>
  <c r="U31" i="4"/>
  <c r="U40" i="4"/>
  <c r="U9" i="4"/>
  <c r="U41" i="4" s="1"/>
  <c r="V5" i="4"/>
  <c r="V8" i="4"/>
  <c r="W6" i="4"/>
  <c r="V23" i="4"/>
  <c r="V24" i="4"/>
  <c r="V11" i="4"/>
  <c r="V20" i="4" s="1"/>
  <c r="V21" i="4"/>
  <c r="U14" i="4"/>
  <c r="J32" i="4"/>
  <c r="J35" i="4"/>
  <c r="J36" i="4" s="1"/>
  <c r="J43" i="4" s="1"/>
  <c r="K13" i="4" s="1"/>
  <c r="K15" i="4" s="1"/>
  <c r="K16" i="4" s="1"/>
  <c r="K17" i="4" s="1"/>
  <c r="K30" i="4" s="1"/>
  <c r="P39" i="4"/>
  <c r="Q10" i="4"/>
  <c r="Q12" i="4" s="1"/>
  <c r="Q44" i="4" s="1"/>
  <c r="Q28" i="4" s="1"/>
  <c r="Q38" i="4"/>
  <c r="V14" i="4" l="1"/>
  <c r="V40" i="4"/>
  <c r="V9" i="4"/>
  <c r="V41" i="4" s="1"/>
  <c r="W8" i="4"/>
  <c r="W11" i="4"/>
  <c r="W20" i="4" s="1"/>
  <c r="W24" i="4"/>
  <c r="X6" i="4"/>
  <c r="W5" i="4"/>
  <c r="W23" i="4"/>
  <c r="W21" i="4"/>
  <c r="V31" i="4"/>
  <c r="V25" i="4"/>
  <c r="V26" i="4" s="1"/>
  <c r="K19" i="4"/>
  <c r="K22" i="4" s="1"/>
  <c r="K34" i="4" s="1"/>
  <c r="K29" i="4"/>
  <c r="K35" i="4" s="1"/>
  <c r="R10" i="4"/>
  <c r="R12" i="4" s="1"/>
  <c r="R44" i="4" s="1"/>
  <c r="R28" i="4" s="1"/>
  <c r="R38" i="4"/>
  <c r="Q39" i="4"/>
  <c r="W40" i="4" l="1"/>
  <c r="W9" i="4"/>
  <c r="W41" i="4" s="1"/>
  <c r="W31" i="4"/>
  <c r="W25" i="4"/>
  <c r="W26" i="4" s="1"/>
  <c r="W14" i="4"/>
  <c r="Y6" i="4"/>
  <c r="X5" i="4"/>
  <c r="X11" i="4"/>
  <c r="X20" i="4" s="1"/>
  <c r="X8" i="4"/>
  <c r="X24" i="4"/>
  <c r="X23" i="4"/>
  <c r="X21" i="4"/>
  <c r="K32" i="4"/>
  <c r="K36" i="4"/>
  <c r="K43" i="4" s="1"/>
  <c r="L13" i="4" s="1"/>
  <c r="L15" i="4" s="1"/>
  <c r="L16" i="4" s="1"/>
  <c r="L17" i="4" s="1"/>
  <c r="L30" i="4" s="1"/>
  <c r="R39" i="4"/>
  <c r="S10" i="4"/>
  <c r="S12" i="4" s="1"/>
  <c r="S44" i="4" s="1"/>
  <c r="S28" i="4" s="1"/>
  <c r="S38" i="4"/>
  <c r="Y23" i="4" l="1"/>
  <c r="Z6" i="4"/>
  <c r="Y5" i="4"/>
  <c r="Y11" i="4"/>
  <c r="Y20" i="4" s="1"/>
  <c r="Y24" i="4"/>
  <c r="Y8" i="4"/>
  <c r="Y21" i="4"/>
  <c r="X14" i="4"/>
  <c r="X40" i="4"/>
  <c r="X9" i="4"/>
  <c r="X41" i="4" s="1"/>
  <c r="X25" i="4"/>
  <c r="X26" i="4" s="1"/>
  <c r="X31" i="4"/>
  <c r="L29" i="4"/>
  <c r="L35" i="4" s="1"/>
  <c r="L19" i="4"/>
  <c r="L22" i="4" s="1"/>
  <c r="L34" i="4" s="1"/>
  <c r="T10" i="4"/>
  <c r="T12" i="4" s="1"/>
  <c r="T44" i="4" s="1"/>
  <c r="T28" i="4" s="1"/>
  <c r="T38" i="4"/>
  <c r="S39" i="4"/>
  <c r="Y40" i="4" l="1"/>
  <c r="Y9" i="4"/>
  <c r="Y41" i="4" s="1"/>
  <c r="Y25" i="4"/>
  <c r="Y31" i="4"/>
  <c r="Z24" i="4"/>
  <c r="Z23" i="4"/>
  <c r="Z11" i="4"/>
  <c r="Z20" i="4" s="1"/>
  <c r="AA6" i="4"/>
  <c r="Z8" i="4"/>
  <c r="Z5" i="4"/>
  <c r="Z21" i="4"/>
  <c r="Y26" i="4"/>
  <c r="L36" i="4"/>
  <c r="L43" i="4" s="1"/>
  <c r="M13" i="4" s="1"/>
  <c r="M15" i="4" s="1"/>
  <c r="M16" i="4" s="1"/>
  <c r="M17" i="4" s="1"/>
  <c r="M30" i="4" s="1"/>
  <c r="Y14" i="4"/>
  <c r="L32" i="4"/>
  <c r="T39" i="4"/>
  <c r="U10" i="4"/>
  <c r="U12" i="4" s="1"/>
  <c r="U44" i="4" s="1"/>
  <c r="U28" i="4" s="1"/>
  <c r="U38" i="4"/>
  <c r="Z14" i="4" l="1"/>
  <c r="Z25" i="4"/>
  <c r="Z26" i="4" s="1"/>
  <c r="Z31" i="4"/>
  <c r="M19" i="4"/>
  <c r="M22" i="4" s="1"/>
  <c r="M34" i="4" s="1"/>
  <c r="Z40" i="4"/>
  <c r="Z9" i="4"/>
  <c r="Z41" i="4" s="1"/>
  <c r="M29" i="4"/>
  <c r="M35" i="4" s="1"/>
  <c r="AA24" i="4"/>
  <c r="AA5" i="4"/>
  <c r="AA23" i="4"/>
  <c r="AB6" i="4"/>
  <c r="AA8" i="4"/>
  <c r="AA11" i="4"/>
  <c r="AA20" i="4" s="1"/>
  <c r="AA21" i="4"/>
  <c r="V10" i="4"/>
  <c r="V12" i="4" s="1"/>
  <c r="V44" i="4" s="1"/>
  <c r="V28" i="4" s="1"/>
  <c r="V38" i="4"/>
  <c r="U39" i="4"/>
  <c r="M36" i="4" l="1"/>
  <c r="M32" i="4"/>
  <c r="M43" i="4"/>
  <c r="N13" i="4" s="1"/>
  <c r="N15" i="4" s="1"/>
  <c r="N16" i="4" s="1"/>
  <c r="N17" i="4" s="1"/>
  <c r="N30" i="4" s="1"/>
  <c r="AA31" i="4"/>
  <c r="AA25" i="4"/>
  <c r="AA26" i="4" s="1"/>
  <c r="AA14" i="4"/>
  <c r="AB8" i="4"/>
  <c r="AB24" i="4"/>
  <c r="AB5" i="4"/>
  <c r="AB23" i="4"/>
  <c r="AC6" i="4"/>
  <c r="AB11" i="4"/>
  <c r="AB20" i="4" s="1"/>
  <c r="AB21" i="4"/>
  <c r="AA40" i="4"/>
  <c r="AA9" i="4"/>
  <c r="AA41" i="4" s="1"/>
  <c r="V39" i="4"/>
  <c r="W10" i="4"/>
  <c r="W12" i="4" s="1"/>
  <c r="W44" i="4" s="1"/>
  <c r="W28" i="4" s="1"/>
  <c r="W38" i="4"/>
  <c r="N29" i="4" l="1"/>
  <c r="N32" i="4" s="1"/>
  <c r="N19" i="4"/>
  <c r="N22" i="4" s="1"/>
  <c r="N34" i="4" s="1"/>
  <c r="AB31" i="4"/>
  <c r="AB25" i="4"/>
  <c r="AB26" i="4" s="1"/>
  <c r="AB40" i="4"/>
  <c r="AB9" i="4"/>
  <c r="AB41" i="4" s="1"/>
  <c r="AB14" i="4"/>
  <c r="AC8" i="4"/>
  <c r="AC5" i="4"/>
  <c r="AC11" i="4"/>
  <c r="AC20" i="4" s="1"/>
  <c r="AC23" i="4"/>
  <c r="AC24" i="4"/>
  <c r="AD6" i="4"/>
  <c r="AC21" i="4"/>
  <c r="X10" i="4"/>
  <c r="X12" i="4" s="1"/>
  <c r="X44" i="4" s="1"/>
  <c r="X28" i="4" s="1"/>
  <c r="X38" i="4"/>
  <c r="W39" i="4"/>
  <c r="N35" i="4" l="1"/>
  <c r="N36" i="4" s="1"/>
  <c r="N43" i="4" s="1"/>
  <c r="O13" i="4" s="1"/>
  <c r="O15" i="4" s="1"/>
  <c r="O16" i="4" s="1"/>
  <c r="O17" i="4" s="1"/>
  <c r="O30" i="4" s="1"/>
  <c r="AC25" i="4"/>
  <c r="AC26" i="4" s="1"/>
  <c r="AC31" i="4"/>
  <c r="AD5" i="4"/>
  <c r="AD8" i="4"/>
  <c r="AD11" i="4"/>
  <c r="AD20" i="4" s="1"/>
  <c r="AD23" i="4"/>
  <c r="AD24" i="4"/>
  <c r="AE6" i="4"/>
  <c r="AD21" i="4"/>
  <c r="AC40" i="4"/>
  <c r="AC9" i="4"/>
  <c r="AC41" i="4" s="1"/>
  <c r="AC14" i="4"/>
  <c r="AD14" i="4" s="1"/>
  <c r="X39" i="4"/>
  <c r="Y10" i="4"/>
  <c r="Y12" i="4" s="1"/>
  <c r="Y44" i="4" s="1"/>
  <c r="Y28" i="4" s="1"/>
  <c r="Y38" i="4"/>
  <c r="O19" i="4" l="1"/>
  <c r="O22" i="4" s="1"/>
  <c r="O34" i="4" s="1"/>
  <c r="O29" i="4"/>
  <c r="O32" i="4" s="1"/>
  <c r="AE14" i="4"/>
  <c r="AD25" i="4"/>
  <c r="AD26" i="4" s="1"/>
  <c r="AD31" i="4"/>
  <c r="AD40" i="4"/>
  <c r="AD9" i="4"/>
  <c r="AD41" i="4" s="1"/>
  <c r="AE8" i="4"/>
  <c r="AE11" i="4"/>
  <c r="AE20" i="4" s="1"/>
  <c r="AE23" i="4"/>
  <c r="AE24" i="4"/>
  <c r="AF6" i="4"/>
  <c r="AE5" i="4"/>
  <c r="AE21" i="4"/>
  <c r="Z10" i="4"/>
  <c r="Z12" i="4" s="1"/>
  <c r="Z44" i="4" s="1"/>
  <c r="Z28" i="4" s="1"/>
  <c r="Z38" i="4"/>
  <c r="Y39" i="4"/>
  <c r="O35" i="4" l="1"/>
  <c r="O36" i="4" s="1"/>
  <c r="O43" i="4" s="1"/>
  <c r="P13" i="4" s="1"/>
  <c r="P15" i="4" s="1"/>
  <c r="P16" i="4" s="1"/>
  <c r="P17" i="4" s="1"/>
  <c r="AE40" i="4"/>
  <c r="AE9" i="4"/>
  <c r="AE41" i="4" s="1"/>
  <c r="AE31" i="4"/>
  <c r="AE25" i="4"/>
  <c r="AE26" i="4" s="1"/>
  <c r="AF24" i="4"/>
  <c r="AF5" i="4"/>
  <c r="AF14" i="4" s="1"/>
  <c r="AF23" i="4"/>
  <c r="AF8" i="4"/>
  <c r="AF11" i="4"/>
  <c r="AF20" i="4" s="1"/>
  <c r="AF21" i="4"/>
  <c r="Z39" i="4"/>
  <c r="AA10" i="4"/>
  <c r="AA12" i="4" s="1"/>
  <c r="AA44" i="4" s="1"/>
  <c r="AA28" i="4" s="1"/>
  <c r="AA38" i="4"/>
  <c r="P30" i="4" l="1"/>
  <c r="P29" i="4"/>
  <c r="P19" i="4"/>
  <c r="P22" i="4" s="1"/>
  <c r="P34" i="4" s="1"/>
  <c r="AF25" i="4"/>
  <c r="AF26" i="4" s="1"/>
  <c r="AF31" i="4"/>
  <c r="AF40" i="4"/>
  <c r="AG40" i="4" s="1"/>
  <c r="AF9" i="4"/>
  <c r="AG23" i="4"/>
  <c r="AB10" i="4"/>
  <c r="AB12" i="4" s="1"/>
  <c r="AB44" i="4" s="1"/>
  <c r="AB28" i="4" s="1"/>
  <c r="AB38" i="4"/>
  <c r="AA39" i="4"/>
  <c r="P32" i="4" l="1"/>
  <c r="P35" i="4"/>
  <c r="P36" i="4" s="1"/>
  <c r="P43" i="4" s="1"/>
  <c r="Q13" i="4" s="1"/>
  <c r="Q15" i="4" s="1"/>
  <c r="Q16" i="4" s="1"/>
  <c r="Q17" i="4" s="1"/>
  <c r="Q30" i="4" s="1"/>
  <c r="AG9" i="4"/>
  <c r="AF41" i="4"/>
  <c r="AG41" i="4" s="1"/>
  <c r="AH24" i="4"/>
  <c r="AB39" i="4"/>
  <c r="AC10" i="4"/>
  <c r="AC12" i="4" s="1"/>
  <c r="AC44" i="4" s="1"/>
  <c r="AC28" i="4" s="1"/>
  <c r="AC38" i="4"/>
  <c r="Q19" i="4" l="1"/>
  <c r="Q22" i="4" s="1"/>
  <c r="Q34" i="4" s="1"/>
  <c r="Q29" i="4"/>
  <c r="Q35" i="4" s="1"/>
  <c r="Q32" i="4"/>
  <c r="AD10" i="4"/>
  <c r="AD12" i="4" s="1"/>
  <c r="AD44" i="4" s="1"/>
  <c r="AD28" i="4" s="1"/>
  <c r="AD38" i="4"/>
  <c r="AC39" i="4"/>
  <c r="Q36" i="4" l="1"/>
  <c r="Q43" i="4" s="1"/>
  <c r="R13" i="4" s="1"/>
  <c r="R15" i="4" s="1"/>
  <c r="R16" i="4" s="1"/>
  <c r="R17" i="4" s="1"/>
  <c r="R30" i="4"/>
  <c r="R29" i="4"/>
  <c r="R19" i="4"/>
  <c r="R22" i="4" s="1"/>
  <c r="R34" i="4" s="1"/>
  <c r="R35" i="4"/>
  <c r="R32" i="4"/>
  <c r="AD39" i="4"/>
  <c r="AE10" i="4"/>
  <c r="AE12" i="4" s="1"/>
  <c r="AE44" i="4" s="1"/>
  <c r="AE28" i="4" s="1"/>
  <c r="AE38" i="4"/>
  <c r="R36" i="4" l="1"/>
  <c r="R43" i="4" s="1"/>
  <c r="S13" i="4" s="1"/>
  <c r="S15" i="4" s="1"/>
  <c r="S16" i="4" s="1"/>
  <c r="S17" i="4" s="1"/>
  <c r="S30" i="4" s="1"/>
  <c r="AF10" i="4"/>
  <c r="AF12" i="4" s="1"/>
  <c r="AF44" i="4" s="1"/>
  <c r="AF38" i="4"/>
  <c r="AG38" i="4"/>
  <c r="AE39" i="4"/>
  <c r="S19" i="4" l="1"/>
  <c r="S22" i="4" s="1"/>
  <c r="S34" i="4" s="1"/>
  <c r="S29" i="4"/>
  <c r="S35" i="4"/>
  <c r="S36" i="4" s="1"/>
  <c r="S43" i="4" s="1"/>
  <c r="T13" i="4" s="1"/>
  <c r="T15" i="4" s="1"/>
  <c r="T16" i="4" s="1"/>
  <c r="T17" i="4" s="1"/>
  <c r="T30" i="4" s="1"/>
  <c r="S32" i="4"/>
  <c r="AF39" i="4"/>
  <c r="AG39" i="4"/>
  <c r="T19" i="4" l="1"/>
  <c r="T22" i="4" s="1"/>
  <c r="T34" i="4" s="1"/>
  <c r="T29" i="4"/>
  <c r="T35" i="4" l="1"/>
  <c r="T36" i="4" s="1"/>
  <c r="T43" i="4" s="1"/>
  <c r="U13" i="4" s="1"/>
  <c r="U15" i="4" s="1"/>
  <c r="U16" i="4" s="1"/>
  <c r="U17" i="4" s="1"/>
  <c r="U30" i="4" s="1"/>
  <c r="T32" i="4"/>
  <c r="U19" i="4" l="1"/>
  <c r="U22" i="4" s="1"/>
  <c r="U34" i="4" s="1"/>
  <c r="U29" i="4"/>
  <c r="U35" i="4" l="1"/>
  <c r="U36" i="4" s="1"/>
  <c r="U43" i="4" s="1"/>
  <c r="V13" i="4" s="1"/>
  <c r="V15" i="4" s="1"/>
  <c r="V16" i="4" s="1"/>
  <c r="V17" i="4" s="1"/>
  <c r="V30" i="4" s="1"/>
  <c r="U32" i="4"/>
  <c r="V19" i="4" l="1"/>
  <c r="V22" i="4" s="1"/>
  <c r="V34" i="4" s="1"/>
  <c r="V29" i="4"/>
  <c r="V35" i="4" l="1"/>
  <c r="V36" i="4" s="1"/>
  <c r="V43" i="4" s="1"/>
  <c r="W13" i="4" s="1"/>
  <c r="W15" i="4" s="1"/>
  <c r="W16" i="4" s="1"/>
  <c r="W17" i="4" s="1"/>
  <c r="W30" i="4" s="1"/>
  <c r="V32" i="4"/>
  <c r="W19" i="4" l="1"/>
  <c r="W22" i="4" s="1"/>
  <c r="W34" i="4" s="1"/>
  <c r="W29" i="4"/>
  <c r="W35" i="4" l="1"/>
  <c r="W36" i="4" s="1"/>
  <c r="W43" i="4" s="1"/>
  <c r="X13" i="4" s="1"/>
  <c r="X15" i="4" s="1"/>
  <c r="X16" i="4" s="1"/>
  <c r="X17" i="4" s="1"/>
  <c r="X30" i="4" s="1"/>
  <c r="W32" i="4"/>
  <c r="X19" i="4" l="1"/>
  <c r="X22" i="4" s="1"/>
  <c r="X34" i="4" s="1"/>
  <c r="X29" i="4"/>
  <c r="X35" i="4" l="1"/>
  <c r="X36" i="4" s="1"/>
  <c r="X43" i="4" s="1"/>
  <c r="Y13" i="4" s="1"/>
  <c r="Y15" i="4" s="1"/>
  <c r="Y16" i="4" s="1"/>
  <c r="Y17" i="4" s="1"/>
  <c r="Y30" i="4" s="1"/>
  <c r="X32" i="4"/>
  <c r="Y19" i="4" l="1"/>
  <c r="Y22" i="4" s="1"/>
  <c r="Y34" i="4" s="1"/>
  <c r="Y29" i="4"/>
  <c r="Y35" i="4" l="1"/>
  <c r="Y36" i="4" s="1"/>
  <c r="Y43" i="4" s="1"/>
  <c r="Z13" i="4" s="1"/>
  <c r="Z15" i="4" s="1"/>
  <c r="Z16" i="4" s="1"/>
  <c r="Z17" i="4" s="1"/>
  <c r="Z30" i="4" s="1"/>
  <c r="Y32" i="4"/>
  <c r="Z19" i="4" l="1"/>
  <c r="Z22" i="4" s="1"/>
  <c r="Z34" i="4" s="1"/>
  <c r="Z29" i="4"/>
  <c r="Z35" i="4" l="1"/>
  <c r="Z36" i="4" s="1"/>
  <c r="Z43" i="4" s="1"/>
  <c r="AA13" i="4" s="1"/>
  <c r="AA15" i="4" s="1"/>
  <c r="AA16" i="4" s="1"/>
  <c r="AA17" i="4" s="1"/>
  <c r="AA30" i="4" s="1"/>
  <c r="Z32" i="4"/>
  <c r="AA19" i="4" l="1"/>
  <c r="AA22" i="4" s="1"/>
  <c r="AA34" i="4" s="1"/>
  <c r="AA29" i="4"/>
  <c r="AA35" i="4" l="1"/>
  <c r="AA36" i="4" s="1"/>
  <c r="AA43" i="4" s="1"/>
  <c r="AB13" i="4" s="1"/>
  <c r="AB15" i="4" s="1"/>
  <c r="AB16" i="4" s="1"/>
  <c r="AB17" i="4" s="1"/>
  <c r="AB30" i="4" s="1"/>
  <c r="AA32" i="4"/>
  <c r="AB19" i="4" l="1"/>
  <c r="AB22" i="4" s="1"/>
  <c r="AB34" i="4" s="1"/>
  <c r="AB29" i="4"/>
  <c r="AB35" i="4" l="1"/>
  <c r="AB36" i="4" s="1"/>
  <c r="AB43" i="4" s="1"/>
  <c r="AC13" i="4" s="1"/>
  <c r="AC15" i="4" s="1"/>
  <c r="AC16" i="4" s="1"/>
  <c r="AC17" i="4" s="1"/>
  <c r="AC30" i="4" s="1"/>
  <c r="AB32" i="4"/>
  <c r="AC19" i="4" l="1"/>
  <c r="AC22" i="4" s="1"/>
  <c r="AC34" i="4" s="1"/>
  <c r="AC29" i="4"/>
  <c r="AC35" i="4" l="1"/>
  <c r="AC36" i="4" s="1"/>
  <c r="AC43" i="4" s="1"/>
  <c r="AD13" i="4" s="1"/>
  <c r="AD15" i="4" s="1"/>
  <c r="AD16" i="4" s="1"/>
  <c r="AD17" i="4" s="1"/>
  <c r="AD30" i="4" s="1"/>
  <c r="AC32" i="4"/>
  <c r="AD19" i="4" l="1"/>
  <c r="AD22" i="4" s="1"/>
  <c r="AD34" i="4" s="1"/>
  <c r="AD29" i="4"/>
  <c r="AD35" i="4" l="1"/>
  <c r="AD36" i="4" s="1"/>
  <c r="AD43" i="4" s="1"/>
  <c r="AE13" i="4" s="1"/>
  <c r="AE15" i="4" s="1"/>
  <c r="AE16" i="4" s="1"/>
  <c r="AE17" i="4" s="1"/>
  <c r="AE30" i="4" s="1"/>
  <c r="AD32" i="4"/>
  <c r="AE19" i="4" l="1"/>
  <c r="AE22" i="4" s="1"/>
  <c r="AE34" i="4" s="1"/>
  <c r="AE29" i="4"/>
  <c r="AE35" i="4" l="1"/>
  <c r="AE36" i="4" s="1"/>
  <c r="AE43" i="4" s="1"/>
  <c r="AF13" i="4" s="1"/>
  <c r="AF15" i="4" s="1"/>
  <c r="AF16" i="4" s="1"/>
  <c r="AF17" i="4" s="1"/>
  <c r="AF30" i="4" s="1"/>
  <c r="AE32" i="4"/>
  <c r="AF29" i="4" l="1"/>
  <c r="AF19" i="4"/>
  <c r="AF22" i="4" s="1"/>
  <c r="AF34" i="4" s="1"/>
  <c r="D71" i="4" s="1"/>
  <c r="AF35" i="4" l="1"/>
  <c r="AF32" i="4"/>
  <c r="AF36" i="4" l="1"/>
  <c r="AF43" i="4" s="1"/>
  <c r="D70" i="4" s="1"/>
  <c r="D77" i="4" l="1"/>
  <c r="D78" i="4"/>
  <c r="D72" i="4" l="1"/>
  <c r="E70" i="4" s="1"/>
  <c r="D75" i="4" l="1"/>
  <c r="E71" i="4"/>
  <c r="H38" i="1" l="1"/>
  <c r="D74" i="4"/>
  <c r="E78" i="4"/>
  <c r="E77" i="4"/>
  <c r="AY56" i="17"/>
  <c r="AY51" i="17"/>
  <c r="AY47" i="17"/>
  <c r="AY50"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Gabriel Gonçalves</author>
    <author>Afonso Simões</author>
    <author>Eduardo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M7" authorId="2" shapeId="0" xr:uid="{8DB04DD0-0686-4CF5-A530-0C818776F5C6}">
      <text>
        <r>
          <rPr>
            <b/>
            <sz val="9"/>
            <color indexed="81"/>
            <rFont val="Tahoma"/>
            <family val="2"/>
          </rPr>
          <t xml:space="preserve">Gabriel Gonçalves:
</t>
        </r>
        <r>
          <rPr>
            <sz val="9"/>
            <color indexed="81"/>
            <rFont val="Tahoma"/>
            <family val="2"/>
          </rPr>
          <t xml:space="preserve">
</t>
        </r>
        <r>
          <rPr>
            <b/>
            <sz val="9"/>
            <color indexed="81"/>
            <rFont val="Tahoma"/>
            <family val="2"/>
          </rPr>
          <t>Seiren Co., Ltd.</t>
        </r>
        <r>
          <rPr>
            <sz val="9"/>
            <color indexed="81"/>
            <rFont val="Tahoma"/>
            <family val="2"/>
          </rPr>
          <t xml:space="preserve"> is a fiber manufacturing company
</t>
        </r>
        <r>
          <rPr>
            <b/>
            <sz val="9"/>
            <color indexed="81"/>
            <rFont val="Tahoma"/>
            <family val="2"/>
          </rPr>
          <t>Hokuriku Electric</t>
        </r>
        <r>
          <rPr>
            <sz val="9"/>
            <color indexed="81"/>
            <rFont val="Tahoma"/>
            <family val="2"/>
          </rPr>
          <t xml:space="preserve"> Power Company 北陸電力 supplies power by a regulated monopoly to Toyama Prefecture, Ishikawa Prefecture</t>
        </r>
      </text>
    </comment>
    <comment ref="M8" authorId="3" shapeId="0" xr:uid="{090C1C56-B9DA-4DE0-B90D-95414256D94D}">
      <text>
        <r>
          <rPr>
            <b/>
            <sz val="9"/>
            <color indexed="81"/>
            <rFont val="Tahoma"/>
            <family val="2"/>
          </rPr>
          <t>Afonso Simões:</t>
        </r>
        <r>
          <rPr>
            <sz val="9"/>
            <color indexed="81"/>
            <rFont val="Tahoma"/>
            <family val="2"/>
          </rPr>
          <t xml:space="preserve">
Iwatani Corporation is a trading company supplying gases for industrial and household use. The Company also handles fuel, consumer products, industrial materials, minerals, construction, agriculture, and medical products. Iwatani produces liquid hydrogen with Mitsubishi Heavy Industries.</t>
        </r>
      </text>
    </comment>
    <comment ref="M9" authorId="3" shapeId="0" xr:uid="{37B74EE7-DAEB-4171-A51F-BC34F3E48251}">
      <text>
        <r>
          <rPr>
            <b/>
            <sz val="9"/>
            <color indexed="81"/>
            <rFont val="Tahoma"/>
            <family val="2"/>
          </rPr>
          <t>Afonso Simões:</t>
        </r>
        <r>
          <rPr>
            <sz val="9"/>
            <color indexed="81"/>
            <rFont val="Tahoma"/>
            <family val="2"/>
          </rPr>
          <t xml:space="preserve">
Suntory Holdings Limited is a Japanese multinational brewing and distilling company group. Established in 1899, it is one of the oldest companies in the distribution of alcoholic beverages in Japan, and makes Japanese whisky.</t>
        </r>
      </text>
    </comment>
    <comment ref="M10" authorId="3" shapeId="0" xr:uid="{1989BD95-A789-49B0-9524-FBF6C8C18FEE}">
      <text>
        <r>
          <rPr>
            <b/>
            <sz val="9"/>
            <color indexed="81"/>
            <rFont val="Tahoma"/>
            <family val="2"/>
          </rPr>
          <t>Afonso Simões:</t>
        </r>
        <r>
          <rPr>
            <sz val="9"/>
            <color indexed="81"/>
            <rFont val="Tahoma"/>
            <family val="2"/>
          </rPr>
          <t xml:space="preserve">
Aichi Steel is a Japanese steel manufacturer. It is a member of the Toyota Group, having been founded in 1934 as the manufacturing department of Toyota Automatic Loom Works, the predecessor to Toyota Industries</t>
        </r>
      </text>
    </comment>
    <comment ref="E24" authorId="3" shapeId="0" xr:uid="{A09C563B-6D59-4F7E-ADF8-7EFA6FBF0F39}">
      <text>
        <r>
          <rPr>
            <b/>
            <sz val="9"/>
            <color indexed="81"/>
            <rFont val="Tahoma"/>
            <family val="2"/>
          </rPr>
          <t>Afonso Simões:</t>
        </r>
        <r>
          <rPr>
            <sz val="9"/>
            <color indexed="81"/>
            <rFont val="Tahoma"/>
            <family val="2"/>
          </rPr>
          <t xml:space="preserve">
Industry Average: 13,59%</t>
        </r>
      </text>
    </comment>
    <comment ref="E25" authorId="3" shapeId="0" xr:uid="{B48953F5-F464-41C4-8363-66C702C72252}">
      <text>
        <r>
          <rPr>
            <b/>
            <sz val="9"/>
            <color indexed="81"/>
            <rFont val="Tahoma"/>
            <family val="2"/>
          </rPr>
          <t>Afonso Simões:</t>
        </r>
        <r>
          <rPr>
            <sz val="9"/>
            <color indexed="81"/>
            <rFont val="Tahoma"/>
            <family val="2"/>
          </rPr>
          <t xml:space="preserve">
Industry Average: 13,81%</t>
        </r>
      </text>
    </comment>
    <comment ref="E26" authorId="3" shapeId="0" xr:uid="{0BEA008E-30C4-4749-A12A-AC15F2FBC96A}">
      <text>
        <r>
          <rPr>
            <b/>
            <sz val="9"/>
            <color indexed="81"/>
            <rFont val="Tahoma"/>
            <family val="2"/>
          </rPr>
          <t>Afonso Simões:</t>
        </r>
        <r>
          <rPr>
            <sz val="9"/>
            <color indexed="81"/>
            <rFont val="Tahoma"/>
            <family val="2"/>
          </rPr>
          <t xml:space="preserve">
Industry Average: 10,3%</t>
        </r>
      </text>
    </comment>
    <comment ref="M29" authorId="3" shapeId="0" xr:uid="{1BBB801C-1DD0-4582-9C3D-95ED0371ACCF}">
      <text>
        <r>
          <rPr>
            <b/>
            <sz val="9"/>
            <color indexed="81"/>
            <rFont val="Tahoma"/>
            <family val="2"/>
          </rPr>
          <t>Afonso Simões:</t>
        </r>
        <r>
          <rPr>
            <sz val="9"/>
            <color indexed="81"/>
            <rFont val="Tahoma"/>
            <family val="2"/>
          </rPr>
          <t xml:space="preserve">
Industry Average: 1,76%</t>
        </r>
      </text>
    </comment>
    <comment ref="D44" authorId="4"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I45" authorId="3" shapeId="0" xr:uid="{6773AD0A-DCF3-4C4C-AB88-51187CD759A8}">
      <text>
        <r>
          <rPr>
            <b/>
            <sz val="9"/>
            <color indexed="81"/>
            <rFont val="Tahoma"/>
            <family val="2"/>
          </rPr>
          <t>Afonso Simões:</t>
        </r>
        <r>
          <rPr>
            <sz val="9"/>
            <color indexed="81"/>
            <rFont val="Tahoma"/>
            <family val="2"/>
          </rPr>
          <t xml:space="preserve">
In August 2012 Daikin agreed to acquire Goodman Global from the San Francisco-based private equity firm Hellman &amp; Friedman for $3.7 billion,[15] after first planning to buy Goodman the previous year.</t>
        </r>
      </text>
    </comment>
    <comment ref="I48" authorId="3" shapeId="0" xr:uid="{AF1B66FB-794A-40D9-8267-AD2041ED23A9}">
      <text>
        <r>
          <rPr>
            <b/>
            <sz val="9"/>
            <color indexed="81"/>
            <rFont val="Tahoma"/>
            <family val="2"/>
          </rPr>
          <t>Afonso Simões:</t>
        </r>
        <r>
          <rPr>
            <sz val="9"/>
            <color indexed="81"/>
            <rFont val="Tahoma"/>
            <family val="2"/>
          </rPr>
          <t xml:space="preserve">
In 2017, Daikin opened the Daikin Texas Technology Park, its largest plant and the fifth largest factory in the world. Costing $417 million, this 4.1-million-square-foot facility in Waller, Texas, will consolidate Goodman's manufacturing operations</t>
        </r>
      </text>
    </comment>
    <comment ref="F51" authorId="3" shapeId="0" xr:uid="{C14C7D4E-9C68-4B80-ACB8-A8A63512726C}">
      <text>
        <r>
          <rPr>
            <b/>
            <sz val="9"/>
            <color indexed="81"/>
            <rFont val="Tahoma"/>
            <family val="2"/>
          </rPr>
          <t>Afonso Simões:</t>
        </r>
        <r>
          <rPr>
            <sz val="9"/>
            <color indexed="81"/>
            <rFont val="Tahoma"/>
            <family val="2"/>
          </rPr>
          <t xml:space="preserve">
On the fiscal year of 2020, the company registered an increase in debt borrowing from 102 billion to 293 billion yen, thus reporting a positive value in Financing Cash Flow.</t>
        </r>
      </text>
    </comment>
    <comment ref="C52" authorId="3" shapeId="0" xr:uid="{3A073F28-702D-4FC8-91E6-C7ED3289F674}">
      <text>
        <r>
          <rPr>
            <b/>
            <sz val="9"/>
            <color indexed="81"/>
            <rFont val="Tahoma"/>
            <family val="2"/>
          </rPr>
          <t>Afonso Simões:</t>
        </r>
        <r>
          <rPr>
            <sz val="9"/>
            <color indexed="81"/>
            <rFont val="Tahoma"/>
            <family val="2"/>
          </rPr>
          <t xml:space="preserve">
In China, the company experienced significant sales growth driven by strong personal consumption, an expanded product lineup, and online sale.
In America, the sales increased as they improved production and sales for residential air-conditioning systems and acquired other companies.
In Europe, they capitalized on heatwave-driven demand and subsidy programs for energy-saving equipment.</t>
        </r>
      </text>
    </comment>
    <comment ref="G52" authorId="3" shapeId="0" xr:uid="{B86F4BA8-7EC8-4633-8614-4AF7C3378D60}">
      <text>
        <r>
          <rPr>
            <b/>
            <sz val="9"/>
            <color indexed="81"/>
            <rFont val="Tahoma"/>
            <family val="2"/>
          </rPr>
          <t>Afonso Simões:</t>
        </r>
        <r>
          <rPr>
            <sz val="9"/>
            <color indexed="81"/>
            <rFont val="Tahoma"/>
            <family val="2"/>
          </rPr>
          <t xml:space="preserve">
There was a huge decrease in Long-term debt, from 546 billion yen in 2020 to 260 billion in 2021.</t>
        </r>
      </text>
    </comment>
    <comment ref="C53" authorId="3" shapeId="0" xr:uid="{DA84E321-7921-4924-B855-64A06F404EA9}">
      <text>
        <r>
          <rPr>
            <b/>
            <sz val="9"/>
            <color indexed="81"/>
            <rFont val="Tahoma"/>
            <family val="2"/>
          </rPr>
          <t>Afonso Simões:</t>
        </r>
        <r>
          <rPr>
            <sz val="9"/>
            <color indexed="81"/>
            <rFont val="Tahoma"/>
            <family val="2"/>
          </rPr>
          <t xml:space="preserve">
In America, thes growth was driven by an increase in productivity and the expansion of their network.
In China, sales rebounded after initial disruptions, benefiting from production resumption and online sales strategies..
In Europe, the growth was achieved through energy-efficient room air conditioners and demand for heating systems supported by subsidies.</t>
        </r>
      </text>
    </comment>
    <comment ref="D53" authorId="3" shapeId="0" xr:uid="{C4F03E65-BA8C-4F98-939F-263F4DEE99E3}">
      <text>
        <r>
          <rPr>
            <b/>
            <sz val="9"/>
            <color indexed="81"/>
            <rFont val="Tahoma"/>
            <family val="2"/>
          </rPr>
          <t>Afonso Simões:</t>
        </r>
        <r>
          <rPr>
            <sz val="9"/>
            <color indexed="81"/>
            <rFont val="Tahoma"/>
            <family val="2"/>
          </rPr>
          <t xml:space="preserve">
The lowest value in the last 8 years, even though the operating income increased form 311 billion in 2021 to 364 billion in 2022.</t>
        </r>
      </text>
    </comment>
    <comment ref="E53" authorId="3" shapeId="0" xr:uid="{2B642385-937D-46A6-9931-3D2004F8079A}">
      <text>
        <r>
          <rPr>
            <b/>
            <sz val="9"/>
            <color indexed="81"/>
            <rFont val="Tahoma"/>
            <family val="2"/>
          </rPr>
          <t>Afonso Simões:</t>
        </r>
        <r>
          <rPr>
            <sz val="9"/>
            <color indexed="81"/>
            <rFont val="Tahoma"/>
            <family val="2"/>
          </rPr>
          <t xml:space="preserve">
The company is "making every effort to maintain a ratio of dividends to shareholder equity (DOE) of 3.0% based on the principle of always providing stable dividends to shareholders".
</t>
        </r>
      </text>
    </comment>
    <comment ref="F53" authorId="3" shapeId="0" xr:uid="{3FF5984A-8970-44C5-9420-2DF6088A76E3}">
      <text>
        <r>
          <rPr>
            <b/>
            <sz val="9"/>
            <color indexed="81"/>
            <rFont val="Tahoma"/>
            <family val="2"/>
          </rPr>
          <t>Afonso Simões:</t>
        </r>
        <r>
          <rPr>
            <sz val="9"/>
            <color indexed="81"/>
            <rFont val="Tahoma"/>
            <family val="2"/>
          </rPr>
          <t xml:space="preserve">
Daikin industries registered an increase in debt repayment from 117 billion yen in 2021 to 428 billion yen in 2022.</t>
        </r>
      </text>
    </comment>
    <comment ref="G53" authorId="3" shapeId="0" xr:uid="{1E4DF9BD-ACF5-4F02-9540-54C313AD04D8}">
      <text>
        <r>
          <rPr>
            <b/>
            <sz val="9"/>
            <color indexed="81"/>
            <rFont val="Tahoma"/>
            <family val="2"/>
          </rPr>
          <t>Afonso Simões:</t>
        </r>
        <r>
          <rPr>
            <sz val="9"/>
            <color indexed="81"/>
            <rFont val="Tahoma"/>
            <family val="2"/>
          </rPr>
          <t xml:space="preserve">
The company registered na increase in short-term debt, going from 97 billion yen in 2021 to 372 billion in 2022.</t>
        </r>
      </text>
    </comment>
    <comment ref="I53" authorId="3" shapeId="0" xr:uid="{4DF70435-2650-4049-81BE-98D6E1EC3AC5}">
      <text>
        <r>
          <rPr>
            <b/>
            <sz val="9"/>
            <color indexed="81"/>
            <rFont val="Tahoma"/>
            <family val="2"/>
          </rPr>
          <t>Afonso Simões:</t>
        </r>
        <r>
          <rPr>
            <sz val="9"/>
            <color indexed="81"/>
            <rFont val="Tahoma"/>
            <family val="2"/>
          </rPr>
          <t xml:space="preserve">
Daikin Comfort Technologies North America closed on the acquisition of CCOM Group, Inc. and its wholly owned subsidiaries for $2.71 per share of common stock and convertible preferred stock today [2/5/2022].</t>
        </r>
      </text>
    </comment>
    <comment ref="J61" authorId="3" shapeId="0" xr:uid="{D00A2144-F5E7-4054-B498-F4CEBD402498}">
      <text>
        <r>
          <rPr>
            <b/>
            <sz val="9"/>
            <color indexed="81"/>
            <rFont val="Tahoma"/>
            <family val="2"/>
          </rPr>
          <t>Afonso Simões:</t>
        </r>
        <r>
          <rPr>
            <sz val="9"/>
            <color indexed="81"/>
            <rFont val="Tahoma"/>
            <family val="2"/>
          </rPr>
          <t xml:space="preserve">
Nomura Asset Management Co., Ltd. (NAM) was established in 1959. As one of Japan's largest asset management companies, we provide asset management services for investment trusts, ETFs and institutional investors.</t>
        </r>
      </text>
    </comment>
    <comment ref="J62" authorId="3" shapeId="0" xr:uid="{D098BB8D-9928-49F1-B476-EE4B727827A6}">
      <text>
        <r>
          <rPr>
            <b/>
            <sz val="9"/>
            <color indexed="81"/>
            <rFont val="Tahoma"/>
            <family val="2"/>
          </rPr>
          <t>Afonso Simões:</t>
        </r>
        <r>
          <rPr>
            <sz val="9"/>
            <color indexed="81"/>
            <rFont val="Tahoma"/>
            <family val="2"/>
          </rPr>
          <t xml:space="preserve">
Sumitomo Mitsui Banking Corporation is a Japanese multinational banking financial services institution owned by Sumitomo Mitsui Financial Group, Inc. It is headquartered in Yurakucho, Chiyoda, Tokyo, Japan. The group operates in retail, corporate, and investment banking segment worldwide. It provides financial products and services to a wide range of clients, including individuals, small and medium-sized enterprises, large corporations, financial institutions and public sector entities. .</t>
        </r>
      </text>
    </comment>
    <comment ref="J63" authorId="3" shapeId="0" xr:uid="{9CA4E85B-E3EE-408F-B6DC-571F630CAD84}">
      <text>
        <r>
          <rPr>
            <b/>
            <sz val="9"/>
            <color indexed="81"/>
            <rFont val="Tahoma"/>
            <family val="2"/>
          </rPr>
          <t>Afonso Simões:</t>
        </r>
        <r>
          <rPr>
            <sz val="9"/>
            <color indexed="81"/>
            <rFont val="Tahoma"/>
            <family val="2"/>
          </rPr>
          <t xml:space="preserve">
Nikko Asset Management is one of Asia’s largest asset managers, with 209.4bn USD* under management, providing high-conviction, active fund management across a range of Equity, Fixed Income and Multi-Asset strategies. In addition, our complementary range of passive strategies covers more than 20 indices and includes some of Asia’s largest exchange-traded funds (ETFs).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Gabriel Gonçalves</author>
  </authors>
  <commentList>
    <comment ref="B39" authorId="0" shapeId="0" xr:uid="{3AA9AB3E-C3E4-4DBA-8AF4-4D2C19015CF9}">
      <text>
        <r>
          <rPr>
            <b/>
            <sz val="9"/>
            <color indexed="81"/>
            <rFont val="Tahoma"/>
            <family val="2"/>
          </rPr>
          <t>Gabriel Gonçalves:</t>
        </r>
        <r>
          <rPr>
            <sz val="9"/>
            <color indexed="81"/>
            <rFont val="Tahoma"/>
            <family val="2"/>
          </rPr>
          <t xml:space="preserve">
HVAC industry - statistics &amp; facts
https://www.statista.com/forecasts/1328876/heating-and-cooling-market-revenue-worldwide</t>
        </r>
      </text>
    </comment>
    <comment ref="B40" authorId="0" shapeId="0" xr:uid="{2FF75BD7-5795-488D-AE07-C21B11391373}">
      <text>
        <r>
          <rPr>
            <b/>
            <sz val="9"/>
            <color indexed="81"/>
            <rFont val="Tahoma"/>
            <family val="2"/>
          </rPr>
          <t>Gabriel Gonçalves:</t>
        </r>
        <r>
          <rPr>
            <sz val="9"/>
            <color indexed="81"/>
            <rFont val="Tahoma"/>
            <family val="2"/>
          </rPr>
          <t xml:space="preserve">
Air Conditioning Systems Market Size, Share &amp; Trends Analysis Report By Type
https://www.grandviewresearch.com/industry-analysis/air-conditioning-systems-industry</t>
        </r>
      </text>
    </comment>
    <comment ref="B41" authorId="0" shapeId="0" xr:uid="{276CCC90-4E04-4897-9062-1F94110A7478}">
      <text>
        <r>
          <rPr>
            <b/>
            <sz val="9"/>
            <color indexed="81"/>
            <rFont val="Tahoma"/>
            <family val="2"/>
          </rPr>
          <t>Gabriel Gonçalves:</t>
        </r>
        <r>
          <rPr>
            <sz val="9"/>
            <color indexed="81"/>
            <rFont val="Tahoma"/>
            <family val="2"/>
          </rPr>
          <t xml:space="preserve">
AIR CONDITIONER MARKET SIZE &amp; SHARE ANALYSIS - GROWTH TRENDS &amp; FORECASTS (2023 - 2028)
https://www.mordorintelligence.com/industry-reports/air-conditioner-market </t>
        </r>
      </text>
    </comment>
    <comment ref="B42" authorId="0" shapeId="0" xr:uid="{6707429F-73D4-4092-A90B-F9D99DDB42F2}">
      <text>
        <r>
          <rPr>
            <b/>
            <sz val="9"/>
            <color indexed="81"/>
            <rFont val="Tahoma"/>
            <family val="2"/>
          </rPr>
          <t>Gabriel Gonçalves:</t>
        </r>
        <r>
          <rPr>
            <sz val="9"/>
            <color indexed="81"/>
            <rFont val="Tahoma"/>
            <family val="2"/>
          </rPr>
          <t xml:space="preserve">
Air Conditioning Systems Market Size Growing at 6% CAGR, Set to Reach 218.5 Billion By 2032
https://www.globenewswire.com/en/news-release/2023/03/24/2634089/0/en/Air-Conditioning-Systems-Market-Size-Growing-at-6-CAGR-Set-to-Reach-218-5-Billion-By-2032.html</t>
        </r>
      </text>
    </comment>
    <comment ref="B44" authorId="0" shapeId="0" xr:uid="{25FB7979-06CE-4A01-A11B-883F3A38C0AC}">
      <text>
        <r>
          <rPr>
            <b/>
            <sz val="9"/>
            <color indexed="81"/>
            <rFont val="Tahoma"/>
            <family val="2"/>
          </rPr>
          <t>Gabriel Gonçalves:</t>
        </r>
        <r>
          <rPr>
            <sz val="9"/>
            <color indexed="81"/>
            <rFont val="Tahoma"/>
            <family val="2"/>
          </rPr>
          <t xml:space="preserve">
https://www.daikin.com/investor/management/strategy/fusion25</t>
        </r>
      </text>
    </comment>
    <comment ref="S48" authorId="0" shapeId="0" xr:uid="{156465EF-F203-42E3-B453-E99540128A23}">
      <text>
        <r>
          <rPr>
            <b/>
            <sz val="9"/>
            <color indexed="81"/>
            <rFont val="Tahoma"/>
            <family val="2"/>
          </rPr>
          <t>Gabriel Gonçalves:</t>
        </r>
        <r>
          <rPr>
            <sz val="9"/>
            <color indexed="81"/>
            <rFont val="Tahoma"/>
            <family val="2"/>
          </rPr>
          <t xml:space="preserve">
https://timesofindia.indiatimes.com/business/india-business/local-sourcing-has-curbed-costs-by-nearly-35-daikin-india-md/articleshow/67337724.cms</t>
        </r>
      </text>
    </comment>
    <comment ref="S51" authorId="0" shapeId="0" xr:uid="{0198405D-17DB-4C79-8B27-CF6365AA44D9}">
      <text>
        <r>
          <rPr>
            <b/>
            <sz val="9"/>
            <color indexed="81"/>
            <rFont val="Tahoma"/>
            <family val="2"/>
          </rPr>
          <t>Gabriel Gonçalves:</t>
        </r>
        <r>
          <rPr>
            <sz val="9"/>
            <color indexed="81"/>
            <rFont val="Tahoma"/>
            <family val="2"/>
          </rPr>
          <t xml:space="preserve">
Commercial</t>
        </r>
      </text>
    </comment>
    <comment ref="S52" authorId="0" shapeId="0" xr:uid="{8956E929-1EEC-472A-A497-FA81ED948F91}">
      <text>
        <r>
          <rPr>
            <b/>
            <sz val="9"/>
            <color indexed="81"/>
            <rFont val="Tahoma"/>
            <family val="2"/>
          </rPr>
          <t>Gabriel Gonçalves:</t>
        </r>
        <r>
          <rPr>
            <sz val="9"/>
            <color indexed="81"/>
            <rFont val="Tahoma"/>
            <family val="2"/>
          </rPr>
          <t xml:space="preserve">
residential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Gabriel Gonçalves</author>
  </authors>
  <commentList>
    <comment ref="B28" authorId="0" shapeId="0" xr:uid="{99160644-0257-478F-BCF7-5688D8E80AFE}">
      <text>
        <r>
          <rPr>
            <sz val="9"/>
            <color indexed="81"/>
            <rFont val="Tahoma"/>
            <family val="2"/>
          </rPr>
          <t xml:space="preserve">Higher- paying its suppliers quicker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Gabriel Gonçalves</author>
  </authors>
  <commentList>
    <comment ref="J13" authorId="0" shapeId="0" xr:uid="{741EF389-B52E-4CD1-8CAA-704F17CCB08D}">
      <text>
        <r>
          <rPr>
            <b/>
            <sz val="9"/>
            <color indexed="81"/>
            <rFont val="Tahoma"/>
            <family val="2"/>
          </rPr>
          <t>Gabriel Gonçalves:</t>
        </r>
        <r>
          <rPr>
            <sz val="9"/>
            <color indexed="81"/>
            <rFont val="Tahoma"/>
            <family val="2"/>
          </rPr>
          <t xml:space="preserve">
https://www.daikin.com/csr/nav/data</t>
        </r>
      </text>
    </comment>
    <comment ref="J14" authorId="0" shapeId="0" xr:uid="{2B20232E-4A37-4908-B174-3A362EC2986F}">
      <text>
        <r>
          <rPr>
            <b/>
            <sz val="9"/>
            <color indexed="81"/>
            <rFont val="Tahoma"/>
            <family val="2"/>
          </rPr>
          <t xml:space="preserve">Gabriel Gonçalves:
</t>
        </r>
        <r>
          <rPr>
            <sz val="9"/>
            <color indexed="81"/>
            <rFont val="Tahoma"/>
            <family val="2"/>
          </rPr>
          <t xml:space="preserve">
Union established in 2014- comprises 24 independent labor unions
10 hearings a year with at least 4% of its employees (approximatly 300 employees)
Salary negotiations with the labor union are held between labor and management with consideration for factors including company performance, operational issues, world trends and the work of the labor union. </t>
        </r>
      </text>
    </comment>
    <comment ref="K17" authorId="0" shapeId="0" xr:uid="{76858329-4821-41EE-BE31-056B41063636}">
      <text>
        <r>
          <rPr>
            <b/>
            <sz val="9"/>
            <color indexed="81"/>
            <rFont val="Tahoma"/>
            <family val="2"/>
          </rPr>
          <t>Gabriel Gonçalves:</t>
        </r>
        <r>
          <rPr>
            <sz val="9"/>
            <color indexed="81"/>
            <rFont val="Tahoma"/>
            <family val="2"/>
          </rPr>
          <t xml:space="preserve">
https://www.refinitiv.com/en/sustainable-finance/esg-scores?esg=Daikin+Industries+Ltd</t>
        </r>
      </text>
    </comment>
    <comment ref="J19" authorId="0" shapeId="0" xr:uid="{2BC848D6-FAAA-47D4-B057-CA24DD7671F0}">
      <text>
        <r>
          <rPr>
            <b/>
            <sz val="9"/>
            <color indexed="81"/>
            <rFont val="Tahoma"/>
            <family val="2"/>
          </rPr>
          <t>Gabriel Gonçalves:</t>
        </r>
        <r>
          <rPr>
            <sz val="9"/>
            <color indexed="81"/>
            <rFont val="Tahoma"/>
            <family val="2"/>
          </rPr>
          <t xml:space="preserve">
Procurement value from suppliers that satisfy Daikin's Class A standards of total procurement value.</t>
        </r>
      </text>
    </comment>
    <comment ref="K19" authorId="0" shapeId="0" xr:uid="{E4CCD51C-F8B5-4715-AB8A-3CE999757933}">
      <text>
        <r>
          <rPr>
            <b/>
            <sz val="9"/>
            <color indexed="81"/>
            <rFont val="Tahoma"/>
            <family val="2"/>
          </rPr>
          <t>Gabriel Gonçalves:</t>
        </r>
        <r>
          <rPr>
            <sz val="9"/>
            <color indexed="81"/>
            <rFont val="Tahoma"/>
            <family val="2"/>
          </rPr>
          <t xml:space="preserve">
https://www.issgovernance.com/esg/iss-esg-gateway/</t>
        </r>
      </text>
    </comment>
    <comment ref="K20" authorId="0" shapeId="0" xr:uid="{CEC2A02C-7F66-488A-A3FB-4F6337CD1BC1}">
      <text>
        <r>
          <rPr>
            <b/>
            <sz val="9"/>
            <color indexed="81"/>
            <rFont val="Tahoma"/>
            <family val="2"/>
          </rPr>
          <t>Gabriel Gonçalves:</t>
        </r>
        <r>
          <rPr>
            <sz val="9"/>
            <color indexed="81"/>
            <rFont val="Tahoma"/>
            <family val="2"/>
          </rPr>
          <t xml:space="preserve">
https://www.cdp.net/en/responses?queries%5Bname%5D=daikin
Climate Change 2022/ Water Security 2022</t>
        </r>
      </text>
    </comment>
    <comment ref="J24" authorId="0" shapeId="0" xr:uid="{7E5DB478-0142-4F59-8CF7-7F24D258D05E}">
      <text>
        <r>
          <rPr>
            <b/>
            <sz val="9"/>
            <color indexed="81"/>
            <rFont val="Tahoma"/>
            <family val="2"/>
          </rPr>
          <t>Gabriel Gonçalves:</t>
        </r>
        <r>
          <rPr>
            <sz val="9"/>
            <color indexed="81"/>
            <rFont val="Tahoma"/>
            <family val="2"/>
          </rPr>
          <t xml:space="preserve">
As of July 1, 2023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Gabriel Gonçalves</author>
    <author>Damião Carvalho Perdigão Gonçalves Ribeiro</author>
  </authors>
  <commentList>
    <comment ref="C38" authorId="0" shapeId="0" xr:uid="{40ED77BA-72E6-4DA0-B7D7-D41B1DC76777}">
      <text>
        <r>
          <rPr>
            <b/>
            <sz val="9"/>
            <color indexed="81"/>
            <rFont val="Tahoma"/>
            <family val="2"/>
          </rPr>
          <t>Gabriel Gonçalves:</t>
        </r>
        <r>
          <rPr>
            <sz val="9"/>
            <color indexed="81"/>
            <rFont val="Tahoma"/>
            <family val="2"/>
          </rPr>
          <t xml:space="preserve">
Bruto</t>
        </r>
      </text>
    </comment>
    <comment ref="C40" authorId="0" shapeId="0" xr:uid="{4C515DC1-44F7-4DB2-9A37-1316588B1219}">
      <text>
        <r>
          <rPr>
            <b/>
            <sz val="9"/>
            <color indexed="81"/>
            <rFont val="Tahoma"/>
            <family val="2"/>
          </rPr>
          <t>Gabriel Gonçalves:</t>
        </r>
        <r>
          <rPr>
            <sz val="9"/>
            <color indexed="81"/>
            <rFont val="Tahoma"/>
            <family val="2"/>
          </rPr>
          <t xml:space="preserve">
Bruto</t>
        </r>
      </text>
    </comment>
    <comment ref="E64" authorId="1" shapeId="0" xr:uid="{9C69F82A-0D3B-42C2-9CDF-7DC31D6C6B13}">
      <text>
        <r>
          <rPr>
            <sz val="10"/>
            <rFont val="Arial"/>
            <family val="2"/>
          </rPr>
          <t xml:space="preserve">Damião Carvalho Perdigão Gonçalves Ribeiro:
40% until 2037, 60% starting in 2038
</t>
        </r>
      </text>
    </comment>
    <comment ref="F64" authorId="1" shapeId="0" xr:uid="{532301B5-7951-483B-B2A3-4CAD00417BB4}">
      <text>
        <r>
          <rPr>
            <sz val="10"/>
            <rFont val="Arial"/>
            <family val="2"/>
          </rPr>
          <t xml:space="preserve">Damião Carvalho Perdigão Gonçalves Ribeiro:
Should be 3% equity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tc={23204115-45A6-4D32-93FB-3A6092C81A8F}</author>
    <author>tc={A17D09A4-A082-4489-A5AA-7DCF8701A6F0}</author>
    <author>tc={1684599D-A253-4013-944C-D8A6DABFB252}</author>
    <author>Damião Carvalho Perdigão Gonçalves Ribeiro</author>
  </authors>
  <commentList>
    <comment ref="E7" authorId="0" shapeId="0" xr:uid="{23204115-45A6-4D32-93FB-3A6092C81A8F}">
      <text>
        <t>[Threaded comment]
Your version of Excel allows you to read this threaded comment; however, any edits to it will get removed if the file is opened in a newer version of Excel. Learn more: https://go.microsoft.com/fwlink/?linkid=870924
Comment:
    Germany as proxy</t>
      </text>
    </comment>
    <comment ref="E8" authorId="1" shapeId="0" xr:uid="{A17D09A4-A082-4489-A5AA-7DCF8701A6F0}">
      <text>
        <t>[Threaded comment]
Your version of Excel allows you to read this threaded comment; however, any edits to it will get removed if the file is opened in a newer version of Excel. Learn more: https://go.microsoft.com/fwlink/?linkid=870924
Comment:
    Australia as proxy</t>
      </text>
    </comment>
    <comment ref="E10" authorId="2" shapeId="0" xr:uid="{1684599D-A253-4013-944C-D8A6DABFB252}">
      <text>
        <t>[Threaded comment]
Your version of Excel allows you to read this threaded comment; however, any edits to it will get removed if the file is opened in a newer version of Excel. Learn more: https://go.microsoft.com/fwlink/?linkid=870924
Comment:
    Average of all the above</t>
      </text>
    </comment>
    <comment ref="G45" authorId="3" shapeId="0" xr:uid="{FAD7921A-C94E-4EA8-8AF7-D07D2530F2A1}">
      <text>
        <r>
          <rPr>
            <sz val="10"/>
            <rFont val="Arial"/>
            <family val="2"/>
          </rPr>
          <t>Damião Carvalho Perdigão Gonçalves Ribeiro:
Ratio done dividing the R&amp;D spent on AC by Revenue generated only by the AC segment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Afonso Simões</author>
  </authors>
  <commentList>
    <comment ref="A9" authorId="0" shapeId="0" xr:uid="{E3F33468-E444-43D2-A06F-66257D08D9B2}">
      <text>
        <r>
          <rPr>
            <b/>
            <sz val="9"/>
            <color indexed="81"/>
            <rFont val="Tahoma"/>
            <family val="2"/>
          </rPr>
          <t>Afonso Simões:</t>
        </r>
        <r>
          <rPr>
            <sz val="9"/>
            <color indexed="81"/>
            <rFont val="Tahoma"/>
            <family val="2"/>
          </rPr>
          <t xml:space="preserve">
Other, Net + Gain (Loss) on Sale of Assets + Minority Interest</t>
        </r>
      </text>
    </comment>
    <comment ref="A19" authorId="0" shapeId="0" xr:uid="{6302771F-1CD8-4885-8C56-CDF0ABC3703E}">
      <text>
        <r>
          <rPr>
            <b/>
            <sz val="9"/>
            <color indexed="81"/>
            <rFont val="Tahoma"/>
            <family val="2"/>
          </rPr>
          <t>Afonso Simões:</t>
        </r>
        <r>
          <rPr>
            <sz val="9"/>
            <color indexed="81"/>
            <rFont val="Tahoma"/>
            <family val="2"/>
          </rPr>
          <t xml:space="preserve">
Foreign Currency Translation Adjustment</t>
        </r>
      </text>
    </comment>
    <comment ref="A34" authorId="0" shapeId="0" xr:uid="{EBE33AD3-59FF-4D14-A998-9B1A21F38ED7}">
      <text>
        <r>
          <rPr>
            <b/>
            <sz val="9"/>
            <color rgb="FF000000"/>
            <rFont val="Tahoma"/>
            <family val="2"/>
          </rPr>
          <t>Afonso Simões:</t>
        </r>
        <r>
          <rPr>
            <sz val="9"/>
            <color rgb="FF000000"/>
            <rFont val="Tahoma"/>
            <family val="2"/>
          </rPr>
          <t xml:space="preserve">
</t>
        </r>
        <r>
          <rPr>
            <sz val="9"/>
            <color rgb="FF000000"/>
            <rFont val="Tahoma"/>
            <family val="2"/>
          </rPr>
          <t xml:space="preserve">Ir ao anual report ver se há Leases, se não, por 0
</t>
        </r>
        <r>
          <rPr>
            <sz val="9"/>
            <color rgb="FF000000"/>
            <rFont val="Tahoma"/>
            <family val="2"/>
          </rPr>
          <t xml:space="preserve">
</t>
        </r>
      </text>
    </comment>
    <comment ref="B34" authorId="0" shapeId="0" xr:uid="{40EB9459-797D-4F30-8259-0C5EE49B54BD}">
      <text>
        <r>
          <rPr>
            <b/>
            <sz val="9"/>
            <color rgb="FF000000"/>
            <rFont val="Tahoma"/>
            <family val="2"/>
          </rPr>
          <t>Afonso Simões:</t>
        </r>
        <r>
          <rPr>
            <sz val="9"/>
            <color rgb="FF000000"/>
            <rFont val="Tahoma"/>
            <family val="2"/>
          </rPr>
          <t xml:space="preserve">
</t>
        </r>
        <r>
          <rPr>
            <sz val="9"/>
            <color rgb="FF000000"/>
            <rFont val="Tahoma"/>
            <family val="2"/>
          </rPr>
          <t>Not reported by the company</t>
        </r>
      </text>
    </comment>
    <comment ref="C34" authorId="0" shapeId="0" xr:uid="{517D8F54-9735-43E0-8B20-29907361C343}">
      <text>
        <r>
          <rPr>
            <b/>
            <sz val="9"/>
            <color indexed="81"/>
            <rFont val="Tahoma"/>
            <family val="2"/>
          </rPr>
          <t>Afonso Simões:</t>
        </r>
        <r>
          <rPr>
            <sz val="9"/>
            <color indexed="81"/>
            <rFont val="Tahoma"/>
            <family val="2"/>
          </rPr>
          <t xml:space="preserve">
Not reported by the company</t>
        </r>
      </text>
    </comment>
    <comment ref="D34" authorId="0" shapeId="0" xr:uid="{6B09FE43-D86D-4843-9DBC-62743F08F52E}">
      <text>
        <r>
          <rPr>
            <b/>
            <sz val="9"/>
            <color indexed="81"/>
            <rFont val="Tahoma"/>
            <family val="2"/>
          </rPr>
          <t>Afonso Simões:</t>
        </r>
        <r>
          <rPr>
            <sz val="9"/>
            <color indexed="81"/>
            <rFont val="Tahoma"/>
            <family val="2"/>
          </rPr>
          <t xml:space="preserve">
Not reported by the company</t>
        </r>
      </text>
    </comment>
    <comment ref="A35" authorId="0" shapeId="0" xr:uid="{E5133ADC-8EDC-4092-A503-E3E5574264EE}">
      <text>
        <r>
          <rPr>
            <b/>
            <sz val="9"/>
            <color rgb="FF000000"/>
            <rFont val="Tahoma"/>
            <family val="2"/>
          </rPr>
          <t>Afonso Simões:</t>
        </r>
        <r>
          <rPr>
            <sz val="9"/>
            <color rgb="FF000000"/>
            <rFont val="Tahoma"/>
            <family val="2"/>
          </rPr>
          <t xml:space="preserve">
</t>
        </r>
        <r>
          <rPr>
            <sz val="9"/>
            <color rgb="FF000000"/>
            <rFont val="Tahoma"/>
            <family val="2"/>
          </rPr>
          <t>Long Term Investments, including affiliate companies</t>
        </r>
      </text>
    </comment>
    <comment ref="A36" authorId="0" shapeId="0" xr:uid="{D8122B19-0A69-4FC0-9091-884F494AB56F}">
      <text>
        <r>
          <rPr>
            <b/>
            <sz val="9"/>
            <color rgb="FF000000"/>
            <rFont val="Tahoma"/>
            <family val="2"/>
          </rPr>
          <t>Afonso Simões:</t>
        </r>
        <r>
          <rPr>
            <sz val="9"/>
            <color rgb="FF000000"/>
            <rFont val="Tahoma"/>
            <family val="2"/>
          </rPr>
          <t xml:space="preserve">
</t>
        </r>
        <r>
          <rPr>
            <sz val="9"/>
            <color rgb="FF000000"/>
            <rFont val="Tahoma"/>
            <family val="2"/>
          </rPr>
          <t>Goodwill, Net + Intangibles, Net + Pension Benefits + Defered Income Tax + Other Long Term Assets</t>
        </r>
      </text>
    </comment>
    <comment ref="A44" authorId="0" shapeId="0" xr:uid="{595E5A88-32D9-4600-B32F-3DF1A8EDCB3D}">
      <text>
        <r>
          <rPr>
            <b/>
            <sz val="9"/>
            <color indexed="81"/>
            <rFont val="Tahoma"/>
            <family val="2"/>
          </rPr>
          <t>Afonso Simões:</t>
        </r>
        <r>
          <rPr>
            <sz val="9"/>
            <color indexed="81"/>
            <rFont val="Tahoma"/>
            <family val="2"/>
          </rPr>
          <t xml:space="preserve">
Notes Payable/Short Term Debt (Short-Term Borrowings + Commercial Papers)</t>
        </r>
      </text>
    </comment>
    <comment ref="A45" authorId="0" shapeId="0" xr:uid="{C3EA275C-57EB-49E5-845D-2D34B6AA2B6F}">
      <text>
        <r>
          <rPr>
            <b/>
            <sz val="9"/>
            <color indexed="81"/>
            <rFont val="Tahoma"/>
            <family val="2"/>
          </rPr>
          <t>Afonso Simões:</t>
        </r>
        <r>
          <rPr>
            <sz val="9"/>
            <color indexed="81"/>
            <rFont val="Tahoma"/>
            <family val="2"/>
          </rPr>
          <t xml:space="preserve">
Lease Obligations</t>
        </r>
      </text>
    </comment>
    <comment ref="A46" authorId="0" shapeId="0" xr:uid="{4B798A32-60CE-4297-B587-DD0EA386DE91}">
      <text>
        <r>
          <rPr>
            <b/>
            <sz val="9"/>
            <color indexed="81"/>
            <rFont val="Tahoma"/>
            <family val="2"/>
          </rPr>
          <t>Afonso Simões:</t>
        </r>
        <r>
          <rPr>
            <sz val="9"/>
            <color indexed="81"/>
            <rFont val="Tahoma"/>
            <family val="2"/>
          </rPr>
          <t xml:space="preserve">
Current portion of bonds payable + Current portion of long-term borrowings + Income taxes payable + Provisions for bonuses for directors + Provision for product warranties + Accrued Expenses + Other
</t>
        </r>
      </text>
    </comment>
    <comment ref="B47" authorId="0" shapeId="0" xr:uid="{3C149777-3EF4-4647-86D8-B844EAD10ACB}">
      <text>
        <r>
          <rPr>
            <b/>
            <sz val="9"/>
            <color indexed="81"/>
            <rFont val="Tahoma"/>
            <family val="2"/>
          </rPr>
          <t>Afonso Simões:</t>
        </r>
        <r>
          <rPr>
            <sz val="9"/>
            <color indexed="81"/>
            <rFont val="Tahoma"/>
            <family val="2"/>
          </rPr>
          <t xml:space="preserve">
In this calculation, Monirity Interest is included, but in their annual report, they exclude Minority Interest from Non-current liabiities, thus giving a different value</t>
        </r>
      </text>
    </comment>
    <comment ref="A48" authorId="0" shapeId="0" xr:uid="{B9A5EE75-DC2E-402E-862D-AE3DB68A60D3}">
      <text>
        <r>
          <rPr>
            <b/>
            <sz val="9"/>
            <color indexed="81"/>
            <rFont val="Tahoma"/>
            <family val="2"/>
          </rPr>
          <t>Afonso Simões:</t>
        </r>
        <r>
          <rPr>
            <sz val="9"/>
            <color indexed="81"/>
            <rFont val="Tahoma"/>
            <family val="2"/>
          </rPr>
          <t xml:space="preserve">
Bonds Payable + Long-term borrowings</t>
        </r>
      </text>
    </comment>
    <comment ref="A49" authorId="0" shapeId="0" xr:uid="{425D1942-F2B0-4EBF-9510-F2D972C690FA}">
      <text>
        <r>
          <rPr>
            <b/>
            <sz val="9"/>
            <color indexed="81"/>
            <rFont val="Tahoma"/>
            <family val="2"/>
          </rPr>
          <t>Afonso Simões:</t>
        </r>
        <r>
          <rPr>
            <sz val="9"/>
            <color indexed="81"/>
            <rFont val="Tahoma"/>
            <family val="2"/>
          </rPr>
          <t xml:space="preserve">
Capital Lease Obligations</t>
        </r>
      </text>
    </comment>
    <comment ref="A50" authorId="0" shapeId="0" xr:uid="{E0905CCF-7300-42F5-882D-BF599D563E37}">
      <text>
        <r>
          <rPr>
            <b/>
            <sz val="9"/>
            <color indexed="81"/>
            <rFont val="Tahoma"/>
            <family val="2"/>
          </rPr>
          <t>Afonso Simões:</t>
        </r>
        <r>
          <rPr>
            <sz val="9"/>
            <color indexed="81"/>
            <rFont val="Tahoma"/>
            <family val="2"/>
          </rPr>
          <t xml:space="preserve">
Deferred Income Tax + Minority Interest + Pension Benefits + Other Long Term Liabilities
</t>
        </r>
      </text>
    </comment>
    <comment ref="A54" authorId="0" shapeId="0" xr:uid="{2352EA98-C7F8-40EB-AE1A-5BAAD67C38FF}">
      <text>
        <r>
          <rPr>
            <b/>
            <sz val="9"/>
            <color indexed="81"/>
            <rFont val="Tahoma"/>
            <family val="2"/>
          </rPr>
          <t>Afonso Simões:</t>
        </r>
        <r>
          <rPr>
            <sz val="9"/>
            <color indexed="81"/>
            <rFont val="Tahoma"/>
            <family val="2"/>
          </rPr>
          <t xml:space="preserve">
Non-Controlling interests</t>
        </r>
      </text>
    </comment>
    <comment ref="A62" authorId="0" shapeId="0" xr:uid="{E9303B70-21FE-4931-A858-D15998723F21}">
      <text>
        <r>
          <rPr>
            <b/>
            <sz val="9"/>
            <color indexed="81"/>
            <rFont val="Tahoma"/>
            <family val="2"/>
          </rPr>
          <t>Afonso Simões:</t>
        </r>
        <r>
          <rPr>
            <sz val="9"/>
            <color indexed="81"/>
            <rFont val="Tahoma"/>
            <family val="2"/>
          </rPr>
          <t xml:space="preserve">
Changes in Working Capital</t>
        </r>
      </text>
    </comment>
    <comment ref="A66" authorId="0" shapeId="0" xr:uid="{B0560BBB-72C4-49AD-858B-3262EE34B162}">
      <text>
        <r>
          <rPr>
            <b/>
            <sz val="9"/>
            <color indexed="81"/>
            <rFont val="Tahoma"/>
            <family val="2"/>
          </rPr>
          <t>Afonso Simões:</t>
        </r>
        <r>
          <rPr>
            <sz val="9"/>
            <color indexed="81"/>
            <rFont val="Tahoma"/>
            <family val="2"/>
          </rPr>
          <t xml:space="preserve">
Acquisition of Business + Sale of Business + Sale of Fixed Assets + Sale/Maturity of Investment + Investment, Net + Purchase of Investments </t>
        </r>
      </text>
    </comment>
    <comment ref="G67" authorId="0" shapeId="0" xr:uid="{7D997E60-9C4B-42D9-8FC6-C4BFB853DCE4}">
      <text>
        <r>
          <rPr>
            <b/>
            <sz val="9"/>
            <color indexed="81"/>
            <rFont val="Tahoma"/>
            <family val="2"/>
          </rPr>
          <t>Afonso Simões:</t>
        </r>
        <r>
          <rPr>
            <sz val="9"/>
            <color indexed="81"/>
            <rFont val="Tahoma"/>
            <family val="2"/>
          </rPr>
          <t xml:space="preserve">
Is this final values or not?
</t>
        </r>
      </text>
    </comment>
    <comment ref="A69" authorId="0" shapeId="0" xr:uid="{9B9A9700-D9E5-4FD3-9199-7F29169D3DCB}">
      <text>
        <r>
          <rPr>
            <b/>
            <sz val="9"/>
            <color indexed="81"/>
            <rFont val="Tahoma"/>
            <family val="2"/>
          </rPr>
          <t>Afonso Simões:</t>
        </r>
        <r>
          <rPr>
            <sz val="9"/>
            <color indexed="81"/>
            <rFont val="Tahoma"/>
            <family val="2"/>
          </rPr>
          <t xml:space="preserve">
No Short Term Debt, Net: se for um valor positivo, pertence ao Issued, se for um valor negativo, pertence ao reduction. E depois, somar esses valor com os do long term, que já estão discriminados
</t>
        </r>
      </text>
    </comment>
    <comment ref="A70" authorId="0" shapeId="0" xr:uid="{D0E26E6A-C8D4-48C1-A482-DA8C48F8DC1A}">
      <text>
        <r>
          <rPr>
            <b/>
            <sz val="9"/>
            <color indexed="81"/>
            <rFont val="Tahoma"/>
            <family val="2"/>
          </rPr>
          <t>Afonso Simões:</t>
        </r>
        <r>
          <rPr>
            <sz val="9"/>
            <color indexed="81"/>
            <rFont val="Tahoma"/>
            <family val="2"/>
          </rPr>
          <t xml:space="preserve">
No Short Term Debt, Net: se for um valor positivo, pertence ao Issued, se for um valor negativo, pertence ao reduction. E depois, somar esses valor com os do long term, que já estão discriminados</t>
        </r>
      </text>
    </comment>
    <comment ref="A74" authorId="0" shapeId="0" xr:uid="{72923740-7306-4A65-964E-53C1056DE556}">
      <text>
        <r>
          <rPr>
            <b/>
            <sz val="9"/>
            <color indexed="81"/>
            <rFont val="Tahoma"/>
            <family val="2"/>
          </rPr>
          <t>Afonso Simões:</t>
        </r>
        <r>
          <rPr>
            <sz val="9"/>
            <color indexed="81"/>
            <rFont val="Tahoma"/>
            <family val="2"/>
          </rPr>
          <t xml:space="preserve">
Issuance (Retirement) of Stock, Net</t>
        </r>
      </text>
    </comment>
    <comment ref="A75" authorId="0" shapeId="0" xr:uid="{F57D9585-FCD0-4D09-882C-1424B1B7BDBC}">
      <text>
        <r>
          <rPr>
            <b/>
            <sz val="9"/>
            <color indexed="81"/>
            <rFont val="Tahoma"/>
            <family val="2"/>
          </rPr>
          <t>Afonso Simões:</t>
        </r>
        <r>
          <rPr>
            <sz val="9"/>
            <color indexed="81"/>
            <rFont val="Tahoma"/>
            <family val="2"/>
          </rPr>
          <t xml:space="preserve">
Proceeds from issuance of bonds + Redemption of bonds + Proceeds from share issuance to non-controlling shareholders + Dividends paid to non-controlling interests + Other, net</t>
        </r>
      </text>
    </comment>
    <comment ref="A89" authorId="0" shapeId="0" xr:uid="{2814CB33-8BB3-4AF6-B667-0D945EE3F7FF}">
      <text>
        <r>
          <rPr>
            <b/>
            <sz val="9"/>
            <color indexed="81"/>
            <rFont val="Tahoma"/>
            <family val="2"/>
          </rPr>
          <t>Afonso Simões:</t>
        </r>
        <r>
          <rPr>
            <sz val="9"/>
            <color indexed="81"/>
            <rFont val="Tahoma"/>
            <family val="2"/>
          </rPr>
          <t xml:space="preserve">
Earnings per Share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future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<sst xmlns="http://schemas.openxmlformats.org/spreadsheetml/2006/main" count="1886" uniqueCount="882">
  <si>
    <t>Team 2</t>
  </si>
  <si>
    <t>8th August</t>
  </si>
  <si>
    <t>TSE</t>
  </si>
  <si>
    <t xml:space="preserve">SIC: </t>
  </si>
  <si>
    <t>COMPANY DESCRIPTION</t>
  </si>
  <si>
    <t>CEO &amp; BOARD OF DIRECTORS</t>
  </si>
  <si>
    <t xml:space="preserve">
Daikin is a leading Japanese company specializing in HVAC (Heating, Ventilation, and Air Conditioning) systems and refrigerants. Established in 1924, Daikin has become a global industry leader known for its innovative technologies and commitment to environmental sustainability. With a strong focus on research and development, Daikin continues to provide cutting-edge cooling solutions and maintain a prominent presence in the international market.</t>
  </si>
  <si>
    <t>Name</t>
  </si>
  <si>
    <t>Gender</t>
  </si>
  <si>
    <t>Age</t>
  </si>
  <si>
    <t>Tenure</t>
  </si>
  <si>
    <t>Executive?</t>
  </si>
  <si>
    <t>Other roles</t>
  </si>
  <si>
    <t>Noriyuki Inoue</t>
  </si>
  <si>
    <t>M</t>
  </si>
  <si>
    <t>Y- Chairman of the Board</t>
  </si>
  <si>
    <t>Chairman Daikin Foundation for Contemporary Arts and  Kansai Philharmonic Orchestra</t>
  </si>
  <si>
    <t>Masanori Togawa</t>
  </si>
  <si>
    <t>Y- President and CEO</t>
  </si>
  <si>
    <t>N/A</t>
  </si>
  <si>
    <t>Tatsuo Kawada</t>
  </si>
  <si>
    <t>N</t>
  </si>
  <si>
    <t>Chairman and CEO of Seiren Co., Ltd.; External Director of Hokuriku Electric Power Company</t>
  </si>
  <si>
    <t>Akiji Makino</t>
  </si>
  <si>
    <t>Chairman and CEO of Iwatani Corporation; Chairman of the Board of Iwatani Industrial Gases Corp</t>
  </si>
  <si>
    <t>Shingo Torii</t>
  </si>
  <si>
    <t>Director and Vice Chairman of the Board of Suntory Holdings Limited</t>
  </si>
  <si>
    <t>Yuko Arai</t>
  </si>
  <si>
    <t>F</t>
  </si>
  <si>
    <t>Senior Advisor of ANA Akindo Co., Ltd.; Outside Director of Aichi Steel Corp</t>
  </si>
  <si>
    <t>Ken Tayano</t>
  </si>
  <si>
    <t>Y</t>
  </si>
  <si>
    <t>Chairman of the Board and President of Daikin (China) Investment Co., Ltd.</t>
  </si>
  <si>
    <t>Masatsugu Minaka</t>
  </si>
  <si>
    <t>Chairman of the Board of Daikin Europe N.V</t>
  </si>
  <si>
    <t>Takashi Matsuzaki</t>
  </si>
  <si>
    <t>JPY MILLIONS</t>
  </si>
  <si>
    <t>Kanwal Jeet Jawa</t>
  </si>
  <si>
    <t>Managing Director and CEO of Daikin Airconditioning India Pvt. Ltd</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</si>
  <si>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</si>
  <si>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</si>
  <si>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</si>
  <si>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</si>
  <si>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</si>
  <si>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</si>
  <si>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</si>
  <si>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</si>
  <si>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</si>
  <si>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</si>
  <si>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</si>
  <si>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</si>
  <si>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</si>
  <si>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</si>
  <si>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</si>
  <si>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31 March 2023</t>
  </si>
  <si>
    <t>Insiders Own</t>
  </si>
  <si>
    <t>Market Cap.</t>
  </si>
  <si>
    <t>Cash/Share</t>
  </si>
  <si>
    <t>EBITDA</t>
  </si>
  <si>
    <t>b (Yahoo)</t>
  </si>
  <si>
    <t>+Total Debt</t>
  </si>
  <si>
    <t>EBIDTA/Net Financial Cost (NFC)</t>
  </si>
  <si>
    <t>Depreciation &amp; Amortization</t>
  </si>
  <si>
    <t>Score (Moodys)</t>
  </si>
  <si>
    <t>A2</t>
  </si>
  <si>
    <t>-Cash</t>
  </si>
  <si>
    <t>Debt/EBITDA</t>
  </si>
  <si>
    <t>EBIT</t>
  </si>
  <si>
    <t>Price/Book Value</t>
  </si>
  <si>
    <t>=Enterprise Value</t>
  </si>
  <si>
    <t>"Others Assets"/Asset</t>
  </si>
  <si>
    <t>Net Income</t>
  </si>
  <si>
    <t>NCF(3y avg)/Asset</t>
  </si>
  <si>
    <t>Holdings (nac/int'l)</t>
  </si>
  <si>
    <t>-</t>
  </si>
  <si>
    <t>Debt/Assets</t>
  </si>
  <si>
    <t>EPS</t>
  </si>
  <si>
    <t>Price/Net Inc. (3y avg)</t>
  </si>
  <si>
    <t>t liq. (Holdings/Vol.)</t>
  </si>
  <si>
    <t>EBITDA Margin (average)</t>
  </si>
  <si>
    <t>Categories</t>
  </si>
  <si>
    <t>ROA</t>
  </si>
  <si>
    <t>EV/Asset</t>
  </si>
  <si>
    <t>% Short</t>
  </si>
  <si>
    <t>Operating Margin (average)</t>
  </si>
  <si>
    <t>ROIC</t>
  </si>
  <si>
    <t>EV/Ebidta (3y average)</t>
  </si>
  <si>
    <t>Traffic ESG</t>
  </si>
  <si>
    <t>Net Income Margin (average)</t>
  </si>
  <si>
    <t>EBITDA (3y average)</t>
  </si>
  <si>
    <t>Price/NCF (3y average)</t>
  </si>
  <si>
    <t>E</t>
  </si>
  <si>
    <t>Net Income (3y average)</t>
  </si>
  <si>
    <t>Bonds 1,3,5a (USD)</t>
  </si>
  <si>
    <t>S</t>
  </si>
  <si>
    <t>Net Financial Cost/Avg Net Debt</t>
  </si>
  <si>
    <t>NFC (3y average)</t>
  </si>
  <si>
    <t>Div+Rep.(3y avg)/Price</t>
  </si>
  <si>
    <t>G</t>
  </si>
  <si>
    <t>Div. Yield</t>
  </si>
  <si>
    <t>INVESTMENT THESIS</t>
  </si>
  <si>
    <t>Pillars of Recommendation</t>
  </si>
  <si>
    <t>Recommendation</t>
  </si>
  <si>
    <t>Valuation Assumptions</t>
  </si>
  <si>
    <t>Pillar</t>
  </si>
  <si>
    <t>Explanation</t>
  </si>
  <si>
    <t>HOLD</t>
  </si>
  <si>
    <t>CHECK DCF</t>
  </si>
  <si>
    <t>Market Leadership</t>
  </si>
  <si>
    <t xml:space="preserve">Daikin is the world's biggest AC manufacturer (segment represents 91% of revenue FY 2022) and has a very consolidated position with an envious 12% global market share </t>
  </si>
  <si>
    <t>Energy transition</t>
  </si>
  <si>
    <t>Daikin is specially well positioned to seize the added value generated by switching from higher polluting items to more eco-friendly ones. Specially in the HC segment (Within AC) which is forecasted to grow by a considerable amount in the near future</t>
  </si>
  <si>
    <t>AI and Machine Learning</t>
  </si>
  <si>
    <t>Daikin is already developing several AI and machine learning solutions to some problems reported by consumer and in-house feedback and since it has better and with more value added products and spends a bigger percentage of revenue in R&amp;D than the average of it's peers, it's well positioned to take advantage of the current and following AI booms</t>
  </si>
  <si>
    <t>Fusion 25</t>
  </si>
  <si>
    <t>Daikin's Fusion 25 company strategy is showing incredible results surpassing every forecast and strenghtenning Daikin's reputation for delivering results. Plus it has more objectives that we feel have a very good impact on the companies' outlook</t>
  </si>
  <si>
    <t>Risks of Investment</t>
  </si>
  <si>
    <t>Price Target</t>
  </si>
  <si>
    <t>Valuation</t>
  </si>
  <si>
    <t>Risk</t>
  </si>
  <si>
    <t>Discount Rate</t>
  </si>
  <si>
    <t>Upside</t>
  </si>
  <si>
    <t>Low brand recognition</t>
  </si>
  <si>
    <t>Daikin's low brand recognition means that they lose customers run to peers that are more focused on marketing on the long</t>
  </si>
  <si>
    <t>Higher cost products compared to peers</t>
  </si>
  <si>
    <t>Daikin's higher prices reflect their superior products. However, because the AC market is not commonly known as a "premium items" market, people have a hard time justifying choosing a Daikin product over, say, a Carrier one.</t>
  </si>
  <si>
    <t>Hard time penetrating in new markets</t>
  </si>
  <si>
    <t>Because of the previous two risks of investment, Daikin has had a hard time penetrating new markets. Most notably the North American one. They solved this problem through several acquisitions and extensive Capex and now the US market is one of their biggest growth drivers. However the difficulty Daikin has in entering new markets should be noted. Especially when they plan to do so, for example in India.</t>
  </si>
  <si>
    <t>According to the DCF analysis, the company seems to be highly overvalued. However it should be noted that we feel like this is due to overall overvaluation of the market as a whole and is not specific to Daikin or it's industry</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</si>
  <si>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</si>
  <si>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</si>
  <si>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</si>
  <si>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</si>
  <si>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</si>
  <si>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</si>
  <si>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</si>
  <si>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</si>
  <si>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</si>
  <si>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</si>
  <si>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</si>
  <si>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</si>
  <si>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</si>
  <si>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</si>
  <si>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</si>
  <si>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</si>
  <si>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</si>
  <si>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</si>
  <si>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</si>
  <si>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</si>
  <si>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</si>
  <si>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</si>
  <si>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</si>
  <si>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</si>
  <si>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</si>
  <si>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</si>
  <si>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</si>
  <si>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</si>
  <si>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 Stake</t>
  </si>
  <si>
    <r>
      <rPr>
        <b/>
        <sz val="8"/>
        <rFont val="Arial"/>
        <family val="2"/>
      </rPr>
      <t xml:space="preserve">Number of Acquisitions: </t>
    </r>
    <r>
      <rPr>
        <sz val="8"/>
        <rFont val="Arial"/>
        <family val="2"/>
      </rPr>
      <t xml:space="preserve">Daikin has always been successful in a number of acquisitions including its acquiring McQuay International, OYL Industries etc. These acquisitions made Daikin Industries, which made the company a major global HVAC manufacturer.
</t>
    </r>
    <r>
      <rPr>
        <b/>
        <sz val="8"/>
        <rFont val="Arial"/>
        <family val="2"/>
      </rPr>
      <t>Frequent Quality Inspection:</t>
    </r>
    <r>
      <rPr>
        <sz val="8"/>
        <rFont val="Arial"/>
        <family val="2"/>
      </rPr>
      <t xml:space="preserve"> Energizing the new examination guarantees the capacity to adjust tactile components, for example, light and smell. They will keep on recognizing potential open doors and look for arrangements to make the world’s spaces more joyful and more aDaikinable.
</t>
    </r>
    <r>
      <rPr>
        <b/>
        <sz val="8"/>
        <rFont val="Arial"/>
        <family val="2"/>
      </rPr>
      <t>Innovations:</t>
    </r>
    <r>
      <rPr>
        <sz val="8"/>
        <rFont val="Arial"/>
        <family val="2"/>
      </rPr>
      <t xml:space="preserve"> As the forerunner in India’s heating, ventilation, and cooling (HVAC) fragment, they are figuring out and embracing new systems.
</t>
    </r>
    <r>
      <rPr>
        <b/>
        <sz val="8"/>
        <rFont val="Arial"/>
        <family val="2"/>
      </rPr>
      <t>Future Expansions:</t>
    </r>
    <r>
      <rPr>
        <sz val="8"/>
        <rFont val="Arial"/>
        <family val="2"/>
      </rPr>
      <t xml:space="preserve"> Their momentum fabricating limits combined with nearby exploration and improvement will guarantee that they serve new business sectors and new topographies like Sri Lanka, Bangladesh and East Africa. 
</t>
    </r>
    <r>
      <rPr>
        <b/>
        <sz val="8"/>
        <rFont val="Arial"/>
        <family val="2"/>
      </rPr>
      <t>Strong Brand Network:</t>
    </r>
    <r>
      <rPr>
        <sz val="8"/>
        <rFont val="Arial"/>
        <family val="2"/>
      </rPr>
      <t xml:space="preserve"> Selling products in over 130 countries including operations in Japan, China, Australia, United States, India, Southeast Asia, Europe, Middle East, Latin America, and Africa.
</t>
    </r>
    <r>
      <rPr>
        <b/>
        <sz val="8"/>
        <rFont val="Arial"/>
        <family val="2"/>
      </rPr>
      <t xml:space="preserve">Huge Manpower Force: </t>
    </r>
    <r>
      <rPr>
        <sz val="8"/>
        <rFont val="Arial"/>
        <family val="2"/>
      </rPr>
      <t>With an employee force of around 80,000+, Daikin is among the top Air conditioning products providers in the world.</t>
    </r>
  </si>
  <si>
    <r>
      <rPr>
        <b/>
        <sz val="9"/>
        <color rgb="FF000000"/>
        <rFont val="Arial"/>
        <family val="2"/>
      </rPr>
      <t xml:space="preserve">High Prices: </t>
    </r>
    <r>
      <rPr>
        <sz val="9"/>
        <color rgb="FF000000"/>
        <rFont val="Arial"/>
        <family val="2"/>
      </rPr>
      <t xml:space="preserve">As compared to its competitors, Daikin products price seems somehow on a higher side which makes the purchasing customer feel that Daikin is overpriced.
</t>
    </r>
    <r>
      <rPr>
        <b/>
        <sz val="9"/>
        <color rgb="FF000000"/>
        <rFont val="Arial"/>
        <family val="2"/>
      </rPr>
      <t xml:space="preserve">Marketing Not Up to the Mark: </t>
    </r>
    <r>
      <rPr>
        <sz val="9"/>
        <color rgb="FF000000"/>
        <rFont val="Arial"/>
        <family val="2"/>
      </rPr>
      <t xml:space="preserve">Daikin is not very good at promoting its products as compared to its competitors. It is very hard for its customers to recall the brand name due to Daikin’s low promotion strategy.
</t>
    </r>
    <r>
      <rPr>
        <b/>
        <sz val="9"/>
        <color rgb="FF000000"/>
        <rFont val="Arial"/>
        <family val="2"/>
      </rPr>
      <t>Zero Presence in Other Segments:</t>
    </r>
    <r>
      <rPr>
        <sz val="9"/>
        <color rgb="FF000000"/>
        <rFont val="Arial"/>
        <family val="2"/>
      </rPr>
      <t xml:space="preserve"> Daikin is the major seller of air conditioners, ventilation systems and ducted-Ac, it has zero to no presence in other segments like refrigerators, Microwave ovens, small kitchens appliances etc. where its competitors like Voltas and IFB are playing very well. 
</t>
    </r>
    <r>
      <rPr>
        <b/>
        <sz val="9"/>
        <color rgb="FF000000"/>
        <rFont val="Arial"/>
        <family val="2"/>
      </rPr>
      <t>Lack of Differentiation:</t>
    </r>
    <r>
      <rPr>
        <sz val="9"/>
        <color rgb="FF000000"/>
        <rFont val="Arial"/>
        <family val="2"/>
      </rPr>
      <t xml:space="preserve"> The consumer electronics sector is saturated with brands that clone each other’s products, and there is nothing that can be done to differentiate between them. Daikin, too, is lacking in distinctiveness.
</t>
    </r>
    <r>
      <rPr>
        <b/>
        <sz val="9"/>
        <color rgb="FF000000"/>
        <rFont val="Arial"/>
        <family val="2"/>
      </rPr>
      <t xml:space="preserve">Dependency: </t>
    </r>
    <r>
      <rPr>
        <sz val="9"/>
        <color rgb="FF000000"/>
        <rFont val="Arial"/>
        <family val="2"/>
      </rPr>
      <t>The corporation is heavily reliant on the Japanese market, as well as some Asian regions. As a result, it loses market share to other brands in other countries, as well as revenue opportunities.</t>
    </r>
  </si>
  <si>
    <t>Nomura Asset Management Co., Ltd.</t>
  </si>
  <si>
    <t>Sumitomo Mitsui Banking Corp</t>
  </si>
  <si>
    <t>Nikko Asset Management Co., Ltd.</t>
  </si>
  <si>
    <t>Daiwa Asset Management Co., Ltd.</t>
  </si>
  <si>
    <t>Mitsubishi UFJ Trust and Banking Corporation</t>
  </si>
  <si>
    <t>The Vanguard Group, Inc.</t>
  </si>
  <si>
    <t>BlackRock Japan Co., Ltd.</t>
  </si>
  <si>
    <t>Norges Bank Investment Management (NBIM)</t>
  </si>
  <si>
    <t>MUFG Bank, Ltd.</t>
  </si>
  <si>
    <t>Mitsubishi UFJ Kokusai Asset Management Co., Ltd.</t>
  </si>
  <si>
    <t>Opportunities</t>
  </si>
  <si>
    <t>Risks</t>
  </si>
  <si>
    <t>BlackRock Fund Advisors</t>
  </si>
  <si>
    <r>
      <rPr>
        <b/>
        <sz val="8"/>
        <rFont val="Arial"/>
        <family val="2"/>
      </rPr>
      <t>Technological Advancement:</t>
    </r>
    <r>
      <rPr>
        <sz val="8"/>
        <rFont val="Arial"/>
        <family val="2"/>
      </rPr>
      <t xml:space="preserve"> The need for Air moulding is expanding among clients everywhere, this is a gigantic chance for Daikin to use upon.
</t>
    </r>
    <r>
      <rPr>
        <b/>
        <sz val="8"/>
        <rFont val="Arial"/>
        <family val="2"/>
      </rPr>
      <t>Increase the Depth of Product Portfolio:</t>
    </r>
    <r>
      <rPr>
        <sz val="8"/>
        <rFont val="Arial"/>
        <family val="2"/>
      </rPr>
      <t xml:space="preserve"> One of the potentials for Daikin is to increase the depth of its product portfolio. It will be able to sell additional things to its already large consumer base.
</t>
    </r>
    <r>
      <rPr>
        <b/>
        <sz val="8"/>
        <rFont val="Arial"/>
        <family val="2"/>
      </rPr>
      <t>Emerging Markets:</t>
    </r>
    <r>
      <rPr>
        <sz val="8"/>
        <rFont val="Arial"/>
        <family val="2"/>
      </rPr>
      <t xml:space="preserve"> Daikin has the opportunity to focus on developing and emerging markets, particularly in Africa and Asia. These expanding markets can assist Daikin in establishing its brand in a new area, hence increasing revenue.
</t>
    </r>
    <r>
      <rPr>
        <b/>
        <sz val="8"/>
        <rFont val="Arial"/>
        <family val="2"/>
      </rPr>
      <t>Introducing Small Appliances:</t>
    </r>
    <r>
      <rPr>
        <sz val="8"/>
        <rFont val="Arial"/>
        <family val="2"/>
      </rPr>
      <t xml:space="preserve"> Daikin is well recognized for its large appliances and household appliances. However, there are a number of small appliances that are not included in Daikin’s product line. LG has already done this, and Daikin can do the same to broaden its intended consumer base and provide additional items under its brand.
</t>
    </r>
    <r>
      <rPr>
        <b/>
        <sz val="8"/>
        <rFont val="Arial"/>
        <family val="2"/>
      </rPr>
      <t>Skilled Labour:</t>
    </r>
    <r>
      <rPr>
        <sz val="8"/>
        <rFont val="Arial"/>
        <family val="2"/>
      </rPr>
      <t xml:space="preserve"> The number of skilled workers accessible in the country has expanded as a result of increasing education and training given by different institutes. This means Daikin will have to spend less on training and development if it can hire skilled labour, resulting in cost savings.</t>
    </r>
  </si>
  <si>
    <r>
      <rPr>
        <b/>
        <sz val="9"/>
        <rFont val="Arial"/>
        <family val="2"/>
      </rPr>
      <t>Mature Markets:</t>
    </r>
    <r>
      <rPr>
        <sz val="9"/>
        <rFont val="Arial"/>
        <family val="2"/>
      </rPr>
      <t xml:space="preserve"> The Japanese and other Asian markets are mature markets with many brands present and well-established. As a result, establishing a presence in these areas is becoming increasingly challenging.
</t>
    </r>
    <r>
      <rPr>
        <b/>
        <sz val="9"/>
        <rFont val="Arial"/>
        <family val="2"/>
      </rPr>
      <t>Intense Competition:</t>
    </r>
    <r>
      <rPr>
        <sz val="9"/>
        <rFont val="Arial"/>
        <family val="2"/>
      </rPr>
      <t xml:space="preserve"> The severe rivalry in this industry is a big issue for Daikin. As a result, rival brands are stealing market share from Daikin, and revenue is stagnating. The competition will not subside in the near future. As a result, Daikin must consider other income and profit-generating opportunities.
</t>
    </r>
    <r>
      <rPr>
        <b/>
        <sz val="9"/>
        <rFont val="Arial"/>
        <family val="2"/>
      </rPr>
      <t xml:space="preserve">Dropping Margins: </t>
    </r>
    <r>
      <rPr>
        <sz val="9"/>
        <rFont val="Arial"/>
        <family val="2"/>
      </rPr>
      <t xml:space="preserve">Dropping margins pose a serious threat to Daikin because they directly jeopardize the company’s expansion and survival.
</t>
    </r>
    <r>
      <rPr>
        <b/>
        <sz val="9"/>
        <rFont val="Arial"/>
        <family val="2"/>
      </rPr>
      <t xml:space="preserve">Shortage of Skilled Human Resources: </t>
    </r>
    <r>
      <rPr>
        <sz val="9"/>
        <rFont val="Arial"/>
        <family val="2"/>
      </rPr>
      <t xml:space="preserve">Due to significant employee turnover and a growing reliance on creative solutions, the company name may experience a shortage of skilled human resources shortly.
</t>
    </r>
    <r>
      <rPr>
        <b/>
        <sz val="9"/>
        <rFont val="Arial"/>
        <family val="2"/>
      </rPr>
      <t>Saturation in Urban Markets &amp; Stagnation in Rural Markets:</t>
    </r>
    <r>
      <rPr>
        <sz val="9"/>
        <rFont val="Arial"/>
        <family val="2"/>
      </rPr>
      <t xml:space="preserve"> This is an ongoing concern for Daikin in its area. One of the causes is that product acceptance is slow in the rural market. Second, due to the wide distances and lack of infrastructure, serving rural clients is more expensive for Daikin than serving urban ones.</t>
    </r>
  </si>
  <si>
    <t>Capital Research Global Investors</t>
  </si>
  <si>
    <t>Sumitomo Life Insurance Co.</t>
  </si>
  <si>
    <t>Sumitomo Realty &amp; Development Co Ltd</t>
  </si>
  <si>
    <t>Capital World Investors</t>
  </si>
  <si>
    <t>BlackRock Institutional Trust Company, N.A.</t>
  </si>
  <si>
    <t>MFS Investment Management</t>
  </si>
  <si>
    <t>BlackRock Asset Management Ireland Limited</t>
  </si>
  <si>
    <t>BlackRock Advisors (UK) Limited</t>
  </si>
  <si>
    <t>DWS Investment GmbH</t>
  </si>
  <si>
    <t>NOTES</t>
  </si>
  <si>
    <t>STOCK PERFORMANCE (5 years)</t>
  </si>
  <si>
    <t>Sales in over 170 countries; 76 thousand employees</t>
  </si>
  <si>
    <t>Operating and Net Margins (nyu.edu)</t>
  </si>
  <si>
    <t>Industry Averages</t>
  </si>
  <si>
    <t>Comparing Average Dividend Yield by Sector - Dividend.com</t>
  </si>
  <si>
    <t>Dividend Yield Industry Averages</t>
  </si>
  <si>
    <t>Products</t>
  </si>
  <si>
    <t>Nominal value</t>
  </si>
  <si>
    <t>YoY Growth</t>
  </si>
  <si>
    <t>Weight</t>
  </si>
  <si>
    <t>Region</t>
  </si>
  <si>
    <t>Japan</t>
  </si>
  <si>
    <t>U.S.</t>
  </si>
  <si>
    <t>Europe</t>
  </si>
  <si>
    <t>Asian and Oceania</t>
  </si>
  <si>
    <t>China</t>
  </si>
  <si>
    <t>Other</t>
  </si>
  <si>
    <t>TOTAL</t>
  </si>
  <si>
    <t>Category</t>
  </si>
  <si>
    <t>Air Conditioning</t>
  </si>
  <si>
    <t>Chemicals</t>
  </si>
  <si>
    <t>Others</t>
  </si>
  <si>
    <t>Eliminations and Corporate</t>
  </si>
  <si>
    <t>Description</t>
  </si>
  <si>
    <t>Graphs</t>
  </si>
  <si>
    <t>Engaged in the manufacture (including installation work)
and sale of air-conditioning and refrigeration equipment</t>
  </si>
  <si>
    <t>Engaged in the manufacture and sale of
chemicals</t>
  </si>
  <si>
    <t>“Others” segment is a business segment not included in reported segments. It includes the oil hydraulic
equipment business, the defense systems business, and the electronics business</t>
  </si>
  <si>
    <t>Intersegment revenue</t>
  </si>
  <si>
    <t>Industry</t>
  </si>
  <si>
    <t>Graphs (Industry Forecasts)</t>
  </si>
  <si>
    <t>Drivers</t>
  </si>
  <si>
    <t>Forecast of the global heating &amp; cooling market revenue from 2018 to 2028(in billion U.S. dollars)</t>
  </si>
  <si>
    <t>Weather and climate patterns- Global Warming</t>
  </si>
  <si>
    <t>Long-term shifts in temperatures and weather patterns leads to higher demand in HVAC</t>
  </si>
  <si>
    <t>Population growth and urbanization</t>
  </si>
  <si>
    <t>Population growth lead to higher demand for housing and infrastructure. With more people living and working in urban areas, there is a greater need for HVAC installations in various buildings, such as apartments, offices, schools, hospitals, and shopping malls</t>
  </si>
  <si>
    <t>Energy transition- Government policies and regulations</t>
  </si>
  <si>
    <t>Sustainable heating, cooling and refrigeration solutions. Ex. Carbon pricing mechanisms or carbon taxes to put a cost on carbon emissions. This encourages businesses and consumers to choose energy-efficient HVAC options to minimize their carbon footprint and reduce their tax burden.</t>
  </si>
  <si>
    <t>Sales forecast</t>
  </si>
  <si>
    <t>Source</t>
  </si>
  <si>
    <t>Market Growth CGAR</t>
  </si>
  <si>
    <t>Period</t>
  </si>
  <si>
    <t>Statista</t>
  </si>
  <si>
    <t>2023-2028</t>
  </si>
  <si>
    <t>Grand View Research</t>
  </si>
  <si>
    <t>2021-2028</t>
  </si>
  <si>
    <t>Mordor Intelligence</t>
  </si>
  <si>
    <t>GlobeNewswire</t>
  </si>
  <si>
    <t>2022-2032</t>
  </si>
  <si>
    <t>Company's Strategy / Extra Notes</t>
  </si>
  <si>
    <t>FUSION 25</t>
  </si>
  <si>
    <t>B2B or B2C ?</t>
  </si>
  <si>
    <t>Asia and Oceania</t>
  </si>
  <si>
    <t>Total</t>
  </si>
  <si>
    <t>% sales</t>
  </si>
  <si>
    <t>B2B</t>
  </si>
  <si>
    <t>B2C</t>
  </si>
  <si>
    <t>TOTAL B2B</t>
  </si>
  <si>
    <t>TOTAL B2C</t>
  </si>
  <si>
    <t xml:space="preserve">            Source: Statista</t>
  </si>
  <si>
    <t>Invertir</t>
  </si>
  <si>
    <t>NO invertir</t>
  </si>
  <si>
    <t>Mantener sin elevar posición</t>
  </si>
  <si>
    <t>Mantener (y seguir comprando)</t>
  </si>
  <si>
    <t>Liquidar</t>
  </si>
  <si>
    <t>PENDIENTE</t>
  </si>
  <si>
    <t>Peer Logo</t>
  </si>
  <si>
    <t>Peer Name</t>
  </si>
  <si>
    <t>In Millions JPY</t>
  </si>
  <si>
    <t>AVERAGE</t>
  </si>
  <si>
    <t>Company Info</t>
  </si>
  <si>
    <t>Market Cap</t>
  </si>
  <si>
    <t>Net Sales (current)</t>
  </si>
  <si>
    <t>Profitability</t>
  </si>
  <si>
    <t>Sales Growth (ttm)</t>
  </si>
  <si>
    <t>Sales Growth (36m)</t>
  </si>
  <si>
    <t>Best value</t>
  </si>
  <si>
    <t>Net Income Margin</t>
  </si>
  <si>
    <t>Return on Equity (RoE)</t>
  </si>
  <si>
    <t>Return on Invested Capital (ROIC)</t>
  </si>
  <si>
    <t>Worst value</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</si>
  <si>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</si>
  <si>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</si>
  <si>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</si>
  <si>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</si>
  <si>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</si>
  <si>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</si>
  <si>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</si>
  <si>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</si>
  <si>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</si>
  <si>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</si>
  <si>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</si>
  <si>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</si>
  <si>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</si>
  <si>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</si>
  <si>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</si>
  <si>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</si>
  <si>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</si>
  <si>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</si>
  <si>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t>Dividend Yield (yahoo finance)</t>
  </si>
  <si>
    <t>Stock Performance</t>
  </si>
  <si>
    <t>1y</t>
  </si>
  <si>
    <t>3y</t>
  </si>
  <si>
    <t>Current Price</t>
  </si>
  <si>
    <t>Average Target Price</t>
  </si>
  <si>
    <t>Upside/Downside</t>
  </si>
  <si>
    <t>Extra</t>
  </si>
  <si>
    <t>Investment in R&amp;D</t>
  </si>
  <si>
    <t>R&amp;D/Net Sales</t>
  </si>
  <si>
    <t>Financial Data</t>
  </si>
  <si>
    <t>IS</t>
  </si>
  <si>
    <t>Net Sales (36m ago)</t>
  </si>
  <si>
    <t>Net Sales (12m ago)</t>
  </si>
  <si>
    <t>COGS</t>
  </si>
  <si>
    <t>Operating Income</t>
  </si>
  <si>
    <t>Net Financial Cost</t>
  </si>
  <si>
    <t>Taxes</t>
  </si>
  <si>
    <t>BS</t>
  </si>
  <si>
    <t>Cash &amp; Eq.</t>
  </si>
  <si>
    <t>Acc. Receivables</t>
  </si>
  <si>
    <t>Inventory</t>
  </si>
  <si>
    <t>Current Assets</t>
  </si>
  <si>
    <t>Fixed Assets</t>
  </si>
  <si>
    <t>Acc. Payable</t>
  </si>
  <si>
    <t>Current Liabilities</t>
  </si>
  <si>
    <t>Total Debt</t>
  </si>
  <si>
    <t>Total Equity</t>
  </si>
  <si>
    <t>Float, b, Div. Yield</t>
  </si>
  <si>
    <t>Source: https://finviz.com/quote.ashx?t=CARR&amp;p=d</t>
  </si>
  <si>
    <t>Company GICS Sector:</t>
  </si>
  <si>
    <t>Yes</t>
  </si>
  <si>
    <t>Industrials</t>
  </si>
  <si>
    <t>&lt;- Select Industry</t>
  </si>
  <si>
    <t>No</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</si>
  <si>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</si>
  <si>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</si>
  <si>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</si>
  <si>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</si>
  <si>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</si>
  <si>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</si>
  <si>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</si>
  <si>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</si>
  <si>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</si>
  <si>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</si>
  <si>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</si>
  <si>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</si>
  <si>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</si>
  <si>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</si>
  <si>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Medium</t>
  </si>
  <si>
    <t>Achieve carbon neutrality by 2050</t>
  </si>
  <si>
    <t>Increased 13% (2020-2021). Highest value per sales of the last 3 years. Achieve 30% reduction in 2025 and over 50% in 2030</t>
  </si>
  <si>
    <t>CO2 Emissions/$M Sales</t>
  </si>
  <si>
    <t>Total Water Consumption</t>
  </si>
  <si>
    <t>None</t>
  </si>
  <si>
    <t>Increased 5% (2020-2021). Highest value (2021) in % of sales of the last 2 years</t>
  </si>
  <si>
    <t>Water Consumption/$M Sales</t>
  </si>
  <si>
    <t>Total Energy Consumption</t>
  </si>
  <si>
    <t>"Villain"</t>
  </si>
  <si>
    <t>Increased 17% (2020-2021). Highest value (2021) in % of sales of the last 4 years</t>
  </si>
  <si>
    <t>Energy Consumption/$M Sales</t>
  </si>
  <si>
    <t>Waste Management</t>
  </si>
  <si>
    <t>Medium High</t>
  </si>
  <si>
    <t>Increased 28% (2020-2021).  Highest value (2021) in % of sales of the last 5 years.</t>
  </si>
  <si>
    <t>Waste Production/$M Sales</t>
  </si>
  <si>
    <t>Land Degradation/Deforestation/Biodiversity loss/Animal sufering/…</t>
  </si>
  <si>
    <t>No information</t>
  </si>
  <si>
    <t>Inputs</t>
  </si>
  <si>
    <t>Social</t>
  </si>
  <si>
    <t>Net Sales (¥M)</t>
  </si>
  <si>
    <t>Employee Turnover %</t>
  </si>
  <si>
    <t>4,4% (2021), 3,7% (2020), 3,9% (2019), 4% (2018)</t>
  </si>
  <si>
    <t>CO2 Emissions Total (Tonnes)</t>
  </si>
  <si>
    <t>Salaries &amp; Compensation</t>
  </si>
  <si>
    <t>Starting salary: University grad- 235000 ¥ (1657 $); Masters- 254800 ¥ (1797$); PhD- 278800 ¥ (1966$)</t>
  </si>
  <si>
    <t>Water Consumption Total (Cubic Meters)</t>
  </si>
  <si>
    <t>Reputation</t>
  </si>
  <si>
    <t>Percentage of Employees in Union: 87%</t>
  </si>
  <si>
    <t>Energy Consumption Total (Gigajoules)</t>
  </si>
  <si>
    <t>Discrimination Events</t>
  </si>
  <si>
    <t>Women as % of all employees: 28%. Employment rate of people with disabilities: 2,6% or 362 people (2021)</t>
  </si>
  <si>
    <t>Waste Production Total (Tonnes)</t>
  </si>
  <si>
    <t>Work Safety</t>
  </si>
  <si>
    <t>Percentage of employees taking checkup: 99% (2021); Percentage of employees requiring treatment: 63% (2021)</t>
  </si>
  <si>
    <t>ESG Scores</t>
  </si>
  <si>
    <t>Damage to consumer health</t>
  </si>
  <si>
    <t>Average Hours of Overtime per Employee: 212 hours (2021); 193 (2020): 208 (2019). Percentage of Employees Taking All Paid Leave: 95,8% (2021), Percentage of Japanese workers in the manufacturing industry: 61,6% (2021)</t>
  </si>
  <si>
    <t>Refinitiv</t>
  </si>
  <si>
    <t>67 (119/638) (48/77/75)</t>
  </si>
  <si>
    <t>78 (42/638) (95/94/37)</t>
  </si>
  <si>
    <t>60 (183/638) (52/82/41)</t>
  </si>
  <si>
    <t>80 (34/638) (68/93/78)</t>
  </si>
  <si>
    <t>83 (6/66) (98/89/51)</t>
  </si>
  <si>
    <t>PXP?</t>
  </si>
  <si>
    <t>Sustainalytics</t>
  </si>
  <si>
    <t>21.7 (medium risk)</t>
  </si>
  <si>
    <t>14.4 (Low risk)</t>
  </si>
  <si>
    <t>20.4 (medium risk)</t>
  </si>
  <si>
    <t>15.2 (Low risk)</t>
  </si>
  <si>
    <t>20.8 (medium risk)</t>
  </si>
  <si>
    <t>Supply chain</t>
  </si>
  <si>
    <t>Increase Class A CSR procurement achievment rate among all suppliers</t>
  </si>
  <si>
    <t>72% Class A CSR Procurement Achievement Rate (2021)</t>
  </si>
  <si>
    <t>ISS</t>
  </si>
  <si>
    <t>C+</t>
  </si>
  <si>
    <t>B-</t>
  </si>
  <si>
    <t>Community involvement</t>
  </si>
  <si>
    <t>Contribution to environmental conservation, education support, and cooperation with the local community</t>
  </si>
  <si>
    <t>1388 million ¥ (10 million $)  Expenditure for Social Contribution Activities in 2021</t>
  </si>
  <si>
    <t>CDP</t>
  </si>
  <si>
    <t>A / A-</t>
  </si>
  <si>
    <t>A-/ B</t>
  </si>
  <si>
    <t>F/ F</t>
  </si>
  <si>
    <t>A / B</t>
  </si>
  <si>
    <t>A-/ A-</t>
  </si>
  <si>
    <t>Public Sector</t>
  </si>
  <si>
    <t xml:space="preserve">No information </t>
  </si>
  <si>
    <t>USD/JPY</t>
  </si>
  <si>
    <t>Litigation</t>
  </si>
  <si>
    <t>No major legal violations in the last 3 years. Patent dispute with Chemours-July 2022: Settled before trial (terms were not disclosed)</t>
  </si>
  <si>
    <t>Corporate Governance</t>
  </si>
  <si>
    <t>Diversity (Gender, Age, Industry, Region)</t>
  </si>
  <si>
    <t>Appointment of female officers from inside the compoany: 1 or more in fiscal 2025</t>
  </si>
  <si>
    <t>Out of 10 board members: 1 female (10%); Average age of 73 years old; 1 non-Japanese</t>
  </si>
  <si>
    <t>% Independence</t>
  </si>
  <si>
    <t>4 out of 10 are independent (40%)</t>
  </si>
  <si>
    <t>Average time as independent directors/ Average Appointment Term for Director</t>
  </si>
  <si>
    <t>4.75 years/ 9.7 (2021)</t>
  </si>
  <si>
    <t>Recent departures of directors / C-level executives?</t>
  </si>
  <si>
    <t xml:space="preserve">None </t>
  </si>
  <si>
    <t>CEO/Chairman duality</t>
  </si>
  <si>
    <t>No. Noriyuki Inoue- Chairman of the board (since 2014); Masanori Togawa- CEO (since 2014)</t>
  </si>
  <si>
    <t>Transparency (ESG, segments, acquisitions, other)</t>
  </si>
  <si>
    <t xml:space="preserve">Well reported </t>
  </si>
  <si>
    <t>Time taken to report after the end of the quarter / year</t>
  </si>
  <si>
    <t>1 month and 9 days (31st march-9th may)</t>
  </si>
  <si>
    <t>Additional participation of the CEO in other boards or excessive participation of Ch.</t>
  </si>
  <si>
    <t>Noriyuki Inoue: Chairman of The Daikin Foundation for Contemporary Arts and Nonprofit Corporation of Kansai Philharmonic Orchestra</t>
  </si>
  <si>
    <t>Audit / Consulting</t>
  </si>
  <si>
    <t>Deloitte Touche Tohmatsu LLC; Audit expenses: 255 million ¥ (1,8 million $)</t>
  </si>
  <si>
    <t>ESG-compensation related</t>
  </si>
  <si>
    <t>Management compensation schemes</t>
  </si>
  <si>
    <t>Down below</t>
  </si>
  <si>
    <t>PARAMETERS</t>
  </si>
  <si>
    <t>IMPACT</t>
  </si>
  <si>
    <t>RANKING</t>
  </si>
  <si>
    <t>MITIGATION PLAN</t>
  </si>
  <si>
    <t>Low</t>
  </si>
  <si>
    <t>"Best in class"</t>
  </si>
  <si>
    <t>Evidence / plan?</t>
  </si>
  <si>
    <t>High</t>
  </si>
  <si>
    <t>Very high</t>
  </si>
  <si>
    <t>Sales (in millions JPY)</t>
  </si>
  <si>
    <t>2021 FY</t>
  </si>
  <si>
    <t>2020 FY</t>
  </si>
  <si>
    <t>2019 FY</t>
  </si>
  <si>
    <t>2018 FY</t>
  </si>
  <si>
    <t>2017 FY</t>
  </si>
  <si>
    <t>Mitsubishi Corporation (8058.T)</t>
  </si>
  <si>
    <t>Daikin Industries,Ltd. (6367.T)</t>
  </si>
  <si>
    <t>https://www.daikin.com/csr/nav/data</t>
  </si>
  <si>
    <t>https://www.johnsoncontrols.com/-/media/jci/corporate-sustainability/reporting-and-policies/2023/report/hq2302005_2023-sustainability-report-final.pdf?la=en&amp;hash=93BADD3C91131A642345467E91290903D661E5AE</t>
  </si>
  <si>
    <t>https://www.corporate.carrier.com/Images/Corporate-Carrier-2022-ESG-Report-0822_tcm558-181752.pdf</t>
  </si>
  <si>
    <t>https://www.tranetechnologies.com/en/index/sustainability/sustainability-reports/esg-report/report-and-data/data-center.html</t>
  </si>
  <si>
    <t>https://www.mitsubishicorp.com/jp/en/ir/library/ar/pdf/areport/2022/all.pdf</t>
  </si>
  <si>
    <t>GHG Scope 1 &amp; 2 Emissions per Million Sales (Tonnes)</t>
  </si>
  <si>
    <t>VALUATION MODEL</t>
  </si>
  <si>
    <t>Short Term</t>
  </si>
  <si>
    <t>Long Term</t>
  </si>
  <si>
    <t>Section</t>
  </si>
  <si>
    <t>Line #</t>
  </si>
  <si>
    <t>ITEM</t>
  </si>
  <si>
    <t>2020 (Real)</t>
  </si>
  <si>
    <t>2021 (Real)</t>
  </si>
  <si>
    <t>2022 (Real)</t>
  </si>
  <si>
    <t>INCOME STATEMENT</t>
  </si>
  <si>
    <t>Growth</t>
  </si>
  <si>
    <t>Revenues/Sales</t>
  </si>
  <si>
    <t>EBIT/Operating Margin</t>
  </si>
  <si>
    <t>5a</t>
  </si>
  <si>
    <t>(Dep)</t>
  </si>
  <si>
    <t>5b</t>
  </si>
  <si>
    <t>Amort</t>
  </si>
  <si>
    <t>5c</t>
  </si>
  <si>
    <t>(Stock based compensation)</t>
  </si>
  <si>
    <t>EBIDTA</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</si>
  <si>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</si>
  <si>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</si>
  <si>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</si>
  <si>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</si>
  <si>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</si>
  <si>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</si>
  <si>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</si>
  <si>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</si>
  <si>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</si>
  <si>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</si>
  <si>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</si>
  <si>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</si>
  <si>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</si>
  <si>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</si>
  <si>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</si>
  <si>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</si>
  <si>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</si>
  <si>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</si>
  <si>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</si>
  <si>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</si>
  <si>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</si>
  <si>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</si>
  <si>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</si>
  <si>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</si>
  <si>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</si>
  <si>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</si>
  <si>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</si>
  <si>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amorization</t>
  </si>
  <si>
    <t>PPE+Right of use Assets</t>
  </si>
  <si>
    <t>Accumulated depreciation</t>
  </si>
  <si>
    <t>CASH &amp; DEBT &amp; DISCOUNTING</t>
  </si>
  <si>
    <t>Ending cash balance</t>
  </si>
  <si>
    <t>Discount factor</t>
  </si>
  <si>
    <t>DF + 0.1%</t>
  </si>
  <si>
    <t>+0.1%</t>
  </si>
  <si>
    <t>DF + 0.5%</t>
  </si>
  <si>
    <t>+0.5%</t>
  </si>
  <si>
    <t> Discount Rate</t>
  </si>
  <si>
    <t>Risk free rate</t>
  </si>
  <si>
    <t>Equity premium</t>
  </si>
  <si>
    <t>Firm premium</t>
  </si>
  <si>
    <t>Modelling factors</t>
  </si>
  <si>
    <t>Reference (line)</t>
  </si>
  <si>
    <t>Depreciation factor</t>
  </si>
  <si>
    <t>% PPE</t>
  </si>
  <si>
    <t>Amortization factor</t>
  </si>
  <si>
    <t>% IA</t>
  </si>
  <si>
    <t>Stock-based comp</t>
  </si>
  <si>
    <t>- -</t>
  </si>
  <si>
    <t>Tax Rate</t>
  </si>
  <si>
    <t>% (line 9)</t>
  </si>
  <si>
    <t>Interest Rate on debt</t>
  </si>
  <si>
    <t>Credit Rating (Moody's A2) Spread</t>
  </si>
  <si>
    <t>Interest Rate on cash</t>
  </si>
  <si>
    <t>Risk Free Rate (l38)</t>
  </si>
  <si>
    <t>PPE+ROA</t>
  </si>
  <si>
    <t>Growing with capex</t>
  </si>
  <si>
    <t>Working capital flows</t>
  </si>
  <si>
    <t>% of change revenues (l2)</t>
  </si>
  <si>
    <t>Intangible Assets</t>
  </si>
  <si>
    <t>Growing with amortization</t>
  </si>
  <si>
    <t xml:space="preserve">Capex </t>
  </si>
  <si>
    <t>% revenue (l2)</t>
  </si>
  <si>
    <t>Acquisition factor</t>
  </si>
  <si>
    <t>40%/60%</t>
  </si>
  <si>
    <t xml:space="preserve">% net income (l11) </t>
  </si>
  <si>
    <t>Repurchases</t>
  </si>
  <si>
    <t>Leases</t>
  </si>
  <si>
    <t>Cash Costs for EBIT</t>
  </si>
  <si>
    <t xml:space="preserve"> ¥ millions</t>
  </si>
  <si>
    <t>Value of flows</t>
  </si>
  <si>
    <t>Value of perpetuity</t>
  </si>
  <si>
    <t>Total Value</t>
  </si>
  <si>
    <t>Actual share price</t>
  </si>
  <si>
    <t>Total value vs Mkt Cap</t>
  </si>
  <si>
    <t>Estimated NPV per share</t>
  </si>
  <si>
    <t>Sensibility</t>
  </si>
  <si>
    <t>Sensitivity +0.1%</t>
  </si>
  <si>
    <t>Sensitivity +0.5%</t>
  </si>
  <si>
    <t>Notes</t>
  </si>
  <si>
    <t>https://www.daikin.com/-/media/Project/Daikin/daikin_com/investor/financial/images/Financial-Data/Financial-Date-2023-pdf.pdf?rev=-1&amp;hash=F47CDEB12C0ECC8948405606CEFBA9D9</t>
  </si>
  <si>
    <t>https://www.daikin.com/-/media/Project/Daikin/daikin_com/investor/data/fusion/fusion25-h2/presentation-pdf.pdf?rev=-1&amp;hash=D64833AF0BC0FDCB111A54637AB91CE2</t>
  </si>
  <si>
    <t>https://www.cnbc.com/2023/06/13/investing-is-japan-inc-finally-serious-about-corporate-governance-.html</t>
  </si>
  <si>
    <t>Tax rate</t>
  </si>
  <si>
    <t>Equity Risk Premium</t>
  </si>
  <si>
    <t>US</t>
  </si>
  <si>
    <t>Weighted Average</t>
  </si>
  <si>
    <t>Capex</t>
  </si>
  <si>
    <t>Average</t>
  </si>
  <si>
    <t>Revenue</t>
  </si>
  <si>
    <t>Capex/Revenue</t>
  </si>
  <si>
    <t>Debt</t>
  </si>
  <si>
    <t>Depreciation</t>
  </si>
  <si>
    <t>PPE</t>
  </si>
  <si>
    <t>Depreciation/PPE</t>
  </si>
  <si>
    <t>Amortization</t>
  </si>
  <si>
    <t>Amortization/Intangible Assets</t>
  </si>
  <si>
    <t>Aquisitions</t>
  </si>
  <si>
    <t>Aquisitions/Revenue</t>
  </si>
  <si>
    <t>Leases/Revenue</t>
  </si>
  <si>
    <t>Working Capital Flows/Revenue Change</t>
  </si>
  <si>
    <t>Payout ratio</t>
  </si>
  <si>
    <t>Company</t>
  </si>
  <si>
    <t>Investment in R&amp;D (in dollars $)</t>
  </si>
  <si>
    <t>Net Sales (in dollars $)</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</si>
  <si>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</si>
  <si>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</si>
  <si>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</si>
  <si>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</si>
  <si>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</si>
  <si>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</si>
  <si>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</si>
  <si>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</si>
  <si>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</si>
  <si>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</si>
  <si>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</si>
  <si>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</si>
  <si>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</si>
  <si>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</si>
  <si>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</si>
  <si>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</si>
  <si>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</si>
  <si>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</si>
  <si>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</si>
  <si>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</si>
  <si>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</si>
  <si>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</si>
  <si>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</si>
  <si>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</si>
  <si>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</si>
  <si>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</si>
  <si>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</si>
  <si>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</si>
  <si>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</si>
  <si>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</si>
  <si>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</si>
  <si>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</si>
  <si>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</si>
  <si>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</si>
  <si>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</si>
  <si>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</si>
  <si>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</si>
  <si>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</si>
  <si>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</si>
  <si>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</si>
  <si>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</si>
  <si>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</si>
  <si>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</si>
  <si>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Depreciation and Amortization</t>
  </si>
  <si>
    <t>FNP</t>
  </si>
  <si>
    <t>Figures in Millions of JPY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</si>
  <si>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</si>
  <si>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</si>
  <si>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</si>
  <si>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</si>
  <si>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</si>
  <si>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</si>
  <si>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</si>
  <si>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</si>
  <si>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</si>
  <si>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</si>
  <si>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</si>
  <si>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</si>
  <si>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</si>
  <si>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</si>
  <si>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</si>
  <si>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</si>
  <si>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</si>
  <si>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</si>
  <si>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</si>
  <si>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</si>
  <si>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</si>
  <si>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</si>
  <si>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Interest Expense</t>
  </si>
  <si>
    <t>Financial Income and Expenses</t>
  </si>
  <si>
    <t>Weighted Average Shares (Basic NI)</t>
  </si>
  <si>
    <t>Other Financial Expense</t>
  </si>
  <si>
    <t>Weighted Average Shares (Diluted NI)</t>
  </si>
  <si>
    <t>Income</t>
  </si>
  <si>
    <t>Interest and other Net</t>
  </si>
  <si>
    <t>Net gains (losses) from ForEx</t>
  </si>
  <si>
    <t>Total Comprehensive Income</t>
  </si>
  <si>
    <t>Investement Income</t>
  </si>
  <si>
    <t>Other Income Expense</t>
  </si>
  <si>
    <t>cash flows</t>
  </si>
  <si>
    <t>NWC</t>
  </si>
  <si>
    <t>Income Loss</t>
  </si>
  <si>
    <t>Net Working Capital</t>
  </si>
  <si>
    <t xml:space="preserve">  + Dividendos pagados</t>
  </si>
  <si>
    <t>Cambiar signo</t>
  </si>
  <si>
    <t>Non Controlling Interest</t>
  </si>
  <si>
    <t xml:space="preserve">    + Aumento en capital</t>
  </si>
  <si>
    <t xml:space="preserve">    + Baja en capital</t>
  </si>
  <si>
    <t>Cambiar signo y hacer suma</t>
  </si>
  <si>
    <t>Share of Net Profit</t>
  </si>
  <si>
    <t>ASSETS</t>
  </si>
  <si>
    <t>Gain and Loss on Equity Investements</t>
  </si>
  <si>
    <t>Current</t>
  </si>
  <si>
    <t>Share of Result from Associates and Joint Ventures</t>
  </si>
  <si>
    <t>Balance Sheet</t>
  </si>
  <si>
    <t>Non Operating Profit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</si>
  <si>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</si>
  <si>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</si>
  <si>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</si>
  <si>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</si>
  <si>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</si>
  <si>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</si>
  <si>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</si>
  <si>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</si>
  <si>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</si>
  <si>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</si>
  <si>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</si>
  <si>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</si>
  <si>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</si>
  <si>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</si>
  <si>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</si>
  <si>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</si>
  <si>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</si>
  <si>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</si>
  <si>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</si>
  <si>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</si>
  <si>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</si>
  <si>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</si>
  <si>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</si>
  <si>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</si>
  <si>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</si>
  <si>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</si>
  <si>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</si>
  <si>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</si>
  <si>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</si>
  <si>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</si>
  <si>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</si>
  <si>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</si>
  <si>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</si>
  <si>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</si>
  <si>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t>
  </si>
  <si>
    <t>(Vitalis will later fill this info)</t>
  </si>
  <si>
    <t xml:space="preserve">Other Data </t>
  </si>
  <si>
    <t xml:space="preserve">Average Price </t>
  </si>
  <si>
    <t xml:space="preserve">Number of employees </t>
  </si>
  <si>
    <t>10-K</t>
  </si>
  <si>
    <t>bloomberg</t>
  </si>
  <si>
    <t>Shares Outstanding (Thousands)</t>
  </si>
  <si>
    <t>Yahoo Finance</t>
  </si>
  <si>
    <t>Dividend Yield(Yahoo Finance)</t>
  </si>
  <si>
    <t>3.238</t>
  </si>
  <si>
    <t>Short Term Debt, Net</t>
  </si>
  <si>
    <t>Long Term Debt Issued</t>
  </si>
  <si>
    <t>Long Term Debt Reduction</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</si>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</sst>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quot;$&quot;* #,##0.00_-;\-&quot;$&quot;* #,##0.00_-;_-&quot;$&quot;* &quot;-&quot;??_-;_-@_-"/>
    <numFmt numFmtId="165" formatCode="&quot;$&quot;#,##0.00"/>
    <numFmt numFmtId="166" formatCode="&quot;$&quot;#,##0"/>
    <numFmt numFmtId="167" formatCode="0.0%"/>
    <numFmt numFmtId="168" formatCode="0.0"/>
    <numFmt numFmtId="169" formatCode="#,##0.0"/>
    <numFmt numFmtId="170" formatCode="[$$-409]#,##0.00_ ;\-[$$-409]#,##0.00\ "/>
    <numFmt numFmtId="171" formatCode="[$$-409]#,##0"/>
    <numFmt numFmtId="172" formatCode="_-[$$-409]* #,##0.00_ ;_-[$$-409]* \-#,##0.00\ ;_-[$$-409]* &quot;-&quot;??_ ;_-@_ "/>
    <numFmt numFmtId="173" formatCode="0.000000"/>
    <numFmt numFmtId="174" formatCode="_-[$¥-411]* #,##0.00_-;\-[$¥-411]* #,##0.00_-;_-[$¥-411]* &quot;-&quot;??_-;_-@_-"/>
    <numFmt numFmtId="175" formatCode="_-[$¥-411]* #,##0_-;\-[$¥-411]* #,##0_-;_-[$¥-411]* &quot;-&quot;??_-;_-@_-"/>
    <numFmt numFmtId="176" formatCode="[$¥-411]#,##0"/>
    <numFmt numFmtId="177" formatCode="[$¥-411]#,##0.00;\-[$¥-411]#,##0.00"/>
    <numFmt numFmtId="178" formatCode="[$¥-411]#,##0.00"/>
    <numFmt numFmtId="179" formatCode="_-[$¥-411]* #,##0_-;\-[$¥-411]* #,##0_-;_-[$¥-411]* &quot;-&quot;_-;_-@_-"/>
    <numFmt numFmtId="180" formatCode="0.000%"/>
    <numFmt numFmtId="181" formatCode="#,##0_ ;\-#,##0\ "/>
  </numFmts>
  <fonts count="10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7.5"/>
      <color theme="0"/>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b/>
      <sz val="10"/>
      <color rgb="FF000000"/>
      <name val="Arial"/>
      <family val="2"/>
    </font>
    <font>
      <b/>
      <sz val="11"/>
      <color theme="1"/>
      <name val="Calibri"/>
      <family val="2"/>
      <scheme val="minor"/>
    </font>
    <font>
      <sz val="11"/>
      <color theme="0"/>
      <name val="Calibri"/>
      <family val="2"/>
    </font>
    <font>
      <b/>
      <sz val="11"/>
      <color rgb="FF374151"/>
      <name val="Arial"/>
      <family val="2"/>
    </font>
    <font>
      <sz val="11"/>
      <color rgb="FFFF0000"/>
      <name val="Calibri"/>
      <family val="2"/>
    </font>
    <font>
      <sz val="14"/>
      <name val="Arial"/>
      <family val="2"/>
    </font>
    <font>
      <sz val="8"/>
      <color theme="0"/>
      <name val="Arial"/>
      <family val="2"/>
    </font>
    <font>
      <i/>
      <sz val="10"/>
      <name val="Arial"/>
      <family val="2"/>
    </font>
    <font>
      <b/>
      <i/>
      <sz val="10"/>
      <name val="Arial"/>
      <family val="2"/>
    </font>
    <font>
      <sz val="8"/>
      <name val="Arial"/>
      <family val="2"/>
    </font>
    <font>
      <sz val="9"/>
      <color indexed="81"/>
      <name val="Tahoma"/>
      <family val="2"/>
    </font>
    <font>
      <b/>
      <sz val="9"/>
      <color indexed="81"/>
      <name val="Tahoma"/>
      <family val="2"/>
    </font>
    <font>
      <sz val="8"/>
      <color rgb="FF333333"/>
      <name val="Arial"/>
      <family val="2"/>
    </font>
    <font>
      <sz val="11"/>
      <color rgb="FF000000"/>
      <name val="Arial"/>
      <family val="2"/>
    </font>
    <font>
      <i/>
      <sz val="12"/>
      <name val="Arial"/>
      <family val="2"/>
    </font>
    <font>
      <i/>
      <sz val="11"/>
      <name val="Arial"/>
      <family val="2"/>
    </font>
    <font>
      <sz val="11"/>
      <color rgb="FF666666"/>
      <name val="Arial"/>
      <family val="2"/>
    </font>
    <font>
      <sz val="9"/>
      <color rgb="FF000000"/>
      <name val="Calibri"/>
      <family val="2"/>
    </font>
    <font>
      <b/>
      <sz val="11"/>
      <color indexed="9"/>
      <name val="Arial"/>
      <family val="2"/>
    </font>
    <font>
      <sz val="11"/>
      <color rgb="FFFF0000"/>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8"/>
      <name val="Arial"/>
      <family val="2"/>
    </font>
    <font>
      <sz val="8"/>
      <name val="Calibri"/>
      <family val="2"/>
      <charset val="1"/>
    </font>
    <font>
      <sz val="9"/>
      <name val="Calibri"/>
      <family val="2"/>
      <charset val="1"/>
    </font>
    <font>
      <b/>
      <sz val="9"/>
      <color rgb="FF000000"/>
      <name val="Arial"/>
      <family val="2"/>
    </font>
    <font>
      <sz val="9"/>
      <color rgb="FF000000"/>
      <name val="Arial"/>
      <family val="2"/>
    </font>
    <font>
      <sz val="12"/>
      <name val="Arial"/>
      <family val="2"/>
    </font>
    <font>
      <b/>
      <sz val="10"/>
      <color theme="1"/>
      <name val="Arial"/>
      <family val="2"/>
    </font>
    <font>
      <i/>
      <sz val="8"/>
      <name val="Arial"/>
      <family val="2"/>
    </font>
    <font>
      <u/>
      <sz val="10"/>
      <color theme="0"/>
      <name val="Arial"/>
      <family val="2"/>
    </font>
    <font>
      <sz val="9"/>
      <name val="宋体"/>
      <family val="3"/>
      <charset val="134"/>
    </font>
    <font>
      <b/>
      <sz val="9"/>
      <color rgb="FF000000"/>
      <name val="Tahoma"/>
      <family val="2"/>
    </font>
    <font>
      <sz val="9"/>
      <color rgb="FF000000"/>
      <name val="Tahoma"/>
      <family val="2"/>
    </font>
  </fonts>
  <fills count="79">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tint="0.79998168889431442"/>
        <bgColor indexed="64"/>
      </patternFill>
    </fill>
  </fills>
  <borders count="245">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style="medium">
        <color indexed="64"/>
      </right>
      <top style="medium">
        <color indexed="64"/>
      </top>
      <bottom/>
      <diagonal/>
    </border>
    <border>
      <left/>
      <right style="medium">
        <color theme="3"/>
      </right>
      <top/>
      <bottom style="thin">
        <color theme="0" tint="-0.24997711111789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medium">
        <color rgb="FF1F497D"/>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thin">
        <color indexed="64"/>
      </left>
      <right style="medium">
        <color rgb="FF1F497D"/>
      </right>
      <top style="thin">
        <color indexed="64"/>
      </top>
      <bottom style="thin">
        <color indexed="64"/>
      </bottom>
      <diagonal/>
    </border>
    <border>
      <left style="thin">
        <color indexed="64"/>
      </left>
      <right style="thin">
        <color indexed="64"/>
      </right>
      <top style="thin">
        <color indexed="64"/>
      </top>
      <bottom style="medium">
        <color rgb="FF1F497D"/>
      </bottom>
      <diagonal/>
    </border>
    <border>
      <left style="thin">
        <color indexed="64"/>
      </left>
      <right style="medium">
        <color rgb="FF1F497D"/>
      </right>
      <top style="thin">
        <color indexed="64"/>
      </top>
      <bottom style="medium">
        <color rgb="FF1F497D"/>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rgb="FF000000"/>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theme="3"/>
      </left>
      <right/>
      <top style="medium">
        <color theme="3"/>
      </top>
      <bottom style="medium">
        <color theme="3"/>
      </bottom>
      <diagonal/>
    </border>
    <border>
      <left style="medium">
        <color theme="3"/>
      </left>
      <right/>
      <top style="medium">
        <color theme="3"/>
      </top>
      <bottom style="medium">
        <color rgb="FF1F497D"/>
      </bottom>
      <diagonal/>
    </border>
    <border>
      <left style="medium">
        <color rgb="FF1F497D"/>
      </left>
      <right style="medium">
        <color rgb="FF1F497D"/>
      </right>
      <top style="medium">
        <color rgb="FF1F497D"/>
      </top>
      <bottom style="medium">
        <color theme="3"/>
      </bottom>
      <diagonal/>
    </border>
    <border>
      <left style="medium">
        <color rgb="FF1F497D"/>
      </left>
      <right style="medium">
        <color rgb="FF1F497D"/>
      </right>
      <top style="medium">
        <color theme="3"/>
      </top>
      <bottom style="medium">
        <color theme="3"/>
      </bottom>
      <diagonal/>
    </border>
    <border>
      <left style="medium">
        <color rgb="FF1F497D"/>
      </left>
      <right style="medium">
        <color rgb="FF1F497D"/>
      </right>
      <top style="medium">
        <color theme="3"/>
      </top>
      <bottom/>
      <diagonal/>
    </border>
    <border>
      <left style="thin">
        <color indexed="64"/>
      </left>
      <right style="thin">
        <color indexed="64"/>
      </right>
      <top style="thin">
        <color theme="0" tint="-0.24994659260841701"/>
      </top>
      <bottom style="thin">
        <color indexed="64"/>
      </bottom>
      <diagonal/>
    </border>
    <border>
      <left style="thin">
        <color indexed="64"/>
      </left>
      <right style="medium">
        <color rgb="FF1F497D"/>
      </right>
      <top style="thin">
        <color theme="0" tint="-0.24994659260841701"/>
      </top>
      <bottom style="thin">
        <color indexed="64"/>
      </bottom>
      <diagonal/>
    </border>
    <border>
      <left style="medium">
        <color rgb="FF1F497D"/>
      </left>
      <right style="thin">
        <color theme="0" tint="-0.24994659260841701"/>
      </right>
      <top style="thin">
        <color theme="0" tint="-0.24994659260841701"/>
      </top>
      <bottom/>
      <diagonal/>
    </border>
    <border>
      <left style="medium">
        <color theme="4" tint="-0.499984740745262"/>
      </left>
      <right/>
      <top style="thin">
        <color theme="0" tint="-0.24994659260841701"/>
      </top>
      <bottom/>
      <diagonal/>
    </border>
    <border>
      <left style="medium">
        <color theme="4" tint="-0.499984740745262"/>
      </left>
      <right style="thin">
        <color indexed="64"/>
      </right>
      <top style="thin">
        <color indexed="64"/>
      </top>
      <bottom style="thin">
        <color indexed="64"/>
      </bottom>
      <diagonal/>
    </border>
    <border>
      <left style="medium">
        <color theme="4" tint="-0.499984740745262"/>
      </left>
      <right style="thin">
        <color indexed="64"/>
      </right>
      <top style="thin">
        <color indexed="64"/>
      </top>
      <bottom style="medium">
        <color rgb="FF1F497D"/>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1F497D"/>
      </left>
      <right style="thin">
        <color rgb="FF1F497D"/>
      </right>
      <top style="thin">
        <color rgb="FF1F497D"/>
      </top>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1F497D"/>
      </left>
      <right/>
      <top style="thin">
        <color rgb="FFD9D9D9"/>
      </top>
      <bottom style="thin">
        <color rgb="FFD9D9D9"/>
      </bottom>
      <diagonal/>
    </border>
    <border>
      <left/>
      <right style="medium">
        <color rgb="FF1F497D"/>
      </right>
      <top style="thin">
        <color rgb="FFD9D9D9"/>
      </top>
      <bottom style="thin">
        <color rgb="FFD9D9D9"/>
      </bottom>
      <diagonal/>
    </border>
    <border>
      <left style="medium">
        <color rgb="FF1F497D"/>
      </left>
      <right/>
      <top style="thin">
        <color rgb="FFD9D9D9"/>
      </top>
      <bottom style="medium">
        <color rgb="FF1F497D"/>
      </bottom>
      <diagonal/>
    </border>
    <border>
      <left/>
      <right style="medium">
        <color rgb="FF1F497D"/>
      </right>
      <top style="thin">
        <color rgb="FFD9D9D9"/>
      </top>
      <bottom style="medium">
        <color rgb="FF1F497D"/>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theme="1" tint="0.24994659260841701"/>
      </left>
      <right/>
      <top/>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rgb="FF1F497D"/>
      </left>
      <right/>
      <top style="medium">
        <color rgb="FF1F497D"/>
      </top>
      <bottom style="thin">
        <color indexed="64"/>
      </bottom>
      <diagonal/>
    </border>
    <border>
      <left/>
      <right/>
      <top style="medium">
        <color rgb="FF1F497D"/>
      </top>
      <bottom style="thin">
        <color indexed="64"/>
      </bottom>
      <diagonal/>
    </border>
  </borders>
  <cellStyleXfs count="98">
    <xf numFmtId="0" fontId="0" fillId="0" borderId="0"/>
    <xf numFmtId="0" fontId="15" fillId="2" borderId="1" applyNumberFormat="0" applyProtection="0">
      <alignment horizontal="left" vertical="center" readingOrder="1"/>
    </xf>
    <xf numFmtId="0" fontId="16" fillId="2" borderId="2">
      <alignment horizontal="left"/>
    </xf>
    <xf numFmtId="0" fontId="16" fillId="2" borderId="3">
      <alignment horizontal="right"/>
    </xf>
    <xf numFmtId="0" fontId="16" fillId="2" borderId="3">
      <alignment horizontal="left"/>
    </xf>
    <xf numFmtId="3" fontId="17" fillId="3" borderId="4">
      <alignment horizontal="right"/>
    </xf>
    <xf numFmtId="169" fontId="11" fillId="3" borderId="4">
      <alignment horizontal="right"/>
    </xf>
    <xf numFmtId="4" fontId="11" fillId="3" borderId="4">
      <alignment horizontal="right"/>
    </xf>
    <xf numFmtId="0" fontId="19" fillId="4" borderId="5" applyNumberFormat="0" applyAlignment="0" applyProtection="0"/>
    <xf numFmtId="0" fontId="17" fillId="3" borderId="6"/>
    <xf numFmtId="0" fontId="18" fillId="3" borderId="6"/>
    <xf numFmtId="0" fontId="10" fillId="0" borderId="0" applyNumberFormat="0" applyFill="0" applyBorder="0" applyAlignment="0" applyProtection="0">
      <alignment vertical="top"/>
      <protection locked="0"/>
    </xf>
    <xf numFmtId="164" fontId="21" fillId="0" borderId="0" applyFont="0" applyFill="0" applyBorder="0" applyAlignment="0" applyProtection="0"/>
    <xf numFmtId="164" fontId="12" fillId="0" borderId="0" applyFont="0" applyFill="0" applyBorder="0" applyAlignment="0" applyProtection="0"/>
    <xf numFmtId="0" fontId="23" fillId="0" borderId="0"/>
    <xf numFmtId="0" fontId="12" fillId="0" borderId="0"/>
    <xf numFmtId="9" fontId="8" fillId="0" borderId="0" applyFont="0" applyFill="0" applyBorder="0" applyAlignment="0" applyProtection="0"/>
    <xf numFmtId="9" fontId="21" fillId="0" borderId="0" applyFont="0" applyFill="0" applyBorder="0" applyAlignment="0" applyProtection="0"/>
    <xf numFmtId="9" fontId="12" fillId="0" borderId="0" applyFont="0" applyFill="0" applyBorder="0" applyAlignment="0" applyProtection="0"/>
    <xf numFmtId="9" fontId="23"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53" fillId="0" borderId="0" applyNumberFormat="0" applyAlignment="0"/>
    <xf numFmtId="0" fontId="82" fillId="0" borderId="0" applyNumberFormat="0" applyFill="0" applyBorder="0" applyAlignment="0" applyProtection="0"/>
    <xf numFmtId="0" fontId="83" fillId="0" borderId="218" applyNumberFormat="0" applyFill="0" applyAlignment="0" applyProtection="0"/>
    <xf numFmtId="0" fontId="84" fillId="0" borderId="219" applyNumberFormat="0" applyFill="0" applyAlignment="0" applyProtection="0"/>
    <xf numFmtId="0" fontId="85" fillId="0" borderId="220" applyNumberFormat="0" applyFill="0" applyAlignment="0" applyProtection="0"/>
    <xf numFmtId="0" fontId="85" fillId="0" borderId="0" applyNumberFormat="0" applyFill="0" applyBorder="0" applyAlignment="0" applyProtection="0"/>
    <xf numFmtId="0" fontId="86" fillId="44" borderId="0" applyNumberFormat="0" applyBorder="0" applyAlignment="0" applyProtection="0"/>
    <xf numFmtId="0" fontId="87" fillId="45" borderId="0" applyNumberFormat="0" applyBorder="0" applyAlignment="0" applyProtection="0"/>
    <xf numFmtId="0" fontId="88" fillId="46" borderId="0" applyNumberFormat="0" applyBorder="0" applyAlignment="0" applyProtection="0"/>
    <xf numFmtId="0" fontId="89" fillId="47" borderId="221" applyNumberFormat="0" applyAlignment="0" applyProtection="0"/>
    <xf numFmtId="0" fontId="90" fillId="48" borderId="222" applyNumberFormat="0" applyAlignment="0" applyProtection="0"/>
    <xf numFmtId="0" fontId="91" fillId="48" borderId="221" applyNumberFormat="0" applyAlignment="0" applyProtection="0"/>
    <xf numFmtId="0" fontId="92" fillId="0" borderId="223" applyNumberFormat="0" applyFill="0" applyAlignment="0" applyProtection="0"/>
    <xf numFmtId="0" fontId="93" fillId="49" borderId="224" applyNumberFormat="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63" fillId="0" borderId="226" applyNumberFormat="0" applyFill="0" applyAlignment="0" applyProtection="0"/>
    <xf numFmtId="0" fontId="96" fillId="51" borderId="0" applyNumberFormat="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96"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96" fillId="59"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96" fillId="63"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96" fillId="67" borderId="0" applyNumberFormat="0" applyBorder="0" applyAlignment="0" applyProtection="0"/>
    <xf numFmtId="0" fontId="2" fillId="68" borderId="0" applyNumberFormat="0" applyBorder="0" applyAlignment="0" applyProtection="0"/>
    <xf numFmtId="0" fontId="2" fillId="69" borderId="0" applyNumberFormat="0" applyBorder="0" applyAlignment="0" applyProtection="0"/>
    <xf numFmtId="0" fontId="2" fillId="70" borderId="0" applyNumberFormat="0" applyBorder="0" applyAlignment="0" applyProtection="0"/>
    <xf numFmtId="0" fontId="96" fillId="71" borderId="0" applyNumberFormat="0" applyBorder="0" applyAlignment="0" applyProtection="0"/>
    <xf numFmtId="0" fontId="2" fillId="72" borderId="0" applyNumberFormat="0" applyBorder="0" applyAlignment="0" applyProtection="0"/>
    <xf numFmtId="0" fontId="2" fillId="73" borderId="0" applyNumberFormat="0" applyBorder="0" applyAlignment="0" applyProtection="0"/>
    <xf numFmtId="0" fontId="2" fillId="74" borderId="0" applyNumberFormat="0" applyBorder="0" applyAlignment="0" applyProtection="0"/>
    <xf numFmtId="0" fontId="2" fillId="0" borderId="0"/>
    <xf numFmtId="0" fontId="2" fillId="50" borderId="225" applyNumberFormat="0" applyFont="0" applyAlignment="0" applyProtection="0"/>
    <xf numFmtId="0" fontId="2" fillId="5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8" borderId="0" applyNumberFormat="0" applyBorder="0" applyAlignment="0" applyProtection="0"/>
    <xf numFmtId="0" fontId="2" fillId="72" borderId="0" applyNumberFormat="0" applyBorder="0" applyAlignment="0" applyProtection="0"/>
    <xf numFmtId="0" fontId="2" fillId="53" borderId="0" applyNumberFormat="0" applyBorder="0" applyAlignment="0" applyProtection="0"/>
    <xf numFmtId="0" fontId="2" fillId="57"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9" borderId="0" applyNumberFormat="0" applyBorder="0" applyAlignment="0" applyProtection="0"/>
    <xf numFmtId="0" fontId="2" fillId="73" borderId="0" applyNumberFormat="0" applyBorder="0" applyAlignment="0" applyProtection="0"/>
    <xf numFmtId="0" fontId="2" fillId="54" borderId="0" applyNumberFormat="0" applyBorder="0" applyAlignment="0" applyProtection="0"/>
    <xf numFmtId="0" fontId="2" fillId="58" borderId="0" applyNumberFormat="0" applyBorder="0" applyAlignment="0" applyProtection="0"/>
    <xf numFmtId="0" fontId="2" fillId="62" borderId="0" applyNumberFormat="0" applyBorder="0" applyAlignment="0" applyProtection="0"/>
    <xf numFmtId="0" fontId="2" fillId="66" borderId="0" applyNumberFormat="0" applyBorder="0" applyAlignment="0" applyProtection="0"/>
    <xf numFmtId="0" fontId="2" fillId="70" borderId="0" applyNumberFormat="0" applyBorder="0" applyAlignment="0" applyProtection="0"/>
    <xf numFmtId="0" fontId="2" fillId="74" borderId="0" applyNumberFormat="0" applyBorder="0" applyAlignment="0" applyProtection="0"/>
    <xf numFmtId="0" fontId="2" fillId="0" borderId="0"/>
    <xf numFmtId="0" fontId="2" fillId="50" borderId="225" applyNumberFormat="0" applyFont="0" applyAlignment="0" applyProtection="0"/>
    <xf numFmtId="0" fontId="1" fillId="0" borderId="0"/>
    <xf numFmtId="9" fontId="1" fillId="0" borderId="0" applyFont="0" applyFill="0" applyBorder="0" applyAlignment="0" applyProtection="0"/>
  </cellStyleXfs>
  <cellXfs count="1114">
    <xf numFmtId="0" fontId="0" fillId="0" borderId="0" xfId="0"/>
    <xf numFmtId="9" fontId="0" fillId="0" borderId="0" xfId="16" applyFont="1" applyAlignment="1">
      <alignment horizontal="center"/>
    </xf>
    <xf numFmtId="0" fontId="0" fillId="0" borderId="0" xfId="0" applyAlignment="1">
      <alignment horizontal="center"/>
    </xf>
    <xf numFmtId="166" fontId="0" fillId="0" borderId="0" xfId="0" applyNumberFormat="1"/>
    <xf numFmtId="10" fontId="0" fillId="0" borderId="0" xfId="0" applyNumberFormat="1" applyAlignment="1">
      <alignment horizontal="center"/>
    </xf>
    <xf numFmtId="167" fontId="0" fillId="0" borderId="0" xfId="0" applyNumberFormat="1" applyAlignment="1">
      <alignment horizontal="center"/>
    </xf>
    <xf numFmtId="0" fontId="13" fillId="0" borderId="0" xfId="0" applyFont="1" applyAlignment="1">
      <alignment horizontal="center"/>
    </xf>
    <xf numFmtId="0" fontId="25" fillId="0" borderId="0" xfId="0" applyFont="1"/>
    <xf numFmtId="0" fontId="14" fillId="0" borderId="19" xfId="0" applyFont="1" applyBorder="1"/>
    <xf numFmtId="0" fontId="13" fillId="0" borderId="22" xfId="0" applyFont="1" applyBorder="1" applyAlignment="1">
      <alignment horizontal="center"/>
    </xf>
    <xf numFmtId="0" fontId="22" fillId="0" borderId="0" xfId="0" applyFont="1"/>
    <xf numFmtId="0" fontId="8" fillId="0" borderId="0" xfId="0" applyFont="1"/>
    <xf numFmtId="0" fontId="8" fillId="0" borderId="19" xfId="0" applyFont="1" applyBorder="1"/>
    <xf numFmtId="0" fontId="8" fillId="0" borderId="19" xfId="0" applyFont="1" applyBorder="1" applyAlignment="1">
      <alignment horizontal="left"/>
    </xf>
    <xf numFmtId="0" fontId="13" fillId="0" borderId="0" xfId="0" applyFont="1"/>
    <xf numFmtId="166" fontId="13" fillId="0" borderId="0" xfId="0" applyNumberFormat="1" applyFont="1" applyAlignment="1">
      <alignment horizontal="center"/>
    </xf>
    <xf numFmtId="9" fontId="13" fillId="0" borderId="0" xfId="16" applyFont="1"/>
    <xf numFmtId="9" fontId="8" fillId="8" borderId="19" xfId="16" applyFont="1" applyFill="1" applyBorder="1" applyAlignment="1">
      <alignment horizontal="center"/>
    </xf>
    <xf numFmtId="10" fontId="8" fillId="8" borderId="19" xfId="0" applyNumberFormat="1" applyFont="1" applyFill="1" applyBorder="1" applyAlignment="1">
      <alignment horizontal="center"/>
    </xf>
    <xf numFmtId="0" fontId="8" fillId="8" borderId="26" xfId="0" applyFont="1" applyFill="1" applyBorder="1" applyAlignment="1">
      <alignment horizontal="center" vertical="center"/>
    </xf>
    <xf numFmtId="0" fontId="25" fillId="8" borderId="0" xfId="0" applyFont="1" applyFill="1"/>
    <xf numFmtId="0" fontId="25" fillId="8" borderId="0" xfId="0" applyFont="1" applyFill="1" applyAlignment="1">
      <alignment horizontal="center"/>
    </xf>
    <xf numFmtId="0" fontId="33" fillId="0" borderId="0" xfId="0" applyFont="1"/>
    <xf numFmtId="0" fontId="33" fillId="12" borderId="0" xfId="0" applyFont="1" applyFill="1"/>
    <xf numFmtId="3" fontId="33" fillId="0" borderId="0" xfId="0" applyNumberFormat="1" applyFont="1" applyAlignment="1">
      <alignment horizontal="center"/>
    </xf>
    <xf numFmtId="0" fontId="33" fillId="0" borderId="0" xfId="0" applyFont="1" applyAlignment="1">
      <alignment horizontal="left"/>
    </xf>
    <xf numFmtId="0" fontId="33" fillId="19" borderId="0" xfId="0" applyFont="1" applyFill="1"/>
    <xf numFmtId="3" fontId="33" fillId="19" borderId="0" xfId="0" applyNumberFormat="1" applyFont="1" applyFill="1" applyAlignment="1">
      <alignment horizontal="center"/>
    </xf>
    <xf numFmtId="0" fontId="0" fillId="12" borderId="0" xfId="0" applyFill="1"/>
    <xf numFmtId="3" fontId="33" fillId="0" borderId="0" xfId="0" applyNumberFormat="1" applyFont="1"/>
    <xf numFmtId="3" fontId="34" fillId="19" borderId="0" xfId="0" applyNumberFormat="1" applyFont="1" applyFill="1" applyAlignment="1">
      <alignment horizontal="center"/>
    </xf>
    <xf numFmtId="3" fontId="33" fillId="12" borderId="0" xfId="0" applyNumberFormat="1" applyFont="1" applyFill="1" applyAlignment="1">
      <alignment horizontal="center"/>
    </xf>
    <xf numFmtId="3" fontId="34" fillId="12" borderId="0" xfId="0" applyNumberFormat="1" applyFont="1" applyFill="1" applyAlignment="1">
      <alignment horizontal="center"/>
    </xf>
    <xf numFmtId="0" fontId="18" fillId="3" borderId="6" xfId="10"/>
    <xf numFmtId="0" fontId="0" fillId="20" borderId="0" xfId="0" applyFill="1"/>
    <xf numFmtId="3" fontId="22" fillId="0" borderId="0" xfId="0" applyNumberFormat="1" applyFont="1" applyAlignment="1">
      <alignment horizontal="center"/>
    </xf>
    <xf numFmtId="3" fontId="22" fillId="0" borderId="0" xfId="0" applyNumberFormat="1" applyFont="1"/>
    <xf numFmtId="0" fontId="0" fillId="21" borderId="0" xfId="0" applyFill="1"/>
    <xf numFmtId="3" fontId="22" fillId="19" borderId="0" xfId="0" applyNumberFormat="1" applyFont="1" applyFill="1" applyAlignment="1">
      <alignment horizontal="center"/>
    </xf>
    <xf numFmtId="0" fontId="22" fillId="19" borderId="0" xfId="0" applyFont="1" applyFill="1"/>
    <xf numFmtId="0" fontId="0" fillId="22" borderId="0" xfId="0" applyFill="1"/>
    <xf numFmtId="169" fontId="33" fillId="0" borderId="0" xfId="0" applyNumberFormat="1" applyFont="1" applyAlignment="1">
      <alignment horizontal="center"/>
    </xf>
    <xf numFmtId="0" fontId="36" fillId="0" borderId="0" xfId="0" applyFont="1"/>
    <xf numFmtId="0" fontId="37" fillId="0" borderId="0" xfId="0" applyFont="1"/>
    <xf numFmtId="0" fontId="38" fillId="0" borderId="0" xfId="0" applyFont="1" applyAlignment="1">
      <alignment horizontal="center"/>
    </xf>
    <xf numFmtId="0" fontId="38" fillId="0" borderId="0" xfId="0" applyFont="1"/>
    <xf numFmtId="168" fontId="37" fillId="0" borderId="0" xfId="0" applyNumberFormat="1" applyFont="1" applyAlignment="1">
      <alignment horizontal="center"/>
    </xf>
    <xf numFmtId="0" fontId="39" fillId="0" borderId="0" xfId="0" applyFont="1"/>
    <xf numFmtId="0" fontId="40" fillId="0" borderId="0" xfId="0" applyFont="1"/>
    <xf numFmtId="0" fontId="41" fillId="0" borderId="0" xfId="0" applyFont="1"/>
    <xf numFmtId="0" fontId="0" fillId="0" borderId="12" xfId="0" applyBorder="1"/>
    <xf numFmtId="0" fontId="22" fillId="0" borderId="0" xfId="0" applyFont="1" applyAlignment="1">
      <alignment horizontal="center"/>
    </xf>
    <xf numFmtId="0" fontId="37" fillId="0" borderId="0" xfId="0" applyFont="1" applyAlignment="1">
      <alignment horizontal="center"/>
    </xf>
    <xf numFmtId="3" fontId="36" fillId="0" borderId="0" xfId="0" applyNumberFormat="1" applyFont="1"/>
    <xf numFmtId="0" fontId="38" fillId="17" borderId="0" xfId="0" applyFont="1" applyFill="1" applyAlignment="1">
      <alignment horizontal="center"/>
    </xf>
    <xf numFmtId="0" fontId="37" fillId="17" borderId="42" xfId="0" applyFont="1" applyFill="1" applyBorder="1"/>
    <xf numFmtId="3" fontId="0" fillId="25" borderId="1" xfId="0" applyNumberFormat="1" applyFill="1" applyBorder="1" applyAlignment="1">
      <alignment horizontal="center"/>
    </xf>
    <xf numFmtId="3" fontId="0" fillId="25" borderId="43" xfId="0" applyNumberFormat="1" applyFill="1" applyBorder="1" applyAlignment="1">
      <alignment horizontal="center"/>
    </xf>
    <xf numFmtId="0" fontId="37" fillId="0" borderId="42" xfId="0" applyFont="1" applyBorder="1" applyAlignment="1">
      <alignment horizontal="left" indent="1"/>
    </xf>
    <xf numFmtId="167" fontId="13" fillId="26" borderId="1" xfId="16" applyNumberFormat="1" applyFont="1" applyFill="1" applyBorder="1" applyAlignment="1">
      <alignment horizontal="center"/>
    </xf>
    <xf numFmtId="167" fontId="13" fillId="26" borderId="43" xfId="16" applyNumberFormat="1" applyFont="1" applyFill="1" applyBorder="1" applyAlignment="1">
      <alignment horizontal="center"/>
    </xf>
    <xf numFmtId="0" fontId="37" fillId="0" borderId="42" xfId="0" applyFont="1" applyBorder="1" applyAlignment="1">
      <alignment horizontal="left"/>
    </xf>
    <xf numFmtId="3" fontId="0" fillId="25" borderId="1" xfId="16" applyNumberFormat="1" applyFont="1" applyFill="1" applyBorder="1" applyAlignment="1">
      <alignment horizontal="center"/>
    </xf>
    <xf numFmtId="3" fontId="0" fillId="25" borderId="43" xfId="16" applyNumberFormat="1" applyFont="1" applyFill="1" applyBorder="1" applyAlignment="1">
      <alignment horizontal="center"/>
    </xf>
    <xf numFmtId="0" fontId="37" fillId="17" borderId="42" xfId="0" applyFont="1" applyFill="1" applyBorder="1" applyAlignment="1">
      <alignment horizontal="left" indent="1"/>
    </xf>
    <xf numFmtId="0" fontId="38" fillId="0" borderId="42" xfId="0" applyFont="1" applyBorder="1" applyAlignment="1">
      <alignment horizontal="left"/>
    </xf>
    <xf numFmtId="3" fontId="13" fillId="27" borderId="1" xfId="16" applyNumberFormat="1" applyFont="1" applyFill="1" applyBorder="1" applyAlignment="1">
      <alignment horizontal="center"/>
    </xf>
    <xf numFmtId="3" fontId="13" fillId="27" borderId="43" xfId="16" applyNumberFormat="1" applyFont="1" applyFill="1" applyBorder="1" applyAlignment="1">
      <alignment horizontal="center"/>
    </xf>
    <xf numFmtId="0" fontId="38" fillId="17" borderId="42" xfId="0" applyFont="1" applyFill="1" applyBorder="1"/>
    <xf numFmtId="0" fontId="37" fillId="0" borderId="42" xfId="0" applyFont="1" applyBorder="1"/>
    <xf numFmtId="3" fontId="0" fillId="0" borderId="0" xfId="0" applyNumberFormat="1" applyAlignment="1">
      <alignment horizontal="center"/>
    </xf>
    <xf numFmtId="168" fontId="0" fillId="0" borderId="0" xfId="0" applyNumberFormat="1" applyAlignment="1">
      <alignment horizontal="center"/>
    </xf>
    <xf numFmtId="10" fontId="33" fillId="19" borderId="0" xfId="16" applyNumberFormat="1" applyFont="1" applyFill="1" applyAlignment="1">
      <alignment horizontal="center"/>
    </xf>
    <xf numFmtId="9" fontId="33" fillId="19" borderId="0" xfId="16" applyFont="1" applyFill="1" applyAlignment="1">
      <alignment horizontal="center"/>
    </xf>
    <xf numFmtId="167" fontId="33" fillId="19" borderId="0" xfId="16" applyNumberFormat="1" applyFont="1" applyFill="1" applyAlignment="1">
      <alignment horizontal="center"/>
    </xf>
    <xf numFmtId="10" fontId="33" fillId="19" borderId="0" xfId="0" applyNumberFormat="1" applyFont="1" applyFill="1" applyAlignment="1">
      <alignment horizontal="center"/>
    </xf>
    <xf numFmtId="4" fontId="33" fillId="19" borderId="0" xfId="0" applyNumberFormat="1" applyFont="1" applyFill="1" applyAlignment="1">
      <alignment horizontal="center"/>
    </xf>
    <xf numFmtId="0" fontId="33" fillId="19" borderId="0" xfId="0" applyFont="1" applyFill="1" applyAlignment="1">
      <alignment horizontal="center"/>
    </xf>
    <xf numFmtId="167" fontId="33" fillId="19" borderId="0" xfId="0" applyNumberFormat="1" applyFont="1" applyFill="1" applyAlignment="1">
      <alignment horizontal="center"/>
    </xf>
    <xf numFmtId="9" fontId="33" fillId="0" borderId="0" xfId="16" applyFont="1" applyFill="1" applyAlignment="1">
      <alignment horizontal="center"/>
    </xf>
    <xf numFmtId="167" fontId="33" fillId="0" borderId="0" xfId="16" applyNumberFormat="1" applyFont="1" applyFill="1" applyAlignment="1">
      <alignment horizontal="center"/>
    </xf>
    <xf numFmtId="9" fontId="33" fillId="0" borderId="0" xfId="22" applyFont="1" applyFill="1" applyAlignment="1">
      <alignment horizontal="center"/>
    </xf>
    <xf numFmtId="167" fontId="31" fillId="24" borderId="19" xfId="16" applyNumberFormat="1" applyFont="1" applyFill="1" applyBorder="1" applyAlignment="1">
      <alignment horizontal="center"/>
    </xf>
    <xf numFmtId="0" fontId="13" fillId="0" borderId="37" xfId="0" applyFont="1" applyBorder="1"/>
    <xf numFmtId="0" fontId="16" fillId="5" borderId="8" xfId="4" applyFill="1" applyBorder="1" applyAlignment="1"/>
    <xf numFmtId="0" fontId="8" fillId="0" borderId="0" xfId="26"/>
    <xf numFmtId="0" fontId="28" fillId="3" borderId="10" xfId="10" applyFont="1" applyBorder="1"/>
    <xf numFmtId="0" fontId="8" fillId="0" borderId="0" xfId="26" applyAlignment="1">
      <alignment vertical="center"/>
    </xf>
    <xf numFmtId="0" fontId="28" fillId="3" borderId="13" xfId="10" applyFont="1" applyBorder="1"/>
    <xf numFmtId="0" fontId="28" fillId="0" borderId="10" xfId="10" applyFont="1" applyFill="1" applyBorder="1"/>
    <xf numFmtId="0" fontId="19" fillId="0" borderId="0" xfId="8" applyFill="1" applyBorder="1"/>
    <xf numFmtId="0" fontId="26" fillId="29" borderId="0" xfId="26" applyFont="1" applyFill="1" applyAlignment="1">
      <alignment horizontal="center" vertical="center"/>
    </xf>
    <xf numFmtId="0" fontId="27" fillId="0" borderId="9" xfId="9" applyFont="1" applyFill="1" applyBorder="1"/>
    <xf numFmtId="0" fontId="18" fillId="3" borderId="13" xfId="10" applyBorder="1"/>
    <xf numFmtId="0" fontId="18" fillId="3" borderId="10" xfId="10" applyBorder="1"/>
    <xf numFmtId="0" fontId="25" fillId="0" borderId="0" xfId="26" applyFont="1"/>
    <xf numFmtId="0" fontId="13" fillId="0" borderId="32" xfId="0" applyFont="1" applyBorder="1"/>
    <xf numFmtId="0" fontId="13"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3" fillId="0" borderId="42" xfId="0" applyFont="1" applyBorder="1"/>
    <xf numFmtId="0" fontId="13" fillId="0" borderId="1" xfId="0" applyFont="1" applyBorder="1"/>
    <xf numFmtId="0" fontId="13" fillId="0" borderId="43" xfId="0" applyFont="1" applyBorder="1"/>
    <xf numFmtId="0" fontId="0" fillId="8" borderId="0" xfId="0" applyFill="1"/>
    <xf numFmtId="0" fontId="33" fillId="19" borderId="0" xfId="0" applyFont="1" applyFill="1" applyAlignment="1">
      <alignment horizontal="left" indent="1"/>
    </xf>
    <xf numFmtId="169" fontId="33" fillId="19" borderId="0" xfId="0" applyNumberFormat="1" applyFont="1" applyFill="1" applyAlignment="1">
      <alignment horizontal="left" indent="1"/>
    </xf>
    <xf numFmtId="0" fontId="33" fillId="30" borderId="0" xfId="0" applyFont="1" applyFill="1" applyAlignment="1">
      <alignment horizontal="left" indent="1"/>
    </xf>
    <xf numFmtId="0" fontId="22" fillId="0" borderId="0" xfId="0" applyFont="1" applyAlignment="1">
      <alignment horizontal="left"/>
    </xf>
    <xf numFmtId="0" fontId="26" fillId="32" borderId="28" xfId="0" applyFont="1" applyFill="1" applyBorder="1" applyAlignment="1">
      <alignment horizontal="center"/>
    </xf>
    <xf numFmtId="0" fontId="26" fillId="32" borderId="25" xfId="0" applyFont="1" applyFill="1" applyBorder="1" applyAlignment="1">
      <alignment horizontal="center"/>
    </xf>
    <xf numFmtId="0" fontId="13" fillId="0" borderId="50" xfId="0" applyFont="1" applyBorder="1" applyAlignment="1">
      <alignment horizontal="center"/>
    </xf>
    <xf numFmtId="0" fontId="13" fillId="0" borderId="51" xfId="0" applyFont="1" applyBorder="1" applyAlignment="1">
      <alignment horizontal="center"/>
    </xf>
    <xf numFmtId="167" fontId="31" fillId="24" borderId="51" xfId="16" applyNumberFormat="1" applyFont="1" applyFill="1" applyBorder="1" applyAlignment="1">
      <alignment horizontal="center"/>
    </xf>
    <xf numFmtId="0" fontId="0" fillId="0" borderId="50" xfId="0" applyBorder="1" applyAlignment="1">
      <alignment horizontal="center"/>
    </xf>
    <xf numFmtId="0" fontId="26" fillId="32" borderId="19" xfId="0" applyFont="1" applyFill="1" applyBorder="1" applyAlignment="1">
      <alignment horizontal="center" vertical="center" wrapText="1"/>
    </xf>
    <xf numFmtId="0" fontId="26" fillId="32" borderId="19" xfId="0" applyFont="1" applyFill="1" applyBorder="1" applyAlignment="1">
      <alignment horizontal="center"/>
    </xf>
    <xf numFmtId="0" fontId="26" fillId="32" borderId="23" xfId="0" applyFont="1" applyFill="1" applyBorder="1" applyAlignment="1">
      <alignment horizontal="center" vertical="center" wrapText="1"/>
    </xf>
    <xf numFmtId="0" fontId="8" fillId="8" borderId="19" xfId="0" applyFont="1" applyFill="1" applyBorder="1" applyAlignment="1">
      <alignment vertical="center" wrapText="1"/>
    </xf>
    <xf numFmtId="0" fontId="26" fillId="32" borderId="50" xfId="0" applyFont="1" applyFill="1" applyBorder="1" applyAlignment="1">
      <alignment horizontal="center"/>
    </xf>
    <xf numFmtId="0" fontId="26" fillId="32" borderId="51" xfId="0" applyFont="1" applyFill="1" applyBorder="1" applyAlignment="1">
      <alignment horizontal="center"/>
    </xf>
    <xf numFmtId="3" fontId="8" fillId="0" borderId="0" xfId="0" applyNumberFormat="1" applyFont="1"/>
    <xf numFmtId="0" fontId="8" fillId="17" borderId="42" xfId="0" applyFont="1" applyFill="1" applyBorder="1"/>
    <xf numFmtId="0" fontId="8" fillId="0" borderId="42" xfId="0" applyFont="1" applyBorder="1" applyAlignment="1">
      <alignment horizontal="left" indent="1"/>
    </xf>
    <xf numFmtId="0" fontId="8" fillId="0" borderId="42" xfId="0" applyFont="1" applyBorder="1" applyAlignment="1">
      <alignment horizontal="left"/>
    </xf>
    <xf numFmtId="0" fontId="8" fillId="17" borderId="42" xfId="0" applyFont="1" applyFill="1" applyBorder="1" applyAlignment="1">
      <alignment horizontal="left" indent="1"/>
    </xf>
    <xf numFmtId="0" fontId="13" fillId="0" borderId="42" xfId="0" applyFont="1" applyBorder="1" applyAlignment="1">
      <alignment horizontal="left"/>
    </xf>
    <xf numFmtId="0" fontId="13" fillId="17" borderId="42" xfId="0" applyFont="1" applyFill="1" applyBorder="1"/>
    <xf numFmtId="0" fontId="8" fillId="0" borderId="42" xfId="0" applyFont="1" applyBorder="1"/>
    <xf numFmtId="9" fontId="8" fillId="24" borderId="19" xfId="16" applyFont="1" applyFill="1" applyBorder="1" applyAlignment="1">
      <alignment horizontal="center"/>
    </xf>
    <xf numFmtId="166" fontId="8" fillId="7" borderId="19" xfId="0" applyNumberFormat="1" applyFont="1" applyFill="1" applyBorder="1" applyAlignment="1">
      <alignment horizontal="center"/>
    </xf>
    <xf numFmtId="4" fontId="8" fillId="7" borderId="19" xfId="0" applyNumberFormat="1" applyFont="1" applyFill="1" applyBorder="1" applyAlignment="1">
      <alignment horizontal="center"/>
    </xf>
    <xf numFmtId="9" fontId="31" fillId="7" borderId="51" xfId="16" applyFont="1" applyFill="1" applyBorder="1" applyAlignment="1">
      <alignment horizontal="center"/>
    </xf>
    <xf numFmtId="0" fontId="8" fillId="7" borderId="19" xfId="0" applyFont="1" applyFill="1" applyBorder="1"/>
    <xf numFmtId="9" fontId="8" fillId="7" borderId="19" xfId="16" applyFont="1" applyFill="1" applyBorder="1" applyAlignment="1">
      <alignment horizontal="center"/>
    </xf>
    <xf numFmtId="167" fontId="8" fillId="7" borderId="19" xfId="16" applyNumberFormat="1" applyFont="1" applyFill="1" applyBorder="1" applyAlignment="1">
      <alignment horizontal="center"/>
    </xf>
    <xf numFmtId="9" fontId="8" fillId="7" borderId="19" xfId="16" applyFont="1" applyFill="1" applyBorder="1"/>
    <xf numFmtId="0" fontId="47" fillId="32" borderId="51" xfId="0" applyFont="1" applyFill="1" applyBorder="1" applyAlignment="1">
      <alignment horizontal="center"/>
    </xf>
    <xf numFmtId="0" fontId="48" fillId="32" borderId="51" xfId="0" applyFont="1" applyFill="1" applyBorder="1" applyAlignment="1">
      <alignment horizontal="center"/>
    </xf>
    <xf numFmtId="0" fontId="13" fillId="14" borderId="12" xfId="0" applyFont="1" applyFill="1" applyBorder="1" applyAlignment="1">
      <alignment horizontal="center"/>
    </xf>
    <xf numFmtId="0" fontId="0" fillId="0" borderId="48" xfId="0" applyBorder="1"/>
    <xf numFmtId="0" fontId="0" fillId="0" borderId="71" xfId="0" applyBorder="1"/>
    <xf numFmtId="0" fontId="13" fillId="0" borderId="88" xfId="0" applyFont="1" applyBorder="1" applyAlignment="1">
      <alignment horizontal="left"/>
    </xf>
    <xf numFmtId="0" fontId="13" fillId="0" borderId="89" xfId="0" applyFont="1" applyBorder="1" applyAlignment="1">
      <alignment horizontal="left"/>
    </xf>
    <xf numFmtId="9" fontId="0" fillId="0" borderId="89" xfId="16" applyFont="1" applyBorder="1"/>
    <xf numFmtId="9" fontId="0" fillId="0" borderId="90" xfId="16" applyFont="1" applyBorder="1"/>
    <xf numFmtId="0" fontId="13" fillId="0" borderId="88" xfId="0" applyFont="1" applyBorder="1" applyAlignment="1">
      <alignment horizontal="center"/>
    </xf>
    <xf numFmtId="9" fontId="0" fillId="0" borderId="67" xfId="0" applyNumberFormat="1" applyBorder="1"/>
    <xf numFmtId="0" fontId="0" fillId="33" borderId="91" xfId="0" applyFill="1" applyBorder="1"/>
    <xf numFmtId="0" fontId="0" fillId="33" borderId="92" xfId="0" applyFill="1" applyBorder="1"/>
    <xf numFmtId="10" fontId="0" fillId="33" borderId="92" xfId="0" applyNumberFormat="1" applyFill="1" applyBorder="1"/>
    <xf numFmtId="10" fontId="0" fillId="33" borderId="93" xfId="0" applyNumberFormat="1" applyFill="1" applyBorder="1"/>
    <xf numFmtId="0" fontId="13" fillId="8" borderId="39" xfId="0" applyFont="1" applyFill="1" applyBorder="1" applyAlignment="1">
      <alignment horizontal="center"/>
    </xf>
    <xf numFmtId="9" fontId="0" fillId="0" borderId="94" xfId="16" applyFont="1" applyBorder="1"/>
    <xf numFmtId="0" fontId="13" fillId="0" borderId="94" xfId="0" applyFont="1" applyBorder="1"/>
    <xf numFmtId="0" fontId="13" fillId="14" borderId="66" xfId="0" applyFont="1" applyFill="1" applyBorder="1" applyAlignment="1">
      <alignment horizontal="center"/>
    </xf>
    <xf numFmtId="9" fontId="13" fillId="14" borderId="66" xfId="16" applyFont="1" applyFill="1" applyBorder="1" applyAlignment="1">
      <alignment horizontal="center"/>
    </xf>
    <xf numFmtId="0" fontId="13" fillId="0" borderId="66" xfId="0" applyFont="1" applyBorder="1" applyAlignment="1">
      <alignment horizontal="center"/>
    </xf>
    <xf numFmtId="0" fontId="13" fillId="0" borderId="97" xfId="0" applyFont="1" applyBorder="1"/>
    <xf numFmtId="0" fontId="13" fillId="0" borderId="96" xfId="0" applyFont="1" applyBorder="1" applyAlignment="1">
      <alignment horizontal="center"/>
    </xf>
    <xf numFmtId="0" fontId="0" fillId="0" borderId="49" xfId="0" applyBorder="1"/>
    <xf numFmtId="0" fontId="0" fillId="0" borderId="76" xfId="0" applyBorder="1"/>
    <xf numFmtId="0" fontId="0" fillId="0" borderId="76" xfId="0" applyBorder="1" applyAlignment="1">
      <alignment horizontal="center"/>
    </xf>
    <xf numFmtId="0" fontId="0" fillId="0" borderId="77" xfId="0" applyBorder="1"/>
    <xf numFmtId="9" fontId="0" fillId="0" borderId="0" xfId="0" applyNumberFormat="1"/>
    <xf numFmtId="0" fontId="13" fillId="14" borderId="93" xfId="0" applyFont="1" applyFill="1" applyBorder="1" applyAlignment="1">
      <alignment horizontal="center"/>
    </xf>
    <xf numFmtId="0" fontId="0" fillId="33" borderId="73" xfId="0" applyFill="1" applyBorder="1"/>
    <xf numFmtId="0" fontId="0" fillId="33" borderId="75" xfId="0" applyFill="1" applyBorder="1"/>
    <xf numFmtId="0" fontId="13" fillId="0" borderId="73" xfId="0" applyFont="1" applyBorder="1" applyAlignment="1">
      <alignment horizontal="center"/>
    </xf>
    <xf numFmtId="0" fontId="13" fillId="8" borderId="9" xfId="0" applyFont="1" applyFill="1" applyBorder="1" applyAlignment="1">
      <alignment horizontal="center"/>
    </xf>
    <xf numFmtId="0" fontId="0" fillId="31" borderId="74" xfId="0" applyFill="1" applyBorder="1"/>
    <xf numFmtId="0" fontId="26" fillId="31" borderId="74" xfId="0" applyFont="1" applyFill="1" applyBorder="1" applyAlignment="1">
      <alignment horizontal="left"/>
    </xf>
    <xf numFmtId="170" fontId="26" fillId="31" borderId="75" xfId="0" applyNumberFormat="1" applyFont="1" applyFill="1" applyBorder="1" applyAlignment="1">
      <alignment horizontal="center" vertical="center"/>
    </xf>
    <xf numFmtId="0" fontId="13" fillId="17" borderId="104" xfId="0" applyFont="1" applyFill="1" applyBorder="1"/>
    <xf numFmtId="0" fontId="13" fillId="17" borderId="106" xfId="0" applyFont="1" applyFill="1" applyBorder="1"/>
    <xf numFmtId="0" fontId="26" fillId="32" borderId="109" xfId="0" applyFont="1" applyFill="1" applyBorder="1" applyAlignment="1">
      <alignment horizontal="center"/>
    </xf>
    <xf numFmtId="0" fontId="0" fillId="32" borderId="110" xfId="0" applyFill="1" applyBorder="1"/>
    <xf numFmtId="0" fontId="0" fillId="32" borderId="111" xfId="0" applyFill="1" applyBorder="1"/>
    <xf numFmtId="0" fontId="26" fillId="32" borderId="104" xfId="0" applyFont="1" applyFill="1" applyBorder="1" applyAlignment="1">
      <alignment horizontal="center"/>
    </xf>
    <xf numFmtId="0" fontId="0" fillId="32" borderId="100" xfId="0" applyFill="1" applyBorder="1"/>
    <xf numFmtId="0" fontId="0" fillId="32" borderId="105" xfId="0" applyFill="1" applyBorder="1"/>
    <xf numFmtId="0" fontId="46" fillId="5" borderId="73" xfId="0" applyFont="1" applyFill="1" applyBorder="1" applyAlignment="1">
      <alignment horizontal="left" vertical="center"/>
    </xf>
    <xf numFmtId="0" fontId="46" fillId="31" borderId="73" xfId="0" applyFont="1" applyFill="1" applyBorder="1" applyAlignment="1">
      <alignment horizontal="left" vertical="center"/>
    </xf>
    <xf numFmtId="0" fontId="46" fillId="13" borderId="75" xfId="0" applyFont="1" applyFill="1" applyBorder="1" applyAlignment="1">
      <alignment horizontal="center"/>
    </xf>
    <xf numFmtId="0" fontId="13" fillId="8" borderId="103" xfId="0" applyFont="1" applyFill="1" applyBorder="1" applyAlignment="1">
      <alignment horizontal="left" vertical="center"/>
    </xf>
    <xf numFmtId="0" fontId="13" fillId="8" borderId="102" xfId="0" applyFont="1" applyFill="1" applyBorder="1" applyAlignment="1">
      <alignment horizontal="left" vertical="center"/>
    </xf>
    <xf numFmtId="0" fontId="13" fillId="8" borderId="104" xfId="0" applyFont="1" applyFill="1" applyBorder="1" applyAlignment="1">
      <alignment horizontal="left" vertical="center"/>
    </xf>
    <xf numFmtId="0" fontId="0" fillId="31" borderId="74" xfId="0" applyFill="1" applyBorder="1" applyAlignment="1">
      <alignment horizontal="center"/>
    </xf>
    <xf numFmtId="171" fontId="25" fillId="18" borderId="98" xfId="0" applyNumberFormat="1" applyFont="1" applyFill="1" applyBorder="1" applyAlignment="1">
      <alignment horizontal="center"/>
    </xf>
    <xf numFmtId="171" fontId="25" fillId="18" borderId="99" xfId="0" applyNumberFormat="1" applyFont="1" applyFill="1" applyBorder="1" applyAlignment="1">
      <alignment horizontal="center"/>
    </xf>
    <xf numFmtId="9" fontId="25" fillId="31" borderId="74" xfId="16" applyFont="1" applyFill="1" applyBorder="1" applyAlignment="1">
      <alignment horizontal="center" vertical="center"/>
    </xf>
    <xf numFmtId="9" fontId="25" fillId="18" borderId="98" xfId="16" applyFont="1" applyFill="1" applyBorder="1" applyAlignment="1">
      <alignment horizontal="center"/>
    </xf>
    <xf numFmtId="9" fontId="25" fillId="18" borderId="100" xfId="16" applyFont="1" applyFill="1" applyBorder="1" applyAlignment="1">
      <alignment horizontal="center"/>
    </xf>
    <xf numFmtId="9" fontId="25" fillId="18" borderId="99" xfId="16" applyFont="1" applyFill="1" applyBorder="1" applyAlignment="1">
      <alignment horizontal="center"/>
    </xf>
    <xf numFmtId="0" fontId="25" fillId="31" borderId="74" xfId="0" applyFont="1" applyFill="1" applyBorder="1" applyAlignment="1">
      <alignment horizontal="center" vertical="center"/>
    </xf>
    <xf numFmtId="10" fontId="25" fillId="31" borderId="74" xfId="0" applyNumberFormat="1" applyFont="1" applyFill="1" applyBorder="1" applyAlignment="1">
      <alignment horizontal="center" vertical="center"/>
    </xf>
    <xf numFmtId="170" fontId="25" fillId="31" borderId="74" xfId="19" applyNumberFormat="1" applyFont="1" applyFill="1" applyBorder="1" applyAlignment="1">
      <alignment horizontal="center" vertical="center"/>
    </xf>
    <xf numFmtId="0" fontId="25" fillId="31" borderId="74" xfId="0" applyFont="1" applyFill="1" applyBorder="1" applyAlignment="1">
      <alignment horizontal="center"/>
    </xf>
    <xf numFmtId="0" fontId="8" fillId="0" borderId="68" xfId="0" applyFont="1" applyBorder="1"/>
    <xf numFmtId="2" fontId="25" fillId="18" borderId="100" xfId="16" applyNumberFormat="1" applyFont="1" applyFill="1" applyBorder="1" applyAlignment="1">
      <alignment horizontal="center"/>
    </xf>
    <xf numFmtId="0" fontId="28" fillId="0" borderId="10" xfId="26" applyFont="1" applyBorder="1" applyAlignment="1">
      <alignment horizontal="center" vertical="center"/>
    </xf>
    <xf numFmtId="0" fontId="28" fillId="0" borderId="16" xfId="26" applyFont="1" applyBorder="1" applyAlignment="1">
      <alignment horizontal="center" vertical="center"/>
    </xf>
    <xf numFmtId="0" fontId="50" fillId="5" borderId="115" xfId="4" applyFont="1" applyFill="1" applyBorder="1" applyAlignment="1">
      <alignment horizontal="center" vertical="center"/>
    </xf>
    <xf numFmtId="0" fontId="50" fillId="5" borderId="115" xfId="3" applyFont="1" applyFill="1" applyBorder="1" applyAlignment="1">
      <alignment horizontal="center" vertical="center" wrapText="1"/>
    </xf>
    <xf numFmtId="0" fontId="50" fillId="5" borderId="115" xfId="3" applyFont="1" applyFill="1" applyBorder="1" applyAlignment="1">
      <alignment horizontal="center" vertical="center"/>
    </xf>
    <xf numFmtId="0" fontId="8" fillId="3" borderId="115" xfId="10" applyFont="1" applyBorder="1" applyAlignment="1">
      <alignment horizontal="center" vertical="center"/>
    </xf>
    <xf numFmtId="169" fontId="8" fillId="8" borderId="115" xfId="6" applyFont="1" applyFill="1" applyBorder="1" applyAlignment="1">
      <alignment horizontal="right" vertical="center" wrapText="1"/>
    </xf>
    <xf numFmtId="0" fontId="28" fillId="3" borderId="115" xfId="10" applyFont="1" applyBorder="1" applyAlignment="1">
      <alignment vertical="center"/>
    </xf>
    <xf numFmtId="169" fontId="8" fillId="3" borderId="115" xfId="6" applyFont="1" applyBorder="1" applyAlignment="1">
      <alignment horizontal="right" vertical="center" wrapText="1"/>
    </xf>
    <xf numFmtId="0" fontId="28" fillId="3" borderId="115" xfId="10" applyFont="1" applyBorder="1" applyAlignment="1">
      <alignment horizontal="center" vertical="center"/>
    </xf>
    <xf numFmtId="3" fontId="13" fillId="34" borderId="117" xfId="5" applyFont="1" applyFill="1" applyBorder="1" applyAlignment="1">
      <alignment horizontal="center" vertical="center"/>
    </xf>
    <xf numFmtId="0" fontId="13" fillId="0" borderId="0" xfId="26" applyFont="1" applyAlignment="1">
      <alignment vertical="center"/>
    </xf>
    <xf numFmtId="0" fontId="8" fillId="12" borderId="0" xfId="26" applyFill="1" applyAlignment="1">
      <alignment vertical="center"/>
    </xf>
    <xf numFmtId="0" fontId="27" fillId="0" borderId="115" xfId="9" applyFont="1" applyFill="1" applyBorder="1" applyAlignment="1">
      <alignment horizontal="center" vertical="center"/>
    </xf>
    <xf numFmtId="3" fontId="51" fillId="34" borderId="116" xfId="5" applyFont="1" applyFill="1" applyBorder="1" applyAlignment="1">
      <alignment horizontal="right" vertical="center"/>
    </xf>
    <xf numFmtId="3" fontId="51" fillId="34" borderId="117" xfId="5" applyFont="1" applyFill="1" applyBorder="1" applyAlignment="1">
      <alignment horizontal="right" vertical="center"/>
    </xf>
    <xf numFmtId="3" fontId="51" fillId="34" borderId="118" xfId="5" applyFont="1" applyFill="1" applyBorder="1" applyAlignment="1">
      <alignment horizontal="right" vertical="center"/>
    </xf>
    <xf numFmtId="169" fontId="8" fillId="3" borderId="115" xfId="6" applyFont="1" applyBorder="1" applyAlignment="1">
      <alignment horizontal="center" vertical="center"/>
    </xf>
    <xf numFmtId="0" fontId="0" fillId="34" borderId="117" xfId="0" applyFill="1" applyBorder="1" applyAlignment="1">
      <alignment horizontal="center" vertical="center"/>
    </xf>
    <xf numFmtId="4" fontId="8" fillId="34" borderId="117" xfId="7" applyFont="1" applyFill="1" applyBorder="1" applyAlignment="1">
      <alignment horizontal="right" vertical="center"/>
    </xf>
    <xf numFmtId="3" fontId="13" fillId="34" borderId="118" xfId="5" applyFont="1" applyFill="1" applyBorder="1" applyAlignment="1">
      <alignment horizontal="right" vertical="center" wrapText="1"/>
    </xf>
    <xf numFmtId="4" fontId="8" fillId="8" borderId="115" xfId="7" applyFont="1" applyFill="1" applyBorder="1" applyAlignment="1">
      <alignment horizontal="right" vertical="center" wrapText="1"/>
    </xf>
    <xf numFmtId="4" fontId="8" fillId="3" borderId="115" xfId="7" applyFont="1" applyBorder="1" applyAlignment="1">
      <alignment horizontal="center" vertical="center"/>
    </xf>
    <xf numFmtId="4" fontId="8" fillId="3" borderId="115" xfId="7" applyFont="1" applyBorder="1" applyAlignment="1">
      <alignment horizontal="right" vertical="center" wrapText="1"/>
    </xf>
    <xf numFmtId="0" fontId="28" fillId="0" borderId="115" xfId="10" applyFont="1" applyFill="1" applyBorder="1" applyAlignment="1">
      <alignment vertical="center"/>
    </xf>
    <xf numFmtId="0" fontId="8" fillId="0" borderId="115" xfId="10" applyFont="1" applyFill="1" applyBorder="1" applyAlignment="1">
      <alignment horizontal="center" vertical="center"/>
    </xf>
    <xf numFmtId="3" fontId="13" fillId="34" borderId="116" xfId="5" applyFont="1" applyFill="1" applyBorder="1" applyAlignment="1">
      <alignment horizontal="right" vertical="center"/>
    </xf>
    <xf numFmtId="4" fontId="8" fillId="6" borderId="115" xfId="7" applyFont="1" applyFill="1" applyBorder="1" applyAlignment="1">
      <alignment horizontal="right" vertical="center"/>
    </xf>
    <xf numFmtId="4" fontId="8" fillId="6" borderId="115" xfId="7" applyFont="1" applyFill="1" applyBorder="1" applyAlignment="1">
      <alignment horizontal="center" vertical="center"/>
    </xf>
    <xf numFmtId="4" fontId="8" fillId="0" borderId="115" xfId="7" applyFont="1" applyFill="1" applyBorder="1" applyAlignment="1">
      <alignment horizontal="right" vertical="center" wrapText="1"/>
    </xf>
    <xf numFmtId="0" fontId="28" fillId="3" borderId="115" xfId="10" applyFont="1" applyBorder="1" applyAlignment="1">
      <alignment vertical="center" wrapText="1"/>
    </xf>
    <xf numFmtId="4" fontId="8" fillId="0" borderId="115" xfId="7" applyFont="1" applyFill="1" applyBorder="1" applyAlignment="1">
      <alignment horizontal="center" vertical="center"/>
    </xf>
    <xf numFmtId="0" fontId="50" fillId="32" borderId="115" xfId="3" applyFont="1" applyFill="1" applyBorder="1" applyAlignment="1">
      <alignment horizontal="center" vertical="center" wrapText="1"/>
    </xf>
    <xf numFmtId="0" fontId="26" fillId="5" borderId="30" xfId="26" applyFont="1" applyFill="1" applyBorder="1" applyAlignment="1">
      <alignment horizontal="center" vertical="center"/>
    </xf>
    <xf numFmtId="0" fontId="26" fillId="5" borderId="31" xfId="26" applyFont="1" applyFill="1" applyBorder="1" applyAlignment="1">
      <alignment horizontal="center" vertical="center"/>
    </xf>
    <xf numFmtId="0" fontId="53" fillId="0" borderId="0" xfId="0" applyFont="1"/>
    <xf numFmtId="0" fontId="55" fillId="0" borderId="0" xfId="0" applyFont="1"/>
    <xf numFmtId="0" fontId="13" fillId="0" borderId="38" xfId="0" applyFont="1" applyBorder="1" applyAlignment="1">
      <alignment horizontal="center"/>
    </xf>
    <xf numFmtId="0" fontId="13" fillId="0" borderId="36" xfId="0" applyFont="1" applyBorder="1" applyAlignment="1">
      <alignment horizontal="center"/>
    </xf>
    <xf numFmtId="0" fontId="55" fillId="0" borderId="38" xfId="0" applyFont="1" applyBorder="1" applyAlignment="1">
      <alignment horizontal="center"/>
    </xf>
    <xf numFmtId="0" fontId="55" fillId="0" borderId="36" xfId="0" applyFont="1" applyBorder="1" applyAlignment="1">
      <alignment horizontal="center"/>
    </xf>
    <xf numFmtId="0" fontId="55" fillId="0" borderId="32" xfId="0" applyFont="1" applyBorder="1"/>
    <xf numFmtId="0" fontId="55" fillId="0" borderId="120" xfId="0" applyFont="1" applyBorder="1" applyAlignment="1">
      <alignment horizontal="center" vertical="center"/>
    </xf>
    <xf numFmtId="0" fontId="55" fillId="0" borderId="124" xfId="0" applyFont="1" applyBorder="1" applyAlignment="1">
      <alignment horizontal="center" vertical="center"/>
    </xf>
    <xf numFmtId="0" fontId="8" fillId="0" borderId="32" xfId="0" applyFont="1" applyBorder="1"/>
    <xf numFmtId="0" fontId="13" fillId="12" borderId="127" xfId="0" applyFont="1" applyFill="1" applyBorder="1" applyAlignment="1">
      <alignment horizontal="center"/>
    </xf>
    <xf numFmtId="0" fontId="55" fillId="12" borderId="127" xfId="0" applyFont="1" applyFill="1" applyBorder="1"/>
    <xf numFmtId="0" fontId="55" fillId="12" borderId="134" xfId="0" applyFont="1" applyFill="1" applyBorder="1"/>
    <xf numFmtId="10" fontId="0" fillId="0" borderId="131" xfId="0" applyNumberFormat="1" applyBorder="1" applyAlignment="1">
      <alignment horizontal="center" vertical="center"/>
    </xf>
    <xf numFmtId="10" fontId="0" fillId="0" borderId="135" xfId="0" applyNumberFormat="1" applyBorder="1" applyAlignment="1">
      <alignment horizontal="center" vertical="center"/>
    </xf>
    <xf numFmtId="10" fontId="0" fillId="0" borderId="136" xfId="0" applyNumberFormat="1" applyBorder="1" applyAlignment="1">
      <alignment horizontal="center" vertical="center"/>
    </xf>
    <xf numFmtId="10" fontId="0" fillId="0" borderId="137" xfId="0" applyNumberFormat="1" applyBorder="1" applyAlignment="1">
      <alignment horizontal="center" vertical="center"/>
    </xf>
    <xf numFmtId="0" fontId="55" fillId="0" borderId="138" xfId="0" applyFont="1" applyBorder="1" applyAlignment="1">
      <alignment horizontal="center" vertical="center"/>
    </xf>
    <xf numFmtId="0" fontId="55" fillId="0" borderId="139" xfId="0" applyFont="1" applyBorder="1" applyAlignment="1">
      <alignment horizontal="center" vertical="center"/>
    </xf>
    <xf numFmtId="0" fontId="26" fillId="5" borderId="140" xfId="26" applyFont="1" applyFill="1" applyBorder="1" applyAlignment="1">
      <alignment horizontal="center" vertical="center"/>
    </xf>
    <xf numFmtId="0" fontId="28" fillId="0" borderId="141" xfId="26" applyFont="1" applyBorder="1" applyAlignment="1">
      <alignment horizontal="center" vertical="center" wrapText="1"/>
    </xf>
    <xf numFmtId="0" fontId="28" fillId="0" borderId="142" xfId="26" applyFont="1" applyBorder="1" applyAlignment="1">
      <alignment horizontal="center" vertical="center" wrapText="1"/>
    </xf>
    <xf numFmtId="0" fontId="28" fillId="0" borderId="143" xfId="26" applyFont="1" applyBorder="1" applyAlignment="1">
      <alignment horizontal="center" vertical="center" wrapText="1"/>
    </xf>
    <xf numFmtId="0" fontId="53" fillId="8" borderId="0" xfId="0" applyFont="1" applyFill="1"/>
    <xf numFmtId="0" fontId="57" fillId="42" borderId="0" xfId="0" applyFont="1" applyFill="1"/>
    <xf numFmtId="0" fontId="8" fillId="37" borderId="32" xfId="0" applyFont="1" applyFill="1" applyBorder="1"/>
    <xf numFmtId="0" fontId="55" fillId="0" borderId="144" xfId="0" applyFont="1" applyBorder="1" applyAlignment="1">
      <alignment horizontal="center"/>
    </xf>
    <xf numFmtId="0" fontId="53" fillId="12" borderId="145" xfId="0" applyFont="1" applyFill="1" applyBorder="1" applyAlignment="1">
      <alignment horizontal="center"/>
    </xf>
    <xf numFmtId="0" fontId="8" fillId="39" borderId="145" xfId="0" applyFont="1" applyFill="1" applyBorder="1"/>
    <xf numFmtId="0" fontId="55" fillId="0" borderId="146" xfId="0" applyFont="1" applyBorder="1" applyAlignment="1">
      <alignment horizontal="center"/>
    </xf>
    <xf numFmtId="0" fontId="56" fillId="0" borderId="147" xfId="0" applyFont="1" applyBorder="1" applyAlignment="1">
      <alignment horizontal="center"/>
    </xf>
    <xf numFmtId="0" fontId="13" fillId="0" borderId="148" xfId="0" applyFont="1" applyBorder="1" applyAlignment="1">
      <alignment horizontal="center"/>
    </xf>
    <xf numFmtId="0" fontId="13" fillId="0" borderId="151" xfId="0" applyFont="1" applyBorder="1" applyAlignment="1">
      <alignment horizontal="center"/>
    </xf>
    <xf numFmtId="0" fontId="13" fillId="41" borderId="32" xfId="0" quotePrefix="1" applyFont="1" applyFill="1" applyBorder="1"/>
    <xf numFmtId="0" fontId="13" fillId="41" borderId="0" xfId="0" quotePrefix="1" applyFont="1" applyFill="1"/>
    <xf numFmtId="0" fontId="13" fillId="37" borderId="32" xfId="0" applyFont="1" applyFill="1" applyBorder="1"/>
    <xf numFmtId="0" fontId="8" fillId="0" borderId="161" xfId="0" applyFont="1" applyBorder="1"/>
    <xf numFmtId="0" fontId="13" fillId="0" borderId="162" xfId="0" applyFont="1" applyBorder="1" applyAlignment="1">
      <alignment horizontal="center"/>
    </xf>
    <xf numFmtId="0" fontId="13" fillId="0" borderId="40" xfId="0" applyFont="1" applyBorder="1" applyAlignment="1">
      <alignment horizontal="center"/>
    </xf>
    <xf numFmtId="0" fontId="13" fillId="0" borderId="163" xfId="0" applyFont="1" applyBorder="1" applyAlignment="1">
      <alignment horizontal="center"/>
    </xf>
    <xf numFmtId="0" fontId="13" fillId="0" borderId="154" xfId="0" applyFont="1" applyBorder="1" applyAlignment="1">
      <alignment horizontal="center"/>
    </xf>
    <xf numFmtId="14" fontId="13" fillId="0" borderId="21" xfId="0" applyNumberFormat="1" applyFont="1" applyBorder="1" applyAlignment="1">
      <alignment horizontal="center" vertical="center"/>
    </xf>
    <xf numFmtId="0" fontId="8" fillId="0" borderId="56" xfId="0" applyFont="1" applyBorder="1" applyAlignment="1">
      <alignment horizontal="center" vertical="center"/>
    </xf>
    <xf numFmtId="0" fontId="37" fillId="8" borderId="23" xfId="0" applyFont="1" applyFill="1" applyBorder="1" applyAlignment="1">
      <alignment horizontal="left" vertical="center" wrapText="1"/>
    </xf>
    <xf numFmtId="9" fontId="31" fillId="38" borderId="156" xfId="16" applyFont="1" applyFill="1" applyBorder="1" applyAlignment="1">
      <alignment horizontal="center" vertical="center"/>
    </xf>
    <xf numFmtId="3" fontId="4" fillId="43" borderId="44" xfId="30" applyNumberFormat="1" applyFill="1" applyBorder="1" applyAlignment="1">
      <alignment horizontal="center" vertical="center"/>
    </xf>
    <xf numFmtId="3" fontId="22" fillId="0" borderId="0" xfId="0" applyNumberFormat="1" applyFont="1" applyAlignment="1">
      <alignment horizontal="center" vertical="center"/>
    </xf>
    <xf numFmtId="3" fontId="33" fillId="19" borderId="0" xfId="0" applyNumberFormat="1" applyFont="1" applyFill="1" applyAlignment="1">
      <alignment horizontal="center" vertical="center"/>
    </xf>
    <xf numFmtId="167" fontId="31" fillId="43" borderId="157" xfId="30" applyNumberFormat="1" applyFont="1" applyFill="1" applyBorder="1" applyAlignment="1">
      <alignment horizontal="center" vertical="center"/>
    </xf>
    <xf numFmtId="3" fontId="4" fillId="43" borderId="159" xfId="30" applyNumberFormat="1" applyFill="1" applyBorder="1" applyAlignment="1">
      <alignment horizontal="center" vertical="center"/>
    </xf>
    <xf numFmtId="0" fontId="58" fillId="41" borderId="159" xfId="0" applyFont="1" applyFill="1" applyBorder="1" applyAlignment="1">
      <alignment horizontal="center" vertical="center"/>
    </xf>
    <xf numFmtId="0" fontId="58" fillId="41" borderId="44" xfId="0" applyFont="1" applyFill="1" applyBorder="1" applyAlignment="1">
      <alignment horizontal="center" vertical="center"/>
    </xf>
    <xf numFmtId="3" fontId="58" fillId="40" borderId="44" xfId="0" applyNumberFormat="1" applyFont="1" applyFill="1" applyBorder="1" applyAlignment="1">
      <alignment horizontal="center" vertical="center"/>
    </xf>
    <xf numFmtId="3" fontId="58" fillId="40" borderId="159" xfId="0" applyNumberFormat="1" applyFont="1" applyFill="1" applyBorder="1" applyAlignment="1">
      <alignment horizontal="center" vertical="center"/>
    </xf>
    <xf numFmtId="0" fontId="61" fillId="0" borderId="159" xfId="0" applyFont="1" applyBorder="1" applyAlignment="1">
      <alignment horizontal="center" vertical="center"/>
    </xf>
    <xf numFmtId="0" fontId="61" fillId="0" borderId="44" xfId="0" applyFont="1" applyBorder="1" applyAlignment="1">
      <alignment horizontal="center" vertical="center"/>
    </xf>
    <xf numFmtId="0" fontId="8" fillId="0" borderId="44" xfId="0" quotePrefix="1" applyFont="1" applyBorder="1" applyAlignment="1">
      <alignment horizontal="center" vertical="center"/>
    </xf>
    <xf numFmtId="0" fontId="8" fillId="0" borderId="150" xfId="0" quotePrefix="1" applyFont="1" applyBorder="1" applyAlignment="1">
      <alignment horizontal="center" vertical="center"/>
    </xf>
    <xf numFmtId="9" fontId="36" fillId="0" borderId="0" xfId="16" applyFont="1"/>
    <xf numFmtId="9" fontId="0" fillId="0" borderId="95" xfId="0" applyNumberFormat="1" applyBorder="1" applyAlignment="1">
      <alignment horizontal="center"/>
    </xf>
    <xf numFmtId="9" fontId="13" fillId="0" borderId="73" xfId="0" applyNumberFormat="1" applyFont="1" applyBorder="1" applyAlignment="1">
      <alignment horizontal="center"/>
    </xf>
    <xf numFmtId="9" fontId="13" fillId="0" borderId="74" xfId="0" applyNumberFormat="1" applyFont="1" applyBorder="1" applyAlignment="1">
      <alignment horizontal="center"/>
    </xf>
    <xf numFmtId="9" fontId="8" fillId="0" borderId="78" xfId="0" applyNumberFormat="1" applyFont="1" applyBorder="1" applyAlignment="1">
      <alignment horizontal="center"/>
    </xf>
    <xf numFmtId="9" fontId="8" fillId="0" borderId="83" xfId="0" applyNumberFormat="1" applyFont="1" applyBorder="1" applyAlignment="1">
      <alignment horizontal="center"/>
    </xf>
    <xf numFmtId="3" fontId="0" fillId="0" borderId="0" xfId="0" applyNumberFormat="1"/>
    <xf numFmtId="10" fontId="0" fillId="0" borderId="0" xfId="0" applyNumberFormat="1"/>
    <xf numFmtId="4" fontId="30" fillId="12" borderId="115" xfId="7" applyFont="1" applyFill="1" applyBorder="1" applyAlignment="1">
      <alignment horizontal="right" vertical="center"/>
    </xf>
    <xf numFmtId="4" fontId="8" fillId="0" borderId="0" xfId="7" applyFont="1" applyFill="1" applyBorder="1">
      <alignment horizontal="right"/>
    </xf>
    <xf numFmtId="4" fontId="30" fillId="0" borderId="0" xfId="7" applyFont="1" applyFill="1" applyBorder="1">
      <alignment horizontal="right"/>
    </xf>
    <xf numFmtId="4" fontId="30" fillId="9" borderId="115" xfId="7" applyFont="1" applyFill="1" applyBorder="1" applyAlignment="1">
      <alignment horizontal="right" vertical="center"/>
    </xf>
    <xf numFmtId="4" fontId="30" fillId="28" borderId="115" xfId="7" applyFont="1" applyFill="1" applyBorder="1" applyAlignment="1">
      <alignment horizontal="right" vertical="center"/>
    </xf>
    <xf numFmtId="4" fontId="24" fillId="28" borderId="115" xfId="7" applyFont="1" applyFill="1" applyBorder="1" applyAlignment="1">
      <alignment horizontal="right" vertical="center"/>
    </xf>
    <xf numFmtId="1" fontId="58" fillId="41" borderId="150" xfId="0" applyNumberFormat="1" applyFont="1" applyFill="1" applyBorder="1" applyAlignment="1">
      <alignment horizontal="center" vertical="center"/>
    </xf>
    <xf numFmtId="3" fontId="58" fillId="40" borderId="159" xfId="0" quotePrefix="1" applyNumberFormat="1" applyFont="1" applyFill="1" applyBorder="1" applyAlignment="1">
      <alignment horizontal="center" vertical="center"/>
    </xf>
    <xf numFmtId="1" fontId="53" fillId="40" borderId="38" xfId="0" applyNumberFormat="1" applyFont="1" applyFill="1" applyBorder="1" applyAlignment="1">
      <alignment horizontal="center" vertical="center"/>
    </xf>
    <xf numFmtId="4" fontId="5" fillId="0" borderId="44" xfId="29" applyNumberFormat="1" applyBorder="1" applyAlignment="1">
      <alignment horizontal="center"/>
    </xf>
    <xf numFmtId="0" fontId="25" fillId="0" borderId="0" xfId="0" applyFont="1" applyAlignment="1">
      <alignment horizontal="center"/>
    </xf>
    <xf numFmtId="0" fontId="64" fillId="0" borderId="0" xfId="0" applyFont="1"/>
    <xf numFmtId="0" fontId="0" fillId="0" borderId="44" xfId="0" applyBorder="1"/>
    <xf numFmtId="0" fontId="63" fillId="0" borderId="0" xfId="0" applyFont="1"/>
    <xf numFmtId="3" fontId="53" fillId="0" borderId="38" xfId="0" applyNumberFormat="1" applyFont="1" applyBorder="1" applyAlignment="1">
      <alignment horizontal="center" vertical="center"/>
    </xf>
    <xf numFmtId="167" fontId="31" fillId="38" borderId="44" xfId="16" applyNumberFormat="1" applyFont="1" applyFill="1" applyBorder="1" applyAlignment="1">
      <alignment horizontal="center" vertical="center"/>
    </xf>
    <xf numFmtId="3" fontId="61" fillId="0" borderId="44" xfId="0" applyNumberFormat="1" applyFont="1" applyBorder="1" applyAlignment="1">
      <alignment horizontal="center" vertical="center"/>
    </xf>
    <xf numFmtId="3" fontId="61" fillId="38" borderId="44" xfId="0" applyNumberFormat="1" applyFont="1" applyFill="1" applyBorder="1" applyAlignment="1">
      <alignment horizontal="center" vertical="center"/>
    </xf>
    <xf numFmtId="167" fontId="31" fillId="38" borderId="159" xfId="16" applyNumberFormat="1" applyFont="1" applyFill="1" applyBorder="1" applyAlignment="1">
      <alignment horizontal="center" vertical="center"/>
    </xf>
    <xf numFmtId="3" fontId="61" fillId="0" borderId="159" xfId="0" applyNumberFormat="1" applyFont="1" applyBorder="1" applyAlignment="1">
      <alignment horizontal="center" vertical="center"/>
    </xf>
    <xf numFmtId="3" fontId="61" fillId="38" borderId="159" xfId="0" applyNumberFormat="1" applyFont="1" applyFill="1" applyBorder="1" applyAlignment="1">
      <alignment horizontal="center" vertical="center"/>
    </xf>
    <xf numFmtId="0" fontId="61" fillId="38" borderId="160" xfId="0" applyFont="1" applyFill="1" applyBorder="1" applyAlignment="1">
      <alignment horizontal="center" vertical="center"/>
    </xf>
    <xf numFmtId="0" fontId="61" fillId="38" borderId="174" xfId="0" applyFont="1" applyFill="1" applyBorder="1" applyAlignment="1">
      <alignment horizontal="center" vertical="center"/>
    </xf>
    <xf numFmtId="167" fontId="31" fillId="43" borderId="176" xfId="30" applyNumberFormat="1" applyFont="1" applyFill="1" applyBorder="1" applyAlignment="1">
      <alignment horizontal="center" vertical="center"/>
    </xf>
    <xf numFmtId="3" fontId="4" fillId="43" borderId="42" xfId="30" applyNumberFormat="1" applyFill="1" applyBorder="1" applyAlignment="1">
      <alignment horizontal="center" vertical="center"/>
    </xf>
    <xf numFmtId="167" fontId="31" fillId="38" borderId="42" xfId="16" applyNumberFormat="1" applyFont="1" applyFill="1" applyBorder="1" applyAlignment="1">
      <alignment horizontal="center" vertical="center"/>
    </xf>
    <xf numFmtId="3" fontId="61" fillId="0" borderId="42" xfId="0" applyNumberFormat="1" applyFont="1" applyBorder="1" applyAlignment="1">
      <alignment horizontal="center" vertical="center"/>
    </xf>
    <xf numFmtId="0" fontId="61" fillId="0" borderId="42" xfId="0" applyFont="1" applyBorder="1" applyAlignment="1">
      <alignment horizontal="center" vertical="center"/>
    </xf>
    <xf numFmtId="3" fontId="61" fillId="38" borderId="42" xfId="0" applyNumberFormat="1" applyFont="1" applyFill="1" applyBorder="1" applyAlignment="1">
      <alignment horizontal="center" vertical="center"/>
    </xf>
    <xf numFmtId="0" fontId="61" fillId="38" borderId="177" xfId="0" applyFont="1" applyFill="1" applyBorder="1" applyAlignment="1">
      <alignment horizontal="center" vertical="center"/>
    </xf>
    <xf numFmtId="1" fontId="53" fillId="0" borderId="44" xfId="0" applyNumberFormat="1" applyFont="1" applyBorder="1" applyAlignment="1">
      <alignment horizontal="center" vertical="center"/>
    </xf>
    <xf numFmtId="1" fontId="58" fillId="0" borderId="44" xfId="0" applyNumberFormat="1" applyFont="1" applyBorder="1" applyAlignment="1">
      <alignment horizontal="center" vertical="center"/>
    </xf>
    <xf numFmtId="1" fontId="53" fillId="0" borderId="159" xfId="0" applyNumberFormat="1" applyFont="1" applyBorder="1" applyAlignment="1">
      <alignment horizontal="center" vertical="center"/>
    </xf>
    <xf numFmtId="1" fontId="53" fillId="0" borderId="150" xfId="0" applyNumberFormat="1" applyFont="1" applyBorder="1" applyAlignment="1">
      <alignment horizontal="center" vertical="center"/>
    </xf>
    <xf numFmtId="1" fontId="58" fillId="0" borderId="159" xfId="0" applyNumberFormat="1" applyFont="1" applyBorder="1" applyAlignment="1">
      <alignment horizontal="center" vertical="center"/>
    </xf>
    <xf numFmtId="1" fontId="58" fillId="0" borderId="150" xfId="0" applyNumberFormat="1" applyFont="1" applyBorder="1" applyAlignment="1">
      <alignment horizontal="center" vertical="center"/>
    </xf>
    <xf numFmtId="1" fontId="61" fillId="38" borderId="160" xfId="0" applyNumberFormat="1" applyFont="1" applyFill="1" applyBorder="1" applyAlignment="1">
      <alignment horizontal="center" vertical="center"/>
    </xf>
    <xf numFmtId="1" fontId="61" fillId="38" borderId="174" xfId="0" applyNumberFormat="1" applyFont="1" applyFill="1" applyBorder="1" applyAlignment="1">
      <alignment horizontal="center" vertical="center"/>
    </xf>
    <xf numFmtId="1" fontId="61" fillId="38" borderId="175" xfId="0" applyNumberFormat="1" applyFont="1" applyFill="1" applyBorder="1" applyAlignment="1">
      <alignment horizontal="center" vertical="center"/>
    </xf>
    <xf numFmtId="167" fontId="8" fillId="0" borderId="156" xfId="16" applyNumberFormat="1" applyFont="1" applyFill="1" applyBorder="1" applyAlignment="1">
      <alignment horizontal="center" vertical="center"/>
    </xf>
    <xf numFmtId="167" fontId="8" fillId="0" borderId="157" xfId="16" applyNumberFormat="1" applyFont="1" applyFill="1" applyBorder="1" applyAlignment="1">
      <alignment horizontal="center" vertical="center"/>
    </xf>
    <xf numFmtId="167" fontId="0" fillId="0" borderId="158" xfId="16" applyNumberFormat="1" applyFont="1" applyFill="1" applyBorder="1" applyAlignment="1">
      <alignment horizontal="center" vertical="center"/>
    </xf>
    <xf numFmtId="167" fontId="31" fillId="0" borderId="159" xfId="16" applyNumberFormat="1" applyFont="1" applyFill="1" applyBorder="1" applyAlignment="1">
      <alignment horizontal="center" vertical="center"/>
    </xf>
    <xf numFmtId="167" fontId="31" fillId="0" borderId="44" xfId="16" applyNumberFormat="1" applyFont="1" applyFill="1" applyBorder="1" applyAlignment="1">
      <alignment horizontal="center" vertical="center"/>
    </xf>
    <xf numFmtId="167" fontId="31" fillId="0" borderId="150" xfId="16" applyNumberFormat="1" applyFont="1" applyFill="1" applyBorder="1" applyAlignment="1">
      <alignment horizontal="center" vertical="center"/>
    </xf>
    <xf numFmtId="1" fontId="61" fillId="0" borderId="159" xfId="0" applyNumberFormat="1" applyFont="1" applyBorder="1" applyAlignment="1">
      <alignment horizontal="center" vertical="center"/>
    </xf>
    <xf numFmtId="1" fontId="61" fillId="0" borderId="44" xfId="0" applyNumberFormat="1" applyFont="1" applyBorder="1" applyAlignment="1">
      <alignment horizontal="center" vertical="center"/>
    </xf>
    <xf numFmtId="1" fontId="61" fillId="0" borderId="150" xfId="0" applyNumberFormat="1" applyFont="1" applyBorder="1" applyAlignment="1">
      <alignment horizontal="center" vertical="center"/>
    </xf>
    <xf numFmtId="0" fontId="58" fillId="41" borderId="42" xfId="0" applyFont="1" applyFill="1" applyBorder="1" applyAlignment="1">
      <alignment horizontal="center" vertical="center"/>
    </xf>
    <xf numFmtId="3" fontId="58" fillId="40" borderId="42" xfId="0" quotePrefix="1" applyNumberFormat="1" applyFont="1" applyFill="1" applyBorder="1" applyAlignment="1">
      <alignment horizontal="center" vertical="center"/>
    </xf>
    <xf numFmtId="3" fontId="58" fillId="40" borderId="42" xfId="0" applyNumberFormat="1" applyFont="1" applyFill="1" applyBorder="1" applyAlignment="1">
      <alignment horizontal="center" vertical="center"/>
    </xf>
    <xf numFmtId="1" fontId="58" fillId="41" borderId="44" xfId="0" applyNumberFormat="1" applyFont="1" applyFill="1" applyBorder="1" applyAlignment="1">
      <alignment horizontal="center" vertical="center"/>
    </xf>
    <xf numFmtId="1" fontId="58" fillId="41" borderId="159" xfId="0" applyNumberFormat="1" applyFont="1" applyFill="1" applyBorder="1" applyAlignment="1">
      <alignment horizontal="center" vertical="center"/>
    </xf>
    <xf numFmtId="0" fontId="8" fillId="0" borderId="159" xfId="0" quotePrefix="1" applyFont="1" applyBorder="1" applyAlignment="1">
      <alignment horizontal="center" vertical="center"/>
    </xf>
    <xf numFmtId="1" fontId="53" fillId="40" borderId="44" xfId="0" applyNumberFormat="1" applyFont="1" applyFill="1" applyBorder="1" applyAlignment="1">
      <alignment horizontal="center" vertical="center"/>
    </xf>
    <xf numFmtId="1" fontId="53" fillId="40" borderId="156" xfId="0" applyNumberFormat="1" applyFont="1" applyFill="1" applyBorder="1" applyAlignment="1">
      <alignment horizontal="center" vertical="center"/>
    </xf>
    <xf numFmtId="1" fontId="53" fillId="40" borderId="157" xfId="0" applyNumberFormat="1" applyFont="1" applyFill="1" applyBorder="1" applyAlignment="1">
      <alignment horizontal="center" vertical="center"/>
    </xf>
    <xf numFmtId="1" fontId="53" fillId="40" borderId="159" xfId="0" applyNumberFormat="1" applyFont="1" applyFill="1" applyBorder="1" applyAlignment="1">
      <alignment horizontal="center" vertical="center"/>
    </xf>
    <xf numFmtId="1" fontId="53" fillId="40" borderId="160" xfId="0" applyNumberFormat="1" applyFont="1" applyFill="1" applyBorder="1" applyAlignment="1">
      <alignment horizontal="center" vertical="center"/>
    </xf>
    <xf numFmtId="1" fontId="53" fillId="40" borderId="174" xfId="0" applyNumberFormat="1" applyFont="1" applyFill="1" applyBorder="1" applyAlignment="1">
      <alignment horizontal="center" vertical="center"/>
    </xf>
    <xf numFmtId="1" fontId="53" fillId="40" borderId="176" xfId="0" applyNumberFormat="1" applyFont="1" applyFill="1" applyBorder="1" applyAlignment="1">
      <alignment horizontal="center" vertical="center"/>
    </xf>
    <xf numFmtId="1" fontId="53" fillId="40" borderId="42" xfId="0" applyNumberFormat="1" applyFont="1" applyFill="1" applyBorder="1" applyAlignment="1">
      <alignment horizontal="center" vertical="center"/>
    </xf>
    <xf numFmtId="1" fontId="53" fillId="40" borderId="177" xfId="0" applyNumberFormat="1" applyFont="1" applyFill="1" applyBorder="1" applyAlignment="1">
      <alignment horizontal="center" vertical="center"/>
    </xf>
    <xf numFmtId="1" fontId="0" fillId="0" borderId="44" xfId="0" applyNumberFormat="1" applyBorder="1" applyAlignment="1">
      <alignment horizontal="center" vertical="center"/>
    </xf>
    <xf numFmtId="1" fontId="0" fillId="0" borderId="156" xfId="0" applyNumberFormat="1" applyBorder="1" applyAlignment="1">
      <alignment horizontal="center" vertical="center"/>
    </xf>
    <xf numFmtId="1" fontId="0" fillId="0" borderId="157" xfId="0" applyNumberFormat="1" applyBorder="1" applyAlignment="1">
      <alignment horizontal="center" vertical="center"/>
    </xf>
    <xf numFmtId="1" fontId="0" fillId="0" borderId="158" xfId="0" applyNumberFormat="1" applyBorder="1" applyAlignment="1">
      <alignment horizontal="center" vertical="center"/>
    </xf>
    <xf numFmtId="1" fontId="0" fillId="0" borderId="159" xfId="0" applyNumberFormat="1" applyBorder="1" applyAlignment="1">
      <alignment horizontal="center" vertical="center"/>
    </xf>
    <xf numFmtId="1" fontId="0" fillId="0" borderId="150" xfId="0" applyNumberFormat="1" applyBorder="1" applyAlignment="1">
      <alignment horizontal="center" vertical="center"/>
    </xf>
    <xf numFmtId="1" fontId="0" fillId="0" borderId="160" xfId="0" applyNumberFormat="1" applyBorder="1" applyAlignment="1">
      <alignment horizontal="center" vertical="center"/>
    </xf>
    <xf numFmtId="1" fontId="0" fillId="0" borderId="174" xfId="0" applyNumberFormat="1" applyBorder="1" applyAlignment="1">
      <alignment horizontal="center" vertical="center"/>
    </xf>
    <xf numFmtId="1" fontId="0" fillId="0" borderId="175" xfId="0" applyNumberFormat="1" applyBorder="1" applyAlignment="1">
      <alignment horizontal="center" vertical="center"/>
    </xf>
    <xf numFmtId="1" fontId="53" fillId="40" borderId="148" xfId="0" applyNumberFormat="1" applyFont="1" applyFill="1" applyBorder="1" applyAlignment="1">
      <alignment horizontal="center" vertical="center"/>
    </xf>
    <xf numFmtId="1" fontId="53" fillId="40" borderId="149" xfId="0" applyNumberFormat="1" applyFont="1" applyFill="1" applyBorder="1" applyAlignment="1">
      <alignment horizontal="center" vertical="center"/>
    </xf>
    <xf numFmtId="1" fontId="53" fillId="40" borderId="151" xfId="0" applyNumberFormat="1" applyFont="1" applyFill="1" applyBorder="1" applyAlignment="1">
      <alignment horizontal="center" vertical="center"/>
    </xf>
    <xf numFmtId="1" fontId="53" fillId="40" borderId="152" xfId="0" applyNumberFormat="1" applyFont="1" applyFill="1" applyBorder="1" applyAlignment="1">
      <alignment horizontal="center" vertical="center"/>
    </xf>
    <xf numFmtId="1" fontId="53" fillId="40" borderId="153" xfId="0" applyNumberFormat="1" applyFont="1" applyFill="1" applyBorder="1" applyAlignment="1">
      <alignment horizontal="center" vertical="center"/>
    </xf>
    <xf numFmtId="1" fontId="53" fillId="0" borderId="156" xfId="0" applyNumberFormat="1" applyFont="1" applyBorder="1" applyAlignment="1">
      <alignment horizontal="center" vertical="center"/>
    </xf>
    <xf numFmtId="1" fontId="53" fillId="0" borderId="157" xfId="0" applyNumberFormat="1" applyFont="1" applyBorder="1" applyAlignment="1">
      <alignment horizontal="center" vertical="center"/>
    </xf>
    <xf numFmtId="1" fontId="53" fillId="0" borderId="158" xfId="0" applyNumberFormat="1" applyFont="1" applyBorder="1" applyAlignment="1">
      <alignment horizontal="center" vertical="center"/>
    </xf>
    <xf numFmtId="4" fontId="5" fillId="0" borderId="159" xfId="29" applyNumberFormat="1" applyBorder="1" applyAlignment="1">
      <alignment horizontal="center"/>
    </xf>
    <xf numFmtId="4" fontId="5" fillId="0" borderId="150" xfId="29" applyNumberFormat="1" applyBorder="1" applyAlignment="1">
      <alignment horizontal="center"/>
    </xf>
    <xf numFmtId="4" fontId="5" fillId="0" borderId="160" xfId="29" applyNumberFormat="1" applyBorder="1" applyAlignment="1">
      <alignment horizontal="center"/>
    </xf>
    <xf numFmtId="4" fontId="5" fillId="0" borderId="174" xfId="29" applyNumberFormat="1" applyBorder="1" applyAlignment="1">
      <alignment horizontal="center"/>
    </xf>
    <xf numFmtId="4" fontId="5" fillId="0" borderId="175" xfId="29" applyNumberFormat="1" applyBorder="1" applyAlignment="1">
      <alignment horizontal="center"/>
    </xf>
    <xf numFmtId="9" fontId="0" fillId="0" borderId="0" xfId="16" applyFont="1" applyBorder="1" applyAlignment="1">
      <alignment horizontal="left"/>
    </xf>
    <xf numFmtId="3" fontId="8" fillId="0" borderId="159" xfId="0" applyNumberFormat="1" applyFont="1" applyBorder="1" applyAlignment="1">
      <alignment horizontal="center" vertical="center"/>
    </xf>
    <xf numFmtId="3" fontId="58" fillId="0" borderId="42" xfId="0" applyNumberFormat="1" applyFont="1" applyBorder="1" applyAlignment="1">
      <alignment horizontal="center" vertical="center"/>
    </xf>
    <xf numFmtId="3" fontId="58" fillId="0" borderId="44" xfId="0" applyNumberFormat="1" applyFont="1" applyBorder="1" applyAlignment="1">
      <alignment horizontal="center" vertical="center"/>
    </xf>
    <xf numFmtId="3" fontId="58" fillId="0" borderId="159" xfId="0" applyNumberFormat="1" applyFont="1" applyBorder="1" applyAlignment="1">
      <alignment horizontal="center" vertical="center"/>
    </xf>
    <xf numFmtId="2" fontId="8" fillId="24" borderId="19" xfId="0" applyNumberFormat="1" applyFont="1" applyFill="1" applyBorder="1" applyAlignment="1">
      <alignment horizontal="center"/>
    </xf>
    <xf numFmtId="0" fontId="22" fillId="0" borderId="0" xfId="0" applyFont="1" applyAlignment="1">
      <alignment horizontal="center" vertical="center"/>
    </xf>
    <xf numFmtId="3" fontId="33" fillId="19" borderId="0" xfId="21" applyNumberFormat="1" applyFont="1" applyFill="1" applyAlignment="1">
      <alignment horizontal="center" vertical="center"/>
    </xf>
    <xf numFmtId="3" fontId="34" fillId="19" borderId="0" xfId="21" applyNumberFormat="1" applyFont="1" applyFill="1" applyAlignment="1">
      <alignment horizontal="center" vertical="center"/>
    </xf>
    <xf numFmtId="3" fontId="34" fillId="19" borderId="0" xfId="0" applyNumberFormat="1" applyFont="1" applyFill="1" applyAlignment="1">
      <alignment horizontal="center" vertical="center"/>
    </xf>
    <xf numFmtId="3" fontId="33" fillId="0" borderId="0" xfId="0" applyNumberFormat="1" applyFont="1" applyAlignment="1">
      <alignment horizontal="center" vertical="center"/>
    </xf>
    <xf numFmtId="169" fontId="22" fillId="0" borderId="0" xfId="0" applyNumberFormat="1" applyFont="1" applyAlignment="1">
      <alignment horizontal="center" vertical="center"/>
    </xf>
    <xf numFmtId="4" fontId="33" fillId="19" borderId="0" xfId="0" applyNumberFormat="1" applyFont="1" applyFill="1" applyAlignment="1">
      <alignment horizontal="center" vertical="center"/>
    </xf>
    <xf numFmtId="4" fontId="33" fillId="19" borderId="0" xfId="21" applyNumberFormat="1" applyFont="1" applyFill="1" applyAlignment="1">
      <alignment horizontal="center" vertical="center"/>
    </xf>
    <xf numFmtId="3" fontId="22" fillId="19" borderId="0" xfId="0" applyNumberFormat="1" applyFont="1" applyFill="1" applyAlignment="1">
      <alignment horizontal="center" vertical="center"/>
    </xf>
    <xf numFmtId="0" fontId="0" fillId="0" borderId="0" xfId="0" applyAlignment="1">
      <alignment horizontal="center" vertical="center"/>
    </xf>
    <xf numFmtId="0" fontId="25" fillId="0" borderId="0" xfId="0" applyFont="1" applyAlignment="1">
      <alignment horizontal="center" vertical="center"/>
    </xf>
    <xf numFmtId="0" fontId="8" fillId="8" borderId="19" xfId="0" applyFont="1" applyFill="1" applyBorder="1" applyAlignment="1">
      <alignment horizontal="center" vertical="center" wrapText="1"/>
    </xf>
    <xf numFmtId="0" fontId="32" fillId="8" borderId="19" xfId="0" applyFont="1" applyFill="1" applyBorder="1" applyAlignment="1">
      <alignment horizontal="center" vertical="center" wrapText="1"/>
    </xf>
    <xf numFmtId="0" fontId="46" fillId="9" borderId="73" xfId="0" applyFont="1" applyFill="1" applyBorder="1" applyAlignment="1">
      <alignment horizontal="center" vertical="center" wrapText="1"/>
    </xf>
    <xf numFmtId="0" fontId="46" fillId="10" borderId="74" xfId="0" applyFont="1" applyFill="1" applyBorder="1" applyAlignment="1">
      <alignment horizontal="center" vertical="center" wrapText="1"/>
    </xf>
    <xf numFmtId="0" fontId="46" fillId="11" borderId="74" xfId="0" applyFont="1" applyFill="1" applyBorder="1" applyAlignment="1">
      <alignment horizontal="center" vertical="center" wrapText="1"/>
    </xf>
    <xf numFmtId="0" fontId="46" fillId="15" borderId="74" xfId="0" applyFont="1" applyFill="1" applyBorder="1" applyAlignment="1">
      <alignment horizontal="center" vertical="center" wrapText="1"/>
    </xf>
    <xf numFmtId="0" fontId="46" fillId="23" borderId="101" xfId="0" applyFont="1" applyFill="1" applyBorder="1" applyAlignment="1">
      <alignment horizontal="center" vertical="center" wrapText="1"/>
    </xf>
    <xf numFmtId="0" fontId="46" fillId="23" borderId="65" xfId="0" applyFont="1" applyFill="1" applyBorder="1" applyAlignment="1">
      <alignment horizontal="center" vertical="center" wrapText="1"/>
    </xf>
    <xf numFmtId="0" fontId="55" fillId="0" borderId="0" xfId="0" applyFont="1" applyAlignment="1">
      <alignment horizontal="center" vertical="center"/>
    </xf>
    <xf numFmtId="14" fontId="13" fillId="0" borderId="20" xfId="0" applyNumberFormat="1" applyFont="1" applyBorder="1" applyAlignment="1">
      <alignment horizontal="center" vertical="center"/>
    </xf>
    <xf numFmtId="14" fontId="13" fillId="0" borderId="53" xfId="0" applyNumberFormat="1" applyFont="1" applyBorder="1" applyAlignment="1">
      <alignment horizontal="center" vertical="center"/>
    </xf>
    <xf numFmtId="0" fontId="0" fillId="0" borderId="0" xfId="0" applyAlignment="1">
      <alignment horizontal="left"/>
    </xf>
    <xf numFmtId="2" fontId="8" fillId="24" borderId="51" xfId="0" applyNumberFormat="1" applyFont="1" applyFill="1" applyBorder="1" applyAlignment="1">
      <alignment horizontal="center"/>
    </xf>
    <xf numFmtId="2" fontId="31" fillId="24" borderId="51" xfId="16" applyNumberFormat="1" applyFont="1" applyFill="1" applyBorder="1" applyAlignment="1">
      <alignment horizontal="center"/>
    </xf>
    <xf numFmtId="0" fontId="8" fillId="7" borderId="178" xfId="0" applyFont="1" applyFill="1" applyBorder="1"/>
    <xf numFmtId="0" fontId="0" fillId="7" borderId="0" xfId="0" applyFill="1"/>
    <xf numFmtId="0" fontId="26" fillId="32" borderId="62" xfId="0" applyFont="1" applyFill="1" applyBorder="1" applyAlignment="1">
      <alignment horizontal="center"/>
    </xf>
    <xf numFmtId="0" fontId="13" fillId="0" borderId="62" xfId="0" applyFont="1" applyBorder="1" applyAlignment="1">
      <alignment horizontal="center"/>
    </xf>
    <xf numFmtId="2" fontId="31" fillId="24" borderId="62" xfId="16" applyNumberFormat="1" applyFont="1" applyFill="1" applyBorder="1" applyAlignment="1">
      <alignment horizontal="center"/>
    </xf>
    <xf numFmtId="10" fontId="62" fillId="8" borderId="62" xfId="0" applyNumberFormat="1" applyFont="1" applyFill="1" applyBorder="1" applyAlignment="1">
      <alignment horizontal="center"/>
    </xf>
    <xf numFmtId="0" fontId="8" fillId="0" borderId="0" xfId="0" applyFont="1" applyAlignment="1">
      <alignment horizontal="center"/>
    </xf>
    <xf numFmtId="10" fontId="8" fillId="0" borderId="126" xfId="0" applyNumberFormat="1" applyFont="1" applyBorder="1" applyAlignment="1">
      <alignment horizontal="center" vertical="center"/>
    </xf>
    <xf numFmtId="10" fontId="0" fillId="0" borderId="121" xfId="0" applyNumberFormat="1" applyBorder="1" applyAlignment="1">
      <alignment horizontal="center" vertical="center"/>
    </xf>
    <xf numFmtId="10" fontId="0" fillId="0" borderId="125" xfId="0" applyNumberFormat="1" applyBorder="1" applyAlignment="1">
      <alignment horizontal="center" vertical="center"/>
    </xf>
    <xf numFmtId="10" fontId="8" fillId="0" borderId="119" xfId="0" applyNumberFormat="1" applyFont="1" applyBorder="1" applyAlignment="1">
      <alignment horizontal="center" vertical="center"/>
    </xf>
    <xf numFmtId="1" fontId="58" fillId="40" borderId="160" xfId="0" applyNumberFormat="1" applyFont="1" applyFill="1" applyBorder="1" applyAlignment="1">
      <alignment horizontal="center" vertical="center"/>
    </xf>
    <xf numFmtId="1" fontId="58" fillId="40" borderId="174" xfId="0" applyNumberFormat="1" applyFont="1" applyFill="1" applyBorder="1" applyAlignment="1">
      <alignment horizontal="center" vertical="center"/>
    </xf>
    <xf numFmtId="10" fontId="8" fillId="0" borderId="125" xfId="0" applyNumberFormat="1" applyFont="1" applyBorder="1" applyAlignment="1">
      <alignment horizontal="center" vertical="center"/>
    </xf>
    <xf numFmtId="10" fontId="8" fillId="0" borderId="121" xfId="0" applyNumberFormat="1" applyFont="1" applyBorder="1" applyAlignment="1">
      <alignment horizontal="center" vertical="center"/>
    </xf>
    <xf numFmtId="0" fontId="0" fillId="0" borderId="44" xfId="0" applyBorder="1" applyAlignment="1">
      <alignment horizontal="center"/>
    </xf>
    <xf numFmtId="167" fontId="63" fillId="0" borderId="44" xfId="16" applyNumberFormat="1" applyFont="1" applyBorder="1" applyAlignment="1">
      <alignment horizontal="center"/>
    </xf>
    <xf numFmtId="0" fontId="63" fillId="0" borderId="44" xfId="0" applyFont="1" applyBorder="1"/>
    <xf numFmtId="9" fontId="0" fillId="0" borderId="0" xfId="16" applyFont="1" applyAlignment="1">
      <alignment horizontal="left"/>
    </xf>
    <xf numFmtId="4" fontId="5" fillId="0" borderId="43" xfId="29" applyNumberFormat="1" applyBorder="1" applyAlignment="1">
      <alignment horizontal="center"/>
    </xf>
    <xf numFmtId="0" fontId="53" fillId="0" borderId="179" xfId="0" applyFont="1" applyBorder="1"/>
    <xf numFmtId="0" fontId="53" fillId="0" borderId="35" xfId="0" applyFont="1" applyBorder="1"/>
    <xf numFmtId="2" fontId="25" fillId="18" borderId="100" xfId="0" applyNumberFormat="1" applyFont="1" applyFill="1" applyBorder="1" applyAlignment="1">
      <alignment horizontal="center"/>
    </xf>
    <xf numFmtId="2" fontId="25" fillId="18" borderId="99" xfId="0" applyNumberFormat="1" applyFont="1" applyFill="1" applyBorder="1" applyAlignment="1">
      <alignment horizontal="center"/>
    </xf>
    <xf numFmtId="2" fontId="25" fillId="31" borderId="74" xfId="16" applyNumberFormat="1" applyFont="1" applyFill="1" applyBorder="1" applyAlignment="1">
      <alignment horizontal="center" vertical="center"/>
    </xf>
    <xf numFmtId="2" fontId="25" fillId="18" borderId="98" xfId="0" applyNumberFormat="1" applyFont="1" applyFill="1" applyBorder="1" applyAlignment="1">
      <alignment horizontal="center"/>
    </xf>
    <xf numFmtId="3" fontId="66" fillId="0" borderId="159" xfId="0" quotePrefix="1" applyNumberFormat="1" applyFont="1" applyBorder="1" applyAlignment="1">
      <alignment horizontal="center" vertical="center"/>
    </xf>
    <xf numFmtId="3" fontId="66" fillId="0" borderId="44" xfId="0" quotePrefix="1" applyNumberFormat="1" applyFont="1" applyBorder="1" applyAlignment="1">
      <alignment horizontal="center" vertical="center"/>
    </xf>
    <xf numFmtId="3" fontId="66" fillId="0" borderId="150" xfId="0" quotePrefix="1" applyNumberFormat="1" applyFont="1" applyBorder="1" applyAlignment="1">
      <alignment horizontal="center" vertical="center"/>
    </xf>
    <xf numFmtId="0" fontId="53" fillId="40" borderId="2" xfId="0" applyFont="1" applyFill="1" applyBorder="1" applyAlignment="1">
      <alignment horizontal="center" vertical="center"/>
    </xf>
    <xf numFmtId="1" fontId="53" fillId="40" borderId="124" xfId="0" applyNumberFormat="1" applyFont="1" applyFill="1" applyBorder="1" applyAlignment="1">
      <alignment horizontal="center" vertical="center"/>
    </xf>
    <xf numFmtId="1" fontId="53" fillId="40" borderId="181" xfId="0" applyNumberFormat="1" applyFont="1" applyFill="1" applyBorder="1" applyAlignment="1">
      <alignment horizontal="center" vertical="center"/>
    </xf>
    <xf numFmtId="3" fontId="58" fillId="41" borderId="182" xfId="0" applyNumberFormat="1" applyFont="1" applyFill="1" applyBorder="1" applyAlignment="1">
      <alignment horizontal="center" vertical="center"/>
    </xf>
    <xf numFmtId="3" fontId="58" fillId="41" borderId="3" xfId="0" applyNumberFormat="1" applyFont="1" applyFill="1" applyBorder="1" applyAlignment="1">
      <alignment horizontal="center" vertical="center"/>
    </xf>
    <xf numFmtId="3" fontId="58" fillId="41" borderId="34" xfId="0" applyNumberFormat="1" applyFont="1" applyFill="1" applyBorder="1" applyAlignment="1">
      <alignment horizontal="center" vertical="center"/>
    </xf>
    <xf numFmtId="3" fontId="59" fillId="12" borderId="0" xfId="0" applyNumberFormat="1" applyFont="1" applyFill="1" applyAlignment="1">
      <alignment horizontal="center" vertical="center"/>
    </xf>
    <xf numFmtId="3" fontId="59" fillId="12" borderId="183" xfId="0" applyNumberFormat="1" applyFont="1" applyFill="1" applyBorder="1" applyAlignment="1">
      <alignment horizontal="center" vertical="center"/>
    </xf>
    <xf numFmtId="3" fontId="58" fillId="41" borderId="160" xfId="0" applyNumberFormat="1" applyFont="1" applyFill="1" applyBorder="1" applyAlignment="1">
      <alignment horizontal="center" vertical="center"/>
    </xf>
    <xf numFmtId="3" fontId="58" fillId="41" borderId="174" xfId="0" applyNumberFormat="1" applyFont="1" applyFill="1" applyBorder="1" applyAlignment="1">
      <alignment horizontal="center" vertical="center"/>
    </xf>
    <xf numFmtId="3" fontId="58" fillId="41" borderId="175" xfId="0" applyNumberFormat="1" applyFont="1" applyFill="1" applyBorder="1" applyAlignment="1">
      <alignment horizontal="center" vertical="center"/>
    </xf>
    <xf numFmtId="1" fontId="58" fillId="41" borderId="42" xfId="0" applyNumberFormat="1" applyFont="1" applyFill="1" applyBorder="1" applyAlignment="1">
      <alignment horizontal="center" vertical="center"/>
    </xf>
    <xf numFmtId="1" fontId="58" fillId="0" borderId="42" xfId="0" applyNumberFormat="1" applyFont="1" applyBorder="1" applyAlignment="1">
      <alignment horizontal="center" vertical="center"/>
    </xf>
    <xf numFmtId="0" fontId="8" fillId="0" borderId="42" xfId="0" quotePrefix="1" applyFont="1" applyBorder="1" applyAlignment="1">
      <alignment horizontal="center" vertical="center"/>
    </xf>
    <xf numFmtId="3" fontId="58" fillId="41" borderId="177" xfId="0" applyNumberFormat="1" applyFont="1" applyFill="1" applyBorder="1" applyAlignment="1">
      <alignment horizontal="center" vertical="center"/>
    </xf>
    <xf numFmtId="0" fontId="0" fillId="37" borderId="32" xfId="0" applyFill="1" applyBorder="1"/>
    <xf numFmtId="0" fontId="63" fillId="0" borderId="0" xfId="29" applyFont="1" applyAlignment="1">
      <alignment horizontal="center" vertical="center"/>
    </xf>
    <xf numFmtId="0" fontId="5" fillId="0" borderId="0" xfId="29"/>
    <xf numFmtId="0" fontId="5" fillId="0" borderId="36" xfId="29" applyBorder="1"/>
    <xf numFmtId="0" fontId="53" fillId="0" borderId="185" xfId="0" applyFont="1" applyBorder="1"/>
    <xf numFmtId="0" fontId="55" fillId="0" borderId="122" xfId="0" applyFont="1" applyBorder="1" applyAlignment="1">
      <alignment horizontal="center" vertical="center"/>
    </xf>
    <xf numFmtId="0" fontId="55" fillId="0" borderId="123" xfId="0" applyFont="1" applyBorder="1" applyAlignment="1">
      <alignment horizontal="center" vertical="center"/>
    </xf>
    <xf numFmtId="0" fontId="53" fillId="0" borderId="186" xfId="0" applyFont="1" applyBorder="1"/>
    <xf numFmtId="0" fontId="53" fillId="0" borderId="121" xfId="0" applyFont="1" applyBorder="1" applyAlignment="1">
      <alignment horizontal="center" vertical="center"/>
    </xf>
    <xf numFmtId="0" fontId="53" fillId="0" borderId="187" xfId="0" applyFont="1" applyBorder="1"/>
    <xf numFmtId="0" fontId="53" fillId="0" borderId="125" xfId="0" applyFont="1" applyBorder="1" applyAlignment="1">
      <alignment horizontal="center" vertical="center"/>
    </xf>
    <xf numFmtId="10" fontId="0" fillId="0" borderId="0" xfId="0" applyNumberFormat="1" applyAlignment="1">
      <alignment horizontal="center" vertical="center"/>
    </xf>
    <xf numFmtId="0" fontId="53" fillId="0" borderId="122" xfId="0" applyFont="1" applyBorder="1" applyAlignment="1">
      <alignment horizontal="center" vertical="center"/>
    </xf>
    <xf numFmtId="0" fontId="53" fillId="0" borderId="121" xfId="0" applyFont="1" applyBorder="1"/>
    <xf numFmtId="0" fontId="55" fillId="0" borderId="44" xfId="0" applyFont="1" applyBorder="1"/>
    <xf numFmtId="9" fontId="22" fillId="0" borderId="0" xfId="16" applyFont="1" applyAlignment="1">
      <alignment horizontal="center" vertical="center"/>
    </xf>
    <xf numFmtId="9" fontId="33" fillId="0" borderId="0" xfId="16" applyFont="1" applyAlignment="1">
      <alignment horizontal="center" vertical="center"/>
    </xf>
    <xf numFmtId="1" fontId="58" fillId="41" borderId="148" xfId="0" applyNumberFormat="1" applyFont="1" applyFill="1" applyBorder="1" applyAlignment="1">
      <alignment horizontal="center" vertical="center"/>
    </xf>
    <xf numFmtId="1" fontId="58" fillId="41" borderId="2" xfId="0" applyNumberFormat="1" applyFont="1" applyFill="1" applyBorder="1" applyAlignment="1">
      <alignment horizontal="center" vertical="center"/>
    </xf>
    <xf numFmtId="1" fontId="58" fillId="41" borderId="37" xfId="0" applyNumberFormat="1" applyFont="1" applyFill="1" applyBorder="1" applyAlignment="1">
      <alignment horizontal="center" vertical="center"/>
    </xf>
    <xf numFmtId="1" fontId="58" fillId="41" borderId="180" xfId="0" applyNumberFormat="1" applyFont="1" applyFill="1" applyBorder="1" applyAlignment="1">
      <alignment horizontal="center" vertical="center"/>
    </xf>
    <xf numFmtId="3" fontId="0" fillId="0" borderId="44" xfId="0" applyNumberFormat="1" applyBorder="1" applyAlignment="1">
      <alignment horizontal="center" vertical="center"/>
    </xf>
    <xf numFmtId="3" fontId="0" fillId="0" borderId="150" xfId="0" applyNumberFormat="1" applyBorder="1" applyAlignment="1">
      <alignment horizontal="center" vertical="center"/>
    </xf>
    <xf numFmtId="167" fontId="36" fillId="0" borderId="0" xfId="0" applyNumberFormat="1" applyFont="1"/>
    <xf numFmtId="10" fontId="8" fillId="0" borderId="122" xfId="0" applyNumberFormat="1" applyFont="1" applyBorder="1" applyAlignment="1">
      <alignment horizontal="center" vertical="center"/>
    </xf>
    <xf numFmtId="10" fontId="53" fillId="0" borderId="121" xfId="0" applyNumberFormat="1" applyFont="1" applyBorder="1" applyAlignment="1">
      <alignment horizontal="center" vertical="center"/>
    </xf>
    <xf numFmtId="10" fontId="0" fillId="0" borderId="121" xfId="16" applyNumberFormat="1" applyFont="1" applyFill="1" applyBorder="1" applyAlignment="1">
      <alignment horizontal="center" vertical="center"/>
    </xf>
    <xf numFmtId="10" fontId="8" fillId="0" borderId="121" xfId="16" applyNumberFormat="1" applyFont="1" applyFill="1" applyBorder="1" applyAlignment="1">
      <alignment horizontal="center" vertical="center"/>
    </xf>
    <xf numFmtId="1" fontId="53" fillId="40" borderId="189" xfId="0" applyNumberFormat="1" applyFont="1" applyFill="1" applyBorder="1" applyAlignment="1">
      <alignment horizontal="center" vertical="center"/>
    </xf>
    <xf numFmtId="1" fontId="53" fillId="40" borderId="190" xfId="0" applyNumberFormat="1" applyFont="1" applyFill="1" applyBorder="1" applyAlignment="1">
      <alignment horizontal="center" vertical="center"/>
    </xf>
    <xf numFmtId="1" fontId="53" fillId="40" borderId="191" xfId="0" applyNumberFormat="1" applyFont="1" applyFill="1" applyBorder="1" applyAlignment="1">
      <alignment horizontal="center" vertical="center"/>
    </xf>
    <xf numFmtId="1" fontId="53" fillId="40" borderId="192" xfId="0" applyNumberFormat="1" applyFont="1" applyFill="1" applyBorder="1" applyAlignment="1">
      <alignment horizontal="center" vertical="center"/>
    </xf>
    <xf numFmtId="1" fontId="0" fillId="0" borderId="193" xfId="0" applyNumberFormat="1" applyBorder="1" applyAlignment="1">
      <alignment horizontal="center" vertical="center"/>
    </xf>
    <xf numFmtId="1" fontId="0" fillId="0" borderId="43" xfId="0" applyNumberFormat="1" applyBorder="1" applyAlignment="1">
      <alignment horizontal="center" vertical="center"/>
    </xf>
    <xf numFmtId="1" fontId="0" fillId="0" borderId="194" xfId="0" applyNumberFormat="1" applyBorder="1" applyAlignment="1">
      <alignment horizontal="center" vertical="center"/>
    </xf>
    <xf numFmtId="1" fontId="53" fillId="0" borderId="193" xfId="0" applyNumberFormat="1" applyFont="1" applyBorder="1" applyAlignment="1">
      <alignment horizontal="center" vertical="center"/>
    </xf>
    <xf numFmtId="4" fontId="5" fillId="0" borderId="194" xfId="29" applyNumberFormat="1" applyBorder="1" applyAlignment="1">
      <alignment horizontal="center"/>
    </xf>
    <xf numFmtId="3" fontId="66" fillId="0" borderId="159" xfId="0" applyNumberFormat="1" applyFont="1" applyBorder="1" applyAlignment="1">
      <alignment horizontal="center" vertical="center"/>
    </xf>
    <xf numFmtId="2" fontId="0" fillId="24" borderId="62" xfId="0" applyNumberFormat="1" applyFill="1" applyBorder="1" applyAlignment="1">
      <alignment horizontal="center"/>
    </xf>
    <xf numFmtId="10" fontId="0" fillId="8" borderId="23" xfId="25" applyNumberFormat="1" applyFont="1" applyFill="1" applyBorder="1" applyAlignment="1">
      <alignment horizontal="center"/>
    </xf>
    <xf numFmtId="167" fontId="0" fillId="8" borderId="23" xfId="25" applyNumberFormat="1" applyFont="1" applyFill="1" applyBorder="1" applyAlignment="1">
      <alignment horizontal="center"/>
    </xf>
    <xf numFmtId="167" fontId="0" fillId="8" borderId="23" xfId="16" quotePrefix="1" applyNumberFormat="1" applyFont="1" applyFill="1" applyBorder="1" applyAlignment="1">
      <alignment horizontal="center"/>
    </xf>
    <xf numFmtId="168" fontId="0" fillId="24" borderId="23" xfId="0" applyNumberFormat="1" applyFill="1" applyBorder="1" applyAlignment="1">
      <alignment horizontal="center"/>
    </xf>
    <xf numFmtId="168" fontId="0" fillId="24" borderId="23" xfId="16" applyNumberFormat="1" applyFont="1" applyFill="1" applyBorder="1" applyAlignment="1">
      <alignment horizontal="center"/>
    </xf>
    <xf numFmtId="167" fontId="0" fillId="24" borderId="23" xfId="16" applyNumberFormat="1" applyFont="1" applyFill="1" applyBorder="1" applyAlignment="1">
      <alignment horizontal="center"/>
    </xf>
    <xf numFmtId="2" fontId="0" fillId="24" borderId="23" xfId="16" applyNumberFormat="1" applyFont="1" applyFill="1" applyBorder="1" applyAlignment="1">
      <alignment horizontal="center"/>
    </xf>
    <xf numFmtId="0" fontId="0" fillId="0" borderId="22" xfId="0" quotePrefix="1" applyBorder="1"/>
    <xf numFmtId="10" fontId="0" fillId="8" borderId="23" xfId="16" applyNumberFormat="1" applyFont="1" applyFill="1" applyBorder="1" applyAlignment="1">
      <alignment horizontal="center"/>
    </xf>
    <xf numFmtId="4" fontId="0" fillId="8" borderId="23" xfId="0" applyNumberFormat="1" applyFill="1" applyBorder="1" applyAlignment="1">
      <alignment horizontal="center"/>
    </xf>
    <xf numFmtId="0" fontId="0" fillId="0" borderId="22" xfId="0" applyBorder="1"/>
    <xf numFmtId="0" fontId="0" fillId="0" borderId="57" xfId="0" applyBorder="1" applyAlignment="1">
      <alignment horizontal="center" vertical="center"/>
    </xf>
    <xf numFmtId="173" fontId="0" fillId="0" borderId="0" xfId="0" applyNumberFormat="1" applyAlignment="1">
      <alignment horizontal="center"/>
    </xf>
    <xf numFmtId="1" fontId="58" fillId="0" borderId="148" xfId="0" applyNumberFormat="1" applyFont="1" applyBorder="1" applyAlignment="1">
      <alignment horizontal="center" vertical="center"/>
    </xf>
    <xf numFmtId="1" fontId="58" fillId="0" borderId="2" xfId="0" applyNumberFormat="1" applyFont="1" applyBorder="1" applyAlignment="1">
      <alignment horizontal="center" vertical="center"/>
    </xf>
    <xf numFmtId="1" fontId="58" fillId="0" borderId="180" xfId="0" applyNumberFormat="1" applyFont="1" applyBorder="1" applyAlignment="1">
      <alignment horizontal="center" vertical="center"/>
    </xf>
    <xf numFmtId="1" fontId="8" fillId="0" borderId="182" xfId="0" applyNumberFormat="1" applyFont="1" applyBorder="1" applyAlignment="1">
      <alignment horizontal="center" vertical="center"/>
    </xf>
    <xf numFmtId="167" fontId="53" fillId="0" borderId="0" xfId="16" applyNumberFormat="1" applyFont="1"/>
    <xf numFmtId="3" fontId="66" fillId="38" borderId="159" xfId="0" quotePrefix="1" applyNumberFormat="1" applyFont="1" applyFill="1" applyBorder="1" applyAlignment="1">
      <alignment horizontal="center" vertical="center"/>
    </xf>
    <xf numFmtId="3" fontId="66" fillId="38" borderId="44" xfId="0" quotePrefix="1" applyNumberFormat="1" applyFont="1" applyFill="1" applyBorder="1" applyAlignment="1">
      <alignment horizontal="center" vertical="center"/>
    </xf>
    <xf numFmtId="3" fontId="66" fillId="38" borderId="42" xfId="0" quotePrefix="1" applyNumberFormat="1" applyFont="1" applyFill="1" applyBorder="1" applyAlignment="1">
      <alignment horizontal="center" vertical="center"/>
    </xf>
    <xf numFmtId="3" fontId="24" fillId="38" borderId="159" xfId="0" applyNumberFormat="1" applyFont="1" applyFill="1" applyBorder="1" applyAlignment="1">
      <alignment horizontal="center" vertical="center"/>
    </xf>
    <xf numFmtId="3" fontId="24" fillId="38" borderId="44" xfId="0" applyNumberFormat="1" applyFont="1" applyFill="1" applyBorder="1" applyAlignment="1">
      <alignment horizontal="center" vertical="center"/>
    </xf>
    <xf numFmtId="3" fontId="24" fillId="38" borderId="42" xfId="0" applyNumberFormat="1" applyFont="1" applyFill="1" applyBorder="1" applyAlignment="1">
      <alignment horizontal="center" vertical="center"/>
    </xf>
    <xf numFmtId="0" fontId="66" fillId="38" borderId="159" xfId="0" applyFont="1" applyFill="1" applyBorder="1" applyAlignment="1">
      <alignment horizontal="center" vertical="center"/>
    </xf>
    <xf numFmtId="0" fontId="66" fillId="38" borderId="44" xfId="0" applyFont="1" applyFill="1" applyBorder="1" applyAlignment="1">
      <alignment horizontal="center" vertical="center"/>
    </xf>
    <xf numFmtId="0" fontId="66" fillId="38" borderId="42" xfId="0" applyFont="1" applyFill="1" applyBorder="1" applyAlignment="1">
      <alignment horizontal="center" vertical="center"/>
    </xf>
    <xf numFmtId="1" fontId="66" fillId="0" borderId="159" xfId="0" applyNumberFormat="1" applyFont="1" applyBorder="1" applyAlignment="1">
      <alignment horizontal="center" vertical="center"/>
    </xf>
    <xf numFmtId="1" fontId="66" fillId="0" borderId="44" xfId="0" quotePrefix="1" applyNumberFormat="1" applyFont="1" applyBorder="1" applyAlignment="1">
      <alignment horizontal="center" vertical="center"/>
    </xf>
    <xf numFmtId="1" fontId="66" fillId="0" borderId="150" xfId="0" quotePrefix="1" applyNumberFormat="1" applyFont="1" applyBorder="1" applyAlignment="1">
      <alignment horizontal="center" vertical="center"/>
    </xf>
    <xf numFmtId="1" fontId="24" fillId="0" borderId="159" xfId="0" applyNumberFormat="1" applyFont="1" applyBorder="1" applyAlignment="1">
      <alignment horizontal="center" vertical="center"/>
    </xf>
    <xf numFmtId="1" fontId="24" fillId="0" borderId="44" xfId="0" applyNumberFormat="1" applyFont="1" applyBorder="1" applyAlignment="1">
      <alignment horizontal="center" vertical="center"/>
    </xf>
    <xf numFmtId="1" fontId="24" fillId="0" borderId="150" xfId="0" applyNumberFormat="1" applyFont="1" applyBorder="1" applyAlignment="1">
      <alignment horizontal="center" vertical="center"/>
    </xf>
    <xf numFmtId="1" fontId="66" fillId="0" borderId="44" xfId="0" applyNumberFormat="1" applyFont="1" applyBorder="1" applyAlignment="1">
      <alignment horizontal="center" vertical="center"/>
    </xf>
    <xf numFmtId="1" fontId="66" fillId="0" borderId="150" xfId="0" applyNumberFormat="1" applyFont="1" applyBorder="1" applyAlignment="1">
      <alignment horizontal="center" vertical="center"/>
    </xf>
    <xf numFmtId="1" fontId="8" fillId="0" borderId="3" xfId="0" applyNumberFormat="1" applyFont="1" applyBorder="1" applyAlignment="1">
      <alignment horizontal="center" vertical="center"/>
    </xf>
    <xf numFmtId="1" fontId="8" fillId="0" borderId="34" xfId="0" applyNumberFormat="1" applyFont="1" applyBorder="1" applyAlignment="1">
      <alignment horizontal="center" vertical="center"/>
    </xf>
    <xf numFmtId="1" fontId="8" fillId="0" borderId="188" xfId="0" applyNumberFormat="1" applyFont="1" applyBorder="1" applyAlignment="1">
      <alignment horizontal="center" vertical="center"/>
    </xf>
    <xf numFmtId="0" fontId="64" fillId="0" borderId="0" xfId="0" applyFont="1" applyAlignment="1">
      <alignment horizontal="center"/>
    </xf>
    <xf numFmtId="1" fontId="64" fillId="0" borderId="0" xfId="0" applyNumberFormat="1" applyFont="1" applyAlignment="1">
      <alignment horizontal="center"/>
    </xf>
    <xf numFmtId="1" fontId="68" fillId="0" borderId="0" xfId="0" applyNumberFormat="1" applyFont="1" applyAlignment="1">
      <alignment horizontal="left"/>
    </xf>
    <xf numFmtId="0" fontId="8" fillId="0" borderId="0" xfId="26" applyAlignment="1">
      <alignment vertical="center" wrapText="1"/>
    </xf>
    <xf numFmtId="3" fontId="51" fillId="34" borderId="117" xfId="5" applyFont="1" applyFill="1" applyBorder="1" applyAlignment="1">
      <alignment horizontal="right" vertical="center" wrapText="1"/>
    </xf>
    <xf numFmtId="0" fontId="19" fillId="0" borderId="0" xfId="8" applyFill="1" applyBorder="1" applyAlignment="1">
      <alignment wrapText="1"/>
    </xf>
    <xf numFmtId="0" fontId="8" fillId="0" borderId="0" xfId="26" applyAlignment="1">
      <alignment wrapText="1"/>
    </xf>
    <xf numFmtId="0" fontId="0" fillId="0" borderId="0" xfId="0" applyAlignment="1">
      <alignment wrapText="1"/>
    </xf>
    <xf numFmtId="0" fontId="0" fillId="0" borderId="0" xfId="26" applyFont="1"/>
    <xf numFmtId="2" fontId="8" fillId="0" borderId="0" xfId="26" applyNumberFormat="1"/>
    <xf numFmtId="2" fontId="0" fillId="0" borderId="0" xfId="26" applyNumberFormat="1" applyFont="1"/>
    <xf numFmtId="10" fontId="0" fillId="8" borderId="99" xfId="16" applyNumberFormat="1" applyFont="1" applyFill="1" applyBorder="1" applyAlignment="1">
      <alignment horizontal="center"/>
    </xf>
    <xf numFmtId="0" fontId="0" fillId="0" borderId="0" xfId="0" applyAlignment="1">
      <alignment vertical="center" wrapText="1"/>
    </xf>
    <xf numFmtId="0" fontId="58" fillId="0" borderId="0" xfId="0" applyFont="1"/>
    <xf numFmtId="0" fontId="58" fillId="0" borderId="0" xfId="0" applyFont="1" applyAlignment="1">
      <alignment horizontal="center"/>
    </xf>
    <xf numFmtId="166" fontId="8" fillId="0" borderId="0" xfId="0" applyNumberFormat="1" applyFont="1"/>
    <xf numFmtId="165" fontId="8" fillId="0" borderId="0" xfId="0" applyNumberFormat="1" applyFont="1"/>
    <xf numFmtId="166" fontId="25" fillId="0" borderId="0" xfId="0" applyNumberFormat="1" applyFont="1"/>
    <xf numFmtId="167" fontId="8" fillId="24" borderId="19" xfId="16" applyNumberFormat="1" applyFont="1" applyFill="1" applyBorder="1" applyAlignment="1">
      <alignment horizontal="center"/>
    </xf>
    <xf numFmtId="167" fontId="0" fillId="8" borderId="98" xfId="16" applyNumberFormat="1" applyFont="1" applyFill="1" applyBorder="1" applyAlignment="1">
      <alignment horizontal="center"/>
    </xf>
    <xf numFmtId="0" fontId="46" fillId="9" borderId="73" xfId="0" applyFont="1" applyFill="1" applyBorder="1" applyAlignment="1">
      <alignment horizontal="center" vertical="center"/>
    </xf>
    <xf numFmtId="0" fontId="46" fillId="31" borderId="73" xfId="0" applyFont="1" applyFill="1" applyBorder="1" applyAlignment="1">
      <alignment horizontal="center" vertical="center"/>
    </xf>
    <xf numFmtId="2" fontId="0" fillId="0" borderId="0" xfId="26" applyNumberFormat="1" applyFont="1" applyAlignment="1">
      <alignment horizontal="center"/>
    </xf>
    <xf numFmtId="0" fontId="0" fillId="0" borderId="0" xfId="26" applyFont="1" applyAlignment="1">
      <alignment horizontal="center"/>
    </xf>
    <xf numFmtId="0" fontId="0" fillId="0" borderId="48" xfId="0" applyBorder="1" applyAlignment="1">
      <alignment horizontal="center" vertical="center" wrapText="1"/>
    </xf>
    <xf numFmtId="0" fontId="0" fillId="0" borderId="0" xfId="0" applyAlignment="1">
      <alignment horizontal="center" vertical="center" wrapText="1"/>
    </xf>
    <xf numFmtId="0" fontId="0" fillId="0" borderId="49" xfId="0" applyBorder="1" applyAlignment="1">
      <alignment horizontal="center" vertical="center" wrapText="1"/>
    </xf>
    <xf numFmtId="0" fontId="25" fillId="8" borderId="0" xfId="26" applyFont="1" applyFill="1"/>
    <xf numFmtId="0" fontId="25" fillId="8" borderId="0" xfId="26" applyFont="1" applyFill="1" applyAlignment="1">
      <alignment vertical="center"/>
    </xf>
    <xf numFmtId="0" fontId="13" fillId="0" borderId="44" xfId="26" applyFont="1" applyBorder="1"/>
    <xf numFmtId="0" fontId="8" fillId="0" borderId="5" xfId="26" applyBorder="1"/>
    <xf numFmtId="0" fontId="13" fillId="0" borderId="38" xfId="26" applyFont="1" applyBorder="1"/>
    <xf numFmtId="0" fontId="13" fillId="0" borderId="0" xfId="26" applyFont="1"/>
    <xf numFmtId="0" fontId="13" fillId="0" borderId="44" xfId="26" applyFont="1" applyBorder="1" applyAlignment="1">
      <alignment horizontal="center"/>
    </xf>
    <xf numFmtId="0" fontId="71" fillId="0" borderId="0" xfId="11" applyFont="1" applyAlignment="1" applyProtection="1"/>
    <xf numFmtId="0" fontId="69" fillId="0" borderId="44" xfId="26" applyFont="1" applyBorder="1" applyAlignment="1">
      <alignment horizontal="right"/>
    </xf>
    <xf numFmtId="9" fontId="69" fillId="0" borderId="44" xfId="16" applyFont="1" applyBorder="1"/>
    <xf numFmtId="10" fontId="69" fillId="0" borderId="44" xfId="16" applyNumberFormat="1" applyFont="1" applyBorder="1"/>
    <xf numFmtId="0" fontId="74" fillId="3" borderId="115" xfId="10" applyFont="1" applyBorder="1" applyAlignment="1">
      <alignment vertical="center" wrapText="1"/>
    </xf>
    <xf numFmtId="3" fontId="0" fillId="21" borderId="0" xfId="0" applyNumberFormat="1" applyFill="1"/>
    <xf numFmtId="0" fontId="13" fillId="0" borderId="195" xfId="0" applyFont="1" applyBorder="1" applyAlignment="1">
      <alignment horizontal="center"/>
    </xf>
    <xf numFmtId="0" fontId="0" fillId="0" borderId="49" xfId="0" applyBorder="1" applyAlignment="1">
      <alignment horizontal="center"/>
    </xf>
    <xf numFmtId="0" fontId="0" fillId="0" borderId="74" xfId="0" applyBorder="1"/>
    <xf numFmtId="0" fontId="0" fillId="8" borderId="19" xfId="0" applyFill="1" applyBorder="1" applyAlignment="1">
      <alignment vertical="center" wrapText="1"/>
    </xf>
    <xf numFmtId="0" fontId="78" fillId="0" borderId="0" xfId="0" applyFont="1"/>
    <xf numFmtId="0" fontId="46" fillId="5" borderId="144" xfId="0" applyFont="1" applyFill="1" applyBorder="1" applyAlignment="1">
      <alignment horizontal="center"/>
    </xf>
    <xf numFmtId="0" fontId="26" fillId="32" borderId="10" xfId="0" applyFont="1" applyFill="1" applyBorder="1" applyAlignment="1">
      <alignment horizontal="center"/>
    </xf>
    <xf numFmtId="0" fontId="0" fillId="8" borderId="209" xfId="0" applyFill="1" applyBorder="1" applyAlignment="1">
      <alignment vertical="center" wrapText="1"/>
    </xf>
    <xf numFmtId="0" fontId="0" fillId="8" borderId="206" xfId="0" applyFill="1" applyBorder="1" applyAlignment="1">
      <alignment vertical="center" wrapText="1"/>
    </xf>
    <xf numFmtId="0" fontId="46" fillId="5" borderId="128" xfId="0" applyFont="1" applyFill="1" applyBorder="1" applyAlignment="1">
      <alignment horizontal="center"/>
    </xf>
    <xf numFmtId="0" fontId="26" fillId="32" borderId="209" xfId="0" applyFont="1" applyFill="1" applyBorder="1" applyAlignment="1">
      <alignment horizontal="center"/>
    </xf>
    <xf numFmtId="0" fontId="0" fillId="28" borderId="19" xfId="0" applyFill="1" applyBorder="1" applyAlignment="1">
      <alignment horizontal="center"/>
    </xf>
    <xf numFmtId="0" fontId="0" fillId="12" borderId="19" xfId="0" applyFill="1" applyBorder="1" applyAlignment="1">
      <alignment horizontal="center"/>
    </xf>
    <xf numFmtId="175" fontId="8" fillId="0" borderId="19" xfId="0" applyNumberFormat="1" applyFont="1" applyBorder="1" applyAlignment="1">
      <alignment horizontal="center"/>
    </xf>
    <xf numFmtId="175" fontId="8" fillId="24" borderId="19" xfId="0" applyNumberFormat="1" applyFont="1" applyFill="1" applyBorder="1" applyAlignment="1">
      <alignment horizontal="center"/>
    </xf>
    <xf numFmtId="169" fontId="8" fillId="8" borderId="115" xfId="6" applyFont="1" applyFill="1" applyBorder="1" applyAlignment="1">
      <alignment horizontal="center" vertical="center" wrapText="1"/>
    </xf>
    <xf numFmtId="4" fontId="8" fillId="34" borderId="117" xfId="7" applyFont="1" applyFill="1" applyBorder="1" applyAlignment="1">
      <alignment horizontal="center" vertical="center" wrapText="1"/>
    </xf>
    <xf numFmtId="0" fontId="80" fillId="5" borderId="115" xfId="3" applyFont="1" applyFill="1" applyBorder="1" applyAlignment="1">
      <alignment horizontal="center" vertical="center" wrapText="1"/>
    </xf>
    <xf numFmtId="0" fontId="81" fillId="12" borderId="0" xfId="0" applyFont="1" applyFill="1"/>
    <xf numFmtId="0" fontId="22" fillId="12" borderId="0" xfId="0" applyFont="1" applyFill="1"/>
    <xf numFmtId="0" fontId="8" fillId="0" borderId="0" xfId="0" applyFont="1" applyAlignment="1">
      <alignment horizontal="center" vertical="center"/>
    </xf>
    <xf numFmtId="174" fontId="8" fillId="24" borderId="19" xfId="0" applyNumberFormat="1" applyFont="1" applyFill="1" applyBorder="1" applyAlignment="1">
      <alignment horizontal="center"/>
    </xf>
    <xf numFmtId="0" fontId="46" fillId="11" borderId="114" xfId="0" applyFont="1" applyFill="1" applyBorder="1" applyAlignment="1">
      <alignment horizontal="center" vertical="center" wrapText="1"/>
    </xf>
    <xf numFmtId="0" fontId="46" fillId="10" borderId="114" xfId="0" applyFont="1" applyFill="1" applyBorder="1" applyAlignment="1">
      <alignment horizontal="center" vertical="center" wrapText="1"/>
    </xf>
    <xf numFmtId="0" fontId="49" fillId="5" borderId="227" xfId="0" applyFont="1" applyFill="1" applyBorder="1" applyAlignment="1">
      <alignment horizontal="center"/>
    </xf>
    <xf numFmtId="0" fontId="46" fillId="15" borderId="114" xfId="0" applyFont="1" applyFill="1" applyBorder="1" applyAlignment="1">
      <alignment horizontal="center" vertical="center" wrapText="1"/>
    </xf>
    <xf numFmtId="176" fontId="0" fillId="8" borderId="100" xfId="0" applyNumberFormat="1" applyFill="1" applyBorder="1" applyAlignment="1">
      <alignment horizontal="center"/>
    </xf>
    <xf numFmtId="176" fontId="0" fillId="8" borderId="105" xfId="0" applyNumberFormat="1" applyFill="1" applyBorder="1" applyAlignment="1">
      <alignment horizontal="center"/>
    </xf>
    <xf numFmtId="176" fontId="0" fillId="8" borderId="99" xfId="0" applyNumberFormat="1" applyFill="1" applyBorder="1" applyAlignment="1">
      <alignment horizontal="center"/>
    </xf>
    <xf numFmtId="176" fontId="32" fillId="8" borderId="100" xfId="0" applyNumberFormat="1" applyFont="1" applyFill="1" applyBorder="1" applyAlignment="1">
      <alignment horizontal="center"/>
    </xf>
    <xf numFmtId="176" fontId="0" fillId="8" borderId="107" xfId="0" applyNumberFormat="1" applyFill="1" applyBorder="1" applyAlignment="1">
      <alignment horizontal="center"/>
    </xf>
    <xf numFmtId="176" fontId="0" fillId="8" borderId="108" xfId="0" applyNumberFormat="1" applyFill="1" applyBorder="1" applyAlignment="1">
      <alignment horizontal="center"/>
    </xf>
    <xf numFmtId="9" fontId="0" fillId="8" borderId="98" xfId="16" applyFont="1" applyFill="1" applyBorder="1" applyAlignment="1">
      <alignment horizontal="center"/>
    </xf>
    <xf numFmtId="9" fontId="0" fillId="8" borderId="100" xfId="16" applyFont="1" applyFill="1" applyBorder="1" applyAlignment="1">
      <alignment horizontal="center"/>
    </xf>
    <xf numFmtId="2" fontId="0" fillId="8" borderId="98" xfId="0" applyNumberFormat="1" applyFill="1" applyBorder="1" applyAlignment="1">
      <alignment horizontal="center"/>
    </xf>
    <xf numFmtId="2" fontId="0" fillId="8" borderId="100" xfId="0" applyNumberFormat="1" applyFill="1" applyBorder="1" applyAlignment="1">
      <alignment horizontal="center"/>
    </xf>
    <xf numFmtId="2" fontId="0" fillId="8" borderId="99" xfId="0" applyNumberFormat="1" applyFill="1" applyBorder="1" applyAlignment="1">
      <alignment horizontal="center"/>
    </xf>
    <xf numFmtId="168" fontId="0" fillId="8" borderId="100" xfId="0" applyNumberFormat="1" applyFill="1" applyBorder="1" applyAlignment="1">
      <alignment horizontal="center"/>
    </xf>
    <xf numFmtId="177" fontId="0" fillId="0" borderId="98" xfId="0" applyNumberFormat="1" applyBorder="1" applyAlignment="1">
      <alignment horizontal="center" vertical="center"/>
    </xf>
    <xf numFmtId="178" fontId="0" fillId="0" borderId="98" xfId="0" applyNumberFormat="1" applyBorder="1" applyAlignment="1">
      <alignment horizontal="center"/>
    </xf>
    <xf numFmtId="10" fontId="8" fillId="8" borderId="98" xfId="16" applyNumberFormat="1" applyFont="1" applyFill="1" applyBorder="1" applyAlignment="1">
      <alignment horizontal="center"/>
    </xf>
    <xf numFmtId="10" fontId="8" fillId="8" borderId="99" xfId="16" applyNumberFormat="1" applyFont="1" applyFill="1" applyBorder="1" applyAlignment="1">
      <alignment horizontal="center"/>
    </xf>
    <xf numFmtId="178" fontId="0" fillId="8" borderId="100" xfId="0" applyNumberFormat="1" applyFill="1" applyBorder="1" applyAlignment="1">
      <alignment horizontal="center" vertical="center"/>
    </xf>
    <xf numFmtId="178" fontId="0" fillId="8" borderId="0" xfId="0" applyNumberFormat="1" applyFill="1" applyAlignment="1">
      <alignment horizontal="center" vertical="center"/>
    </xf>
    <xf numFmtId="10" fontId="0" fillId="8" borderId="100" xfId="16" applyNumberFormat="1" applyFont="1" applyFill="1" applyBorder="1" applyAlignment="1">
      <alignment horizontal="center" vertical="center"/>
    </xf>
    <xf numFmtId="0" fontId="0" fillId="8" borderId="0" xfId="0" applyFill="1" applyAlignment="1">
      <alignment horizontal="center" vertical="center"/>
    </xf>
    <xf numFmtId="167" fontId="8" fillId="8" borderId="51" xfId="16" applyNumberFormat="1" applyFont="1" applyFill="1" applyBorder="1" applyAlignment="1">
      <alignment horizontal="center"/>
    </xf>
    <xf numFmtId="167" fontId="31" fillId="8" borderId="51" xfId="16" applyNumberFormat="1" applyFont="1" applyFill="1" applyBorder="1" applyAlignment="1">
      <alignment horizontal="center"/>
    </xf>
    <xf numFmtId="179" fontId="8" fillId="24" borderId="19" xfId="0" applyNumberFormat="1" applyFont="1" applyFill="1" applyBorder="1" applyAlignment="1">
      <alignment horizontal="center"/>
    </xf>
    <xf numFmtId="179" fontId="0" fillId="24" borderId="23" xfId="0" applyNumberFormat="1" applyFill="1" applyBorder="1" applyAlignment="1">
      <alignment horizontal="center"/>
    </xf>
    <xf numFmtId="179" fontId="13" fillId="24" borderId="19" xfId="0" applyNumberFormat="1" applyFont="1" applyFill="1" applyBorder="1" applyAlignment="1">
      <alignment horizontal="center"/>
    </xf>
    <xf numFmtId="179" fontId="13" fillId="24" borderId="23" xfId="0" applyNumberFormat="1" applyFont="1" applyFill="1" applyBorder="1" applyAlignment="1">
      <alignment horizontal="center"/>
    </xf>
    <xf numFmtId="176" fontId="8" fillId="8" borderId="51" xfId="0" applyNumberFormat="1" applyFont="1" applyFill="1" applyBorder="1" applyAlignment="1">
      <alignment horizontal="center"/>
    </xf>
    <xf numFmtId="176" fontId="31" fillId="8" borderId="51" xfId="16" applyNumberFormat="1" applyFont="1" applyFill="1" applyBorder="1" applyAlignment="1">
      <alignment horizontal="center"/>
    </xf>
    <xf numFmtId="176" fontId="0" fillId="0" borderId="95" xfId="0" applyNumberFormat="1" applyBorder="1" applyAlignment="1">
      <alignment horizontal="center"/>
    </xf>
    <xf numFmtId="176" fontId="13" fillId="0" borderId="196" xfId="0" applyNumberFormat="1" applyFont="1" applyBorder="1" applyAlignment="1">
      <alignment horizontal="center"/>
    </xf>
    <xf numFmtId="176" fontId="13" fillId="0" borderId="72" xfId="0" applyNumberFormat="1" applyFont="1" applyBorder="1" applyAlignment="1">
      <alignment horizontal="center"/>
    </xf>
    <xf numFmtId="176" fontId="0" fillId="8" borderId="100" xfId="0" applyNumberFormat="1" applyFill="1" applyBorder="1" applyAlignment="1">
      <alignment horizontal="center" wrapText="1"/>
    </xf>
    <xf numFmtId="1" fontId="31" fillId="0" borderId="150" xfId="16" applyNumberFormat="1" applyFont="1" applyFill="1" applyBorder="1" applyAlignment="1">
      <alignment horizontal="center" vertical="center"/>
    </xf>
    <xf numFmtId="10" fontId="0" fillId="0" borderId="0" xfId="0" applyNumberFormat="1" applyAlignment="1">
      <alignment horizontal="right"/>
    </xf>
    <xf numFmtId="174" fontId="0" fillId="0" borderId="0" xfId="0" applyNumberFormat="1"/>
    <xf numFmtId="2" fontId="0" fillId="0" borderId="0" xfId="0" applyNumberFormat="1"/>
    <xf numFmtId="166" fontId="63" fillId="0" borderId="44" xfId="0" applyNumberFormat="1" applyFont="1" applyBorder="1" applyAlignment="1">
      <alignment horizontal="center"/>
    </xf>
    <xf numFmtId="9" fontId="53" fillId="0" borderId="150" xfId="16" applyFont="1" applyBorder="1" applyAlignment="1">
      <alignment horizontal="center" vertical="center"/>
    </xf>
    <xf numFmtId="1" fontId="58" fillId="0" borderId="43" xfId="0" applyNumberFormat="1" applyFont="1" applyBorder="1" applyAlignment="1">
      <alignment horizontal="center" vertical="center"/>
    </xf>
    <xf numFmtId="3" fontId="58" fillId="40" borderId="150" xfId="0" applyNumberFormat="1" applyFont="1" applyFill="1" applyBorder="1" applyAlignment="1">
      <alignment horizontal="center" vertical="center"/>
    </xf>
    <xf numFmtId="3" fontId="58" fillId="40" borderId="148" xfId="0" applyNumberFormat="1" applyFont="1" applyFill="1" applyBorder="1" applyAlignment="1">
      <alignment horizontal="center" vertical="center"/>
    </xf>
    <xf numFmtId="3" fontId="58" fillId="40" borderId="2" xfId="0" applyNumberFormat="1" applyFont="1" applyFill="1" applyBorder="1" applyAlignment="1">
      <alignment horizontal="center" vertical="center"/>
    </xf>
    <xf numFmtId="3" fontId="58" fillId="40" borderId="37" xfId="0" applyNumberFormat="1" applyFont="1" applyFill="1" applyBorder="1" applyAlignment="1">
      <alignment horizontal="center" vertical="center"/>
    </xf>
    <xf numFmtId="0" fontId="58" fillId="0" borderId="148" xfId="0" applyFont="1" applyBorder="1" applyAlignment="1">
      <alignment horizontal="center" vertical="center"/>
    </xf>
    <xf numFmtId="0" fontId="58" fillId="0" borderId="2" xfId="0" applyFont="1" applyBorder="1" applyAlignment="1">
      <alignment horizontal="center" vertical="center"/>
    </xf>
    <xf numFmtId="0" fontId="58" fillId="0" borderId="37" xfId="0" applyFont="1" applyBorder="1" applyAlignment="1">
      <alignment horizontal="center" vertical="center"/>
    </xf>
    <xf numFmtId="167" fontId="31" fillId="0" borderId="44" xfId="16" applyNumberFormat="1" applyFont="1" applyBorder="1" applyAlignment="1">
      <alignment horizontal="center" vertical="center"/>
    </xf>
    <xf numFmtId="174" fontId="0" fillId="0" borderId="44" xfId="0" applyNumberFormat="1" applyBorder="1" applyAlignment="1">
      <alignment horizontal="center"/>
    </xf>
    <xf numFmtId="0" fontId="10" fillId="0" borderId="0" xfId="11" applyAlignment="1" applyProtection="1"/>
    <xf numFmtId="0" fontId="32" fillId="0" borderId="0" xfId="11" applyFont="1" applyAlignment="1" applyProtection="1"/>
    <xf numFmtId="3" fontId="53" fillId="40" borderId="148" xfId="0" applyNumberFormat="1" applyFont="1" applyFill="1" applyBorder="1" applyAlignment="1">
      <alignment horizontal="center" vertical="center"/>
    </xf>
    <xf numFmtId="0" fontId="0" fillId="8" borderId="206" xfId="0" applyFill="1" applyBorder="1" applyAlignment="1">
      <alignment horizontal="left" wrapText="1"/>
    </xf>
    <xf numFmtId="174" fontId="0" fillId="0" borderId="0" xfId="0" quotePrefix="1" applyNumberFormat="1"/>
    <xf numFmtId="0" fontId="0" fillId="8" borderId="209" xfId="0" applyFill="1" applyBorder="1" applyAlignment="1">
      <alignment horizontal="left" vertical="center" wrapText="1"/>
    </xf>
    <xf numFmtId="0" fontId="0" fillId="8" borderId="144" xfId="0" applyFill="1" applyBorder="1" applyAlignment="1">
      <alignment horizontal="left" vertical="center" wrapText="1"/>
    </xf>
    <xf numFmtId="0" fontId="0" fillId="0" borderId="0" xfId="0" applyAlignment="1">
      <alignment horizontal="left" vertical="center"/>
    </xf>
    <xf numFmtId="172" fontId="0" fillId="0" borderId="0" xfId="0" applyNumberFormat="1"/>
    <xf numFmtId="0" fontId="0" fillId="0" borderId="0" xfId="0" applyAlignment="1">
      <alignment vertical="center"/>
    </xf>
    <xf numFmtId="0" fontId="33" fillId="12" borderId="115" xfId="26" applyFont="1" applyFill="1" applyBorder="1" applyAlignment="1">
      <alignment horizontal="center" vertical="center" wrapText="1"/>
    </xf>
    <xf numFmtId="0" fontId="8" fillId="0" borderId="115" xfId="96" applyFont="1" applyBorder="1" applyAlignment="1">
      <alignment horizontal="right" vertical="center" wrapText="1"/>
    </xf>
    <xf numFmtId="0" fontId="28" fillId="0" borderId="14" xfId="26" applyFont="1" applyBorder="1" applyAlignment="1">
      <alignment horizontal="center" vertical="center"/>
    </xf>
    <xf numFmtId="9" fontId="8" fillId="0" borderId="0" xfId="97" applyFont="1"/>
    <xf numFmtId="0" fontId="13" fillId="0" borderId="44" xfId="26" applyFont="1" applyBorder="1" applyAlignment="1">
      <alignment wrapText="1"/>
    </xf>
    <xf numFmtId="0" fontId="69" fillId="0" borderId="44" xfId="26" applyFont="1" applyBorder="1" applyAlignment="1">
      <alignment horizontal="right" wrapText="1"/>
    </xf>
    <xf numFmtId="9" fontId="0" fillId="23" borderId="98" xfId="16" applyFont="1" applyFill="1" applyBorder="1" applyAlignment="1">
      <alignment horizontal="center"/>
    </xf>
    <xf numFmtId="9" fontId="0" fillId="17" borderId="100" xfId="16" applyFont="1" applyFill="1" applyBorder="1" applyAlignment="1">
      <alignment horizontal="center"/>
    </xf>
    <xf numFmtId="176" fontId="0" fillId="17" borderId="99" xfId="0" applyNumberFormat="1" applyFill="1" applyBorder="1" applyAlignment="1">
      <alignment horizontal="center"/>
    </xf>
    <xf numFmtId="176" fontId="8" fillId="17" borderId="99" xfId="0" applyNumberFormat="1" applyFont="1" applyFill="1" applyBorder="1" applyAlignment="1">
      <alignment horizontal="center"/>
    </xf>
    <xf numFmtId="9" fontId="0" fillId="17" borderId="99" xfId="16" applyFont="1" applyFill="1" applyBorder="1" applyAlignment="1">
      <alignment horizontal="center"/>
    </xf>
    <xf numFmtId="2" fontId="0" fillId="17" borderId="98" xfId="0" applyNumberFormat="1" applyFill="1" applyBorder="1" applyAlignment="1">
      <alignment horizontal="center"/>
    </xf>
    <xf numFmtId="2" fontId="0" fillId="17" borderId="100" xfId="0" applyNumberFormat="1" applyFill="1" applyBorder="1" applyAlignment="1">
      <alignment horizontal="center"/>
    </xf>
    <xf numFmtId="168" fontId="0" fillId="17" borderId="100" xfId="0" applyNumberFormat="1" applyFill="1" applyBorder="1" applyAlignment="1">
      <alignment horizontal="center"/>
    </xf>
    <xf numFmtId="168" fontId="0" fillId="17" borderId="98" xfId="0" applyNumberFormat="1" applyFill="1" applyBorder="1" applyAlignment="1">
      <alignment horizontal="center"/>
    </xf>
    <xf numFmtId="2" fontId="0" fillId="17" borderId="100" xfId="16" applyNumberFormat="1" applyFont="1" applyFill="1" applyBorder="1" applyAlignment="1">
      <alignment horizontal="center"/>
    </xf>
    <xf numFmtId="2" fontId="8" fillId="17" borderId="100" xfId="16" applyNumberFormat="1" applyFont="1" applyFill="1" applyBorder="1" applyAlignment="1">
      <alignment horizontal="center"/>
    </xf>
    <xf numFmtId="10" fontId="0" fillId="17" borderId="0" xfId="0" applyNumberFormat="1" applyFill="1" applyAlignment="1">
      <alignment horizontal="center" vertical="center"/>
    </xf>
    <xf numFmtId="178" fontId="0" fillId="17" borderId="100" xfId="0" applyNumberFormat="1" applyFill="1" applyBorder="1" applyAlignment="1">
      <alignment horizontal="center" vertical="center"/>
    </xf>
    <xf numFmtId="9" fontId="0" fillId="75" borderId="100" xfId="16" applyFont="1" applyFill="1" applyBorder="1" applyAlignment="1">
      <alignment horizontal="center"/>
    </xf>
    <xf numFmtId="168" fontId="0" fillId="75" borderId="100" xfId="0" applyNumberFormat="1" applyFill="1" applyBorder="1" applyAlignment="1">
      <alignment horizontal="center"/>
    </xf>
    <xf numFmtId="168" fontId="0" fillId="77" borderId="100" xfId="0" applyNumberFormat="1" applyFill="1" applyBorder="1" applyAlignment="1">
      <alignment horizontal="center"/>
    </xf>
    <xf numFmtId="2" fontId="0" fillId="77" borderId="98" xfId="0" applyNumberFormat="1" applyFill="1" applyBorder="1" applyAlignment="1">
      <alignment horizontal="center"/>
    </xf>
    <xf numFmtId="2" fontId="0" fillId="77" borderId="100" xfId="0" applyNumberFormat="1" applyFill="1" applyBorder="1" applyAlignment="1">
      <alignment horizontal="center"/>
    </xf>
    <xf numFmtId="9" fontId="0" fillId="77" borderId="100" xfId="16" applyFont="1" applyFill="1" applyBorder="1" applyAlignment="1">
      <alignment horizontal="center"/>
    </xf>
    <xf numFmtId="0" fontId="0" fillId="23" borderId="44" xfId="0" applyFill="1" applyBorder="1"/>
    <xf numFmtId="0" fontId="0" fillId="0" borderId="44" xfId="0" applyBorder="1" applyAlignment="1">
      <alignment vertical="center" wrapText="1"/>
    </xf>
    <xf numFmtId="0" fontId="0" fillId="76" borderId="44" xfId="0" applyFill="1" applyBorder="1"/>
    <xf numFmtId="0" fontId="0" fillId="9" borderId="44" xfId="0" applyFill="1" applyBorder="1"/>
    <xf numFmtId="10" fontId="0" fillId="77" borderId="0" xfId="0" applyNumberFormat="1" applyFill="1" applyAlignment="1">
      <alignment horizontal="center" vertical="center"/>
    </xf>
    <xf numFmtId="10" fontId="0" fillId="77" borderId="100" xfId="16" applyNumberFormat="1" applyFont="1" applyFill="1" applyBorder="1" applyAlignment="1">
      <alignment horizontal="center" vertical="center"/>
    </xf>
    <xf numFmtId="0" fontId="46" fillId="23" borderId="75" xfId="0" applyFont="1" applyFill="1" applyBorder="1" applyAlignment="1">
      <alignment horizontal="center" vertical="center" wrapText="1"/>
    </xf>
    <xf numFmtId="176" fontId="0" fillId="8" borderId="0" xfId="0" applyNumberFormat="1" applyFill="1" applyAlignment="1">
      <alignment horizontal="center" vertical="center"/>
    </xf>
    <xf numFmtId="168" fontId="0" fillId="23" borderId="100" xfId="0" applyNumberFormat="1" applyFill="1" applyBorder="1" applyAlignment="1">
      <alignment horizontal="center"/>
    </xf>
    <xf numFmtId="168" fontId="0" fillId="77" borderId="99" xfId="0" applyNumberFormat="1" applyFill="1" applyBorder="1" applyAlignment="1">
      <alignment horizontal="center"/>
    </xf>
    <xf numFmtId="2" fontId="0" fillId="9" borderId="100" xfId="0" applyNumberFormat="1" applyFill="1" applyBorder="1" applyAlignment="1">
      <alignment horizontal="center"/>
    </xf>
    <xf numFmtId="2" fontId="0" fillId="23" borderId="100" xfId="0" applyNumberFormat="1" applyFill="1" applyBorder="1" applyAlignment="1">
      <alignment horizontal="center"/>
    </xf>
    <xf numFmtId="2" fontId="0" fillId="23" borderId="99" xfId="0" applyNumberFormat="1" applyFill="1" applyBorder="1" applyAlignment="1">
      <alignment horizontal="center"/>
    </xf>
    <xf numFmtId="9" fontId="8" fillId="0" borderId="44" xfId="16" applyBorder="1"/>
    <xf numFmtId="9" fontId="104" fillId="0" borderId="6" xfId="16" applyFont="1" applyBorder="1" applyAlignment="1">
      <alignment horizontal="left"/>
    </xf>
    <xf numFmtId="9" fontId="104" fillId="0" borderId="0" xfId="16" applyFont="1" applyBorder="1" applyAlignment="1">
      <alignment horizontal="left"/>
    </xf>
    <xf numFmtId="10" fontId="8" fillId="0" borderId="44" xfId="16" applyNumberFormat="1" applyBorder="1"/>
    <xf numFmtId="174" fontId="8" fillId="17" borderId="34" xfId="26" applyNumberFormat="1" applyFill="1" applyBorder="1"/>
    <xf numFmtId="174" fontId="8" fillId="17" borderId="5" xfId="26" applyNumberFormat="1" applyFill="1" applyBorder="1"/>
    <xf numFmtId="174" fontId="8" fillId="17" borderId="6" xfId="26" applyNumberFormat="1" applyFill="1" applyBorder="1"/>
    <xf numFmtId="174" fontId="8" fillId="17" borderId="0" xfId="26" applyNumberFormat="1" applyFill="1"/>
    <xf numFmtId="1" fontId="13" fillId="0" borderId="44" xfId="26" applyNumberFormat="1" applyFont="1" applyBorder="1"/>
    <xf numFmtId="180" fontId="8" fillId="0" borderId="44" xfId="16" applyNumberFormat="1" applyBorder="1"/>
    <xf numFmtId="3" fontId="58" fillId="0" borderId="234" xfId="0" applyNumberFormat="1" applyFont="1" applyBorder="1" applyAlignment="1">
      <alignment horizontal="center" vertical="center"/>
    </xf>
    <xf numFmtId="3" fontId="58" fillId="0" borderId="37" xfId="0" applyNumberFormat="1" applyFont="1" applyBorder="1" applyAlignment="1">
      <alignment horizontal="center" vertical="center"/>
    </xf>
    <xf numFmtId="3" fontId="58" fillId="0" borderId="180" xfId="0" applyNumberFormat="1" applyFont="1" applyBorder="1" applyAlignment="1">
      <alignment horizontal="center" vertical="center"/>
    </xf>
    <xf numFmtId="1" fontId="8" fillId="0" borderId="36" xfId="0" applyNumberFormat="1" applyFont="1" applyBorder="1" applyAlignment="1">
      <alignment horizontal="center" vertical="center"/>
    </xf>
    <xf numFmtId="1" fontId="8" fillId="0" borderId="4" xfId="0" applyNumberFormat="1" applyFont="1" applyBorder="1" applyAlignment="1">
      <alignment horizontal="center" vertical="center"/>
    </xf>
    <xf numFmtId="1" fontId="8" fillId="0" borderId="6" xfId="0" applyNumberFormat="1" applyFont="1" applyBorder="1" applyAlignment="1">
      <alignment horizontal="center" vertical="center"/>
    </xf>
    <xf numFmtId="1" fontId="8" fillId="0" borderId="235" xfId="0" applyNumberFormat="1" applyFont="1" applyBorder="1" applyAlignment="1">
      <alignment horizontal="center" vertical="center"/>
    </xf>
    <xf numFmtId="1" fontId="8" fillId="0" borderId="236" xfId="0" applyNumberFormat="1" applyFont="1" applyBorder="1" applyAlignment="1">
      <alignment horizontal="center" vertical="center"/>
    </xf>
    <xf numFmtId="0" fontId="53" fillId="12" borderId="144" xfId="0" applyFont="1" applyFill="1" applyBorder="1"/>
    <xf numFmtId="0" fontId="53" fillId="39" borderId="145" xfId="0" applyFont="1" applyFill="1" applyBorder="1"/>
    <xf numFmtId="0" fontId="8" fillId="39" borderId="155" xfId="0" applyFont="1" applyFill="1" applyBorder="1"/>
    <xf numFmtId="0" fontId="26" fillId="10" borderId="76" xfId="0" applyFont="1" applyFill="1" applyBorder="1" applyAlignment="1">
      <alignment horizontal="center" vertical="center" wrapText="1"/>
    </xf>
    <xf numFmtId="0" fontId="48" fillId="11" borderId="76" xfId="0" applyFont="1" applyFill="1" applyBorder="1" applyAlignment="1">
      <alignment horizontal="center" vertical="center" wrapText="1"/>
    </xf>
    <xf numFmtId="0" fontId="103" fillId="12" borderId="76" xfId="0" applyFont="1" applyFill="1" applyBorder="1" applyAlignment="1">
      <alignment horizontal="center" vertical="center" wrapText="1"/>
    </xf>
    <xf numFmtId="1" fontId="25" fillId="18" borderId="100" xfId="0" applyNumberFormat="1" applyFont="1" applyFill="1" applyBorder="1" applyAlignment="1">
      <alignment horizontal="center"/>
    </xf>
    <xf numFmtId="0" fontId="8" fillId="0" borderId="115" xfId="26" applyBorder="1" applyAlignment="1">
      <alignment horizontal="center" vertical="center"/>
    </xf>
    <xf numFmtId="175" fontId="8" fillId="0" borderId="44" xfId="26" applyNumberFormat="1" applyBorder="1"/>
    <xf numFmtId="175" fontId="8" fillId="17" borderId="34" xfId="26" applyNumberFormat="1" applyFill="1" applyBorder="1"/>
    <xf numFmtId="175" fontId="8" fillId="17" borderId="5" xfId="26" applyNumberFormat="1" applyFill="1" applyBorder="1"/>
    <xf numFmtId="175" fontId="8" fillId="17" borderId="6" xfId="26" applyNumberFormat="1" applyFill="1" applyBorder="1"/>
    <xf numFmtId="175" fontId="8" fillId="17" borderId="0" xfId="26" applyNumberFormat="1" applyFill="1"/>
    <xf numFmtId="0" fontId="10" fillId="0" borderId="0" xfId="11" applyAlignment="1" applyProtection="1">
      <alignment vertical="top"/>
    </xf>
    <xf numFmtId="169" fontId="71" fillId="8" borderId="115" xfId="6" applyFont="1" applyFill="1" applyBorder="1" applyAlignment="1">
      <alignment horizontal="center" vertical="center" wrapText="1"/>
    </xf>
    <xf numFmtId="0" fontId="37" fillId="0" borderId="0" xfId="26" applyFont="1" applyAlignment="1">
      <alignment horizontal="right" vertical="top"/>
    </xf>
    <xf numFmtId="0" fontId="37" fillId="0" borderId="0" xfId="26" applyFont="1" applyAlignment="1">
      <alignment horizontal="left" vertical="top"/>
    </xf>
    <xf numFmtId="4" fontId="1" fillId="0" borderId="159" xfId="29" applyNumberFormat="1" applyFont="1" applyBorder="1" applyAlignment="1">
      <alignment horizontal="center"/>
    </xf>
    <xf numFmtId="0" fontId="1" fillId="0" borderId="44" xfId="0" applyFont="1" applyBorder="1"/>
    <xf numFmtId="165" fontId="1" fillId="0" borderId="44" xfId="0" applyNumberFormat="1" applyFont="1" applyBorder="1" applyAlignment="1">
      <alignment horizontal="center"/>
    </xf>
    <xf numFmtId="165" fontId="1" fillId="0" borderId="0" xfId="0" applyNumberFormat="1" applyFont="1" applyAlignment="1">
      <alignment horizontal="center"/>
    </xf>
    <xf numFmtId="9" fontId="64" fillId="0" borderId="0" xfId="0" applyNumberFormat="1" applyFont="1"/>
    <xf numFmtId="9" fontId="0" fillId="17" borderId="107" xfId="16" applyFont="1" applyFill="1" applyBorder="1" applyAlignment="1">
      <alignment horizontal="center"/>
    </xf>
    <xf numFmtId="0" fontId="0" fillId="0" borderId="115" xfId="26" applyFont="1" applyBorder="1" applyAlignment="1">
      <alignment horizontal="center" vertical="center"/>
    </xf>
    <xf numFmtId="3" fontId="13" fillId="34" borderId="117" xfId="5" applyFont="1" applyFill="1" applyBorder="1" applyAlignment="1">
      <alignment horizontal="right" vertical="center" wrapText="1"/>
    </xf>
    <xf numFmtId="0" fontId="0" fillId="0" borderId="0" xfId="26" applyFont="1" applyAlignment="1">
      <alignment horizontal="center" vertical="center"/>
    </xf>
    <xf numFmtId="0" fontId="28" fillId="3" borderId="237" xfId="10" applyFont="1" applyBorder="1" applyAlignment="1">
      <alignment vertical="center"/>
    </xf>
    <xf numFmtId="174" fontId="8" fillId="0" borderId="115" xfId="26" applyNumberFormat="1" applyBorder="1" applyAlignment="1">
      <alignment horizontal="center" vertical="center"/>
    </xf>
    <xf numFmtId="10" fontId="67" fillId="35" borderId="115" xfId="26" applyNumberFormat="1" applyFont="1" applyFill="1" applyBorder="1" applyAlignment="1">
      <alignment horizontal="center" vertical="center"/>
    </xf>
    <xf numFmtId="180" fontId="67" fillId="35" borderId="115" xfId="26" applyNumberFormat="1" applyFont="1" applyFill="1" applyBorder="1" applyAlignment="1">
      <alignment horizontal="center" vertical="center"/>
    </xf>
    <xf numFmtId="0" fontId="28" fillId="0" borderId="17" xfId="26" applyFont="1" applyBorder="1" applyAlignment="1">
      <alignment horizontal="center" vertical="center"/>
    </xf>
    <xf numFmtId="0" fontId="26" fillId="5" borderId="8" xfId="26" applyFont="1" applyFill="1" applyBorder="1" applyAlignment="1">
      <alignment horizontal="center" vertical="center"/>
    </xf>
    <xf numFmtId="0" fontId="26" fillId="5" borderId="7" xfId="26" applyFont="1" applyFill="1" applyBorder="1" applyAlignment="1">
      <alignment horizontal="center" vertical="center"/>
    </xf>
    <xf numFmtId="0" fontId="26" fillId="5" borderId="11" xfId="26" applyFont="1" applyFill="1" applyBorder="1" applyAlignment="1">
      <alignment horizontal="center" vertical="center" wrapText="1"/>
    </xf>
    <xf numFmtId="181" fontId="8" fillId="8" borderId="15" xfId="0" applyNumberFormat="1" applyFont="1" applyFill="1" applyBorder="1" applyAlignment="1">
      <alignment horizontal="right"/>
    </xf>
    <xf numFmtId="0" fontId="25" fillId="9" borderId="0" xfId="0" applyFont="1" applyFill="1" applyAlignment="1">
      <alignment vertical="center" wrapText="1"/>
    </xf>
    <xf numFmtId="0" fontId="25" fillId="10" borderId="0" xfId="0" applyFont="1" applyFill="1" applyAlignment="1">
      <alignment vertical="center" wrapText="1"/>
    </xf>
    <xf numFmtId="0" fontId="25" fillId="11" borderId="0" xfId="0" applyFont="1" applyFill="1" applyAlignment="1">
      <alignment vertical="center" wrapText="1"/>
    </xf>
    <xf numFmtId="0" fontId="25" fillId="32" borderId="0" xfId="0" applyFont="1" applyFill="1" applyAlignment="1">
      <alignment vertical="center" wrapText="1"/>
    </xf>
    <xf numFmtId="0" fontId="25" fillId="23" borderId="0" xfId="0" applyFont="1" applyFill="1" applyAlignment="1">
      <alignment vertical="center" wrapText="1"/>
    </xf>
    <xf numFmtId="0" fontId="24" fillId="9" borderId="19" xfId="0" applyFont="1" applyFill="1" applyBorder="1" applyAlignment="1">
      <alignment horizontal="center"/>
    </xf>
    <xf numFmtId="0" fontId="49" fillId="5" borderId="65" xfId="0" applyFont="1" applyFill="1" applyBorder="1" applyAlignment="1">
      <alignment horizontal="center"/>
    </xf>
    <xf numFmtId="3" fontId="53" fillId="0" borderId="156" xfId="0" applyNumberFormat="1" applyFont="1" applyBorder="1" applyAlignment="1">
      <alignment horizontal="center" vertical="center"/>
    </xf>
    <xf numFmtId="0" fontId="53" fillId="0" borderId="193" xfId="0" applyFont="1" applyBorder="1" applyAlignment="1">
      <alignment horizontal="center" vertical="center"/>
    </xf>
    <xf numFmtId="0" fontId="53" fillId="0" borderId="238" xfId="0" applyFont="1" applyBorder="1" applyAlignment="1">
      <alignment horizontal="center" vertical="center"/>
    </xf>
    <xf numFmtId="3" fontId="53" fillId="0" borderId="148" xfId="0" applyNumberFormat="1" applyFont="1" applyBorder="1" applyAlignment="1">
      <alignment horizontal="center" vertical="center"/>
    </xf>
    <xf numFmtId="3" fontId="53" fillId="8" borderId="149" xfId="0" applyNumberFormat="1" applyFont="1" applyFill="1" applyBorder="1" applyAlignment="1">
      <alignment horizontal="center" vertical="center"/>
    </xf>
    <xf numFmtId="0" fontId="53" fillId="0" borderId="239" xfId="0" applyFont="1" applyBorder="1"/>
    <xf numFmtId="4" fontId="5" fillId="0" borderId="240" xfId="29" applyNumberFormat="1" applyBorder="1" applyAlignment="1">
      <alignment horizontal="center"/>
    </xf>
    <xf numFmtId="0" fontId="53" fillId="0" borderId="241" xfId="0" applyFont="1" applyBorder="1"/>
    <xf numFmtId="10" fontId="5" fillId="0" borderId="0" xfId="29" quotePrefix="1" applyNumberFormat="1" applyAlignment="1">
      <alignment horizontal="right"/>
    </xf>
    <xf numFmtId="0" fontId="53" fillId="0" borderId="242" xfId="0" applyFont="1" applyBorder="1"/>
    <xf numFmtId="10" fontId="5" fillId="0" borderId="161" xfId="29" quotePrefix="1" applyNumberFormat="1" applyBorder="1" applyAlignment="1">
      <alignment horizontal="right"/>
    </xf>
    <xf numFmtId="177" fontId="0" fillId="0" borderId="0" xfId="0" applyNumberFormat="1"/>
    <xf numFmtId="178" fontId="0" fillId="17" borderId="0" xfId="0" applyNumberFormat="1" applyFill="1" applyAlignment="1">
      <alignment horizontal="center" vertical="center"/>
    </xf>
    <xf numFmtId="178" fontId="25" fillId="18" borderId="98" xfId="16" applyNumberFormat="1" applyFont="1" applyFill="1" applyBorder="1" applyAlignment="1">
      <alignment horizontal="center"/>
    </xf>
    <xf numFmtId="178" fontId="0" fillId="78" borderId="0" xfId="0" applyNumberFormat="1" applyFill="1" applyAlignment="1">
      <alignment horizontal="center" vertical="center"/>
    </xf>
    <xf numFmtId="10" fontId="0" fillId="78" borderId="0" xfId="0" applyNumberFormat="1" applyFill="1" applyAlignment="1">
      <alignment horizontal="center" vertical="center"/>
    </xf>
    <xf numFmtId="1" fontId="0" fillId="24" borderId="23" xfId="16" applyNumberFormat="1" applyFont="1" applyFill="1" applyBorder="1" applyAlignment="1">
      <alignment horizontal="center"/>
    </xf>
    <xf numFmtId="0" fontId="105" fillId="0" borderId="0" xfId="11" applyFont="1" applyAlignment="1" applyProtection="1"/>
    <xf numFmtId="0" fontId="0" fillId="0" borderId="44" xfId="0" applyBorder="1" applyAlignment="1">
      <alignment horizontal="center" vertical="center"/>
    </xf>
    <xf numFmtId="0" fontId="13" fillId="0" borderId="44" xfId="0" applyFont="1" applyBorder="1" applyAlignment="1">
      <alignment horizontal="center" vertical="center"/>
    </xf>
    <xf numFmtId="9" fontId="8" fillId="0" borderId="44" xfId="0" applyNumberFormat="1" applyFont="1" applyBorder="1"/>
    <xf numFmtId="9" fontId="0" fillId="0" borderId="44" xfId="0" applyNumberFormat="1" applyBorder="1"/>
    <xf numFmtId="9" fontId="8" fillId="0" borderId="44" xfId="16" applyFont="1" applyBorder="1"/>
    <xf numFmtId="9" fontId="0" fillId="0" borderId="44" xfId="16" applyFont="1" applyBorder="1"/>
    <xf numFmtId="0" fontId="13" fillId="0" borderId="44" xfId="0" applyFont="1" applyBorder="1" applyAlignment="1">
      <alignment horizontal="center" vertical="center" wrapText="1"/>
    </xf>
    <xf numFmtId="9" fontId="0" fillId="0" borderId="42" xfId="0" applyNumberFormat="1" applyBorder="1"/>
    <xf numFmtId="9" fontId="0" fillId="0" borderId="42" xfId="16" applyFont="1" applyBorder="1"/>
    <xf numFmtId="9" fontId="13" fillId="0" borderId="43" xfId="0" applyNumberFormat="1" applyFont="1" applyBorder="1"/>
    <xf numFmtId="9" fontId="8" fillId="0" borderId="3" xfId="16" applyFont="1" applyBorder="1"/>
    <xf numFmtId="9" fontId="0" fillId="0" borderId="3" xfId="16" applyFont="1" applyBorder="1"/>
    <xf numFmtId="9" fontId="0" fillId="0" borderId="34" xfId="16" applyFont="1" applyBorder="1"/>
    <xf numFmtId="9" fontId="0" fillId="9" borderId="100" xfId="16" applyFont="1" applyFill="1" applyBorder="1" applyAlignment="1">
      <alignment horizontal="center"/>
    </xf>
    <xf numFmtId="2" fontId="0" fillId="23" borderId="98" xfId="0" applyNumberFormat="1" applyFill="1" applyBorder="1" applyAlignment="1">
      <alignment horizontal="center"/>
    </xf>
    <xf numFmtId="2" fontId="0" fillId="77" borderId="44" xfId="16" applyNumberFormat="1" applyFont="1" applyFill="1" applyBorder="1" applyAlignment="1">
      <alignment horizontal="center"/>
    </xf>
    <xf numFmtId="168" fontId="0" fillId="0" borderId="100" xfId="0" applyNumberFormat="1" applyBorder="1" applyAlignment="1">
      <alignment horizontal="center"/>
    </xf>
    <xf numFmtId="168" fontId="0" fillId="0" borderId="99" xfId="0" applyNumberFormat="1" applyBorder="1" applyAlignment="1">
      <alignment horizontal="center"/>
    </xf>
    <xf numFmtId="0" fontId="8" fillId="0" borderId="44" xfId="0" applyFont="1" applyBorder="1"/>
    <xf numFmtId="0" fontId="8" fillId="0" borderId="3" xfId="0" applyFont="1" applyBorder="1"/>
    <xf numFmtId="0" fontId="97" fillId="0" borderId="44" xfId="0" applyFont="1" applyBorder="1" applyAlignment="1">
      <alignment horizontal="left" indent="1"/>
    </xf>
    <xf numFmtId="0" fontId="13" fillId="0" borderId="42" xfId="0" applyFont="1" applyBorder="1" applyAlignment="1">
      <alignment horizontal="center" vertical="center"/>
    </xf>
    <xf numFmtId="0" fontId="13" fillId="0" borderId="44" xfId="0" applyFont="1" applyBorder="1"/>
    <xf numFmtId="3" fontId="53" fillId="40" borderId="37" xfId="0" applyNumberFormat="1" applyFont="1" applyFill="1" applyBorder="1" applyAlignment="1">
      <alignment horizontal="center" vertical="center"/>
    </xf>
    <xf numFmtId="0" fontId="32" fillId="0" borderId="0" xfId="0" applyFont="1"/>
    <xf numFmtId="0" fontId="32" fillId="8" borderId="0" xfId="0" applyFont="1" applyFill="1" applyAlignment="1">
      <alignment horizontal="center"/>
    </xf>
    <xf numFmtId="0" fontId="32" fillId="8" borderId="0" xfId="0" applyFont="1" applyFill="1"/>
    <xf numFmtId="0" fontId="9" fillId="0" borderId="54" xfId="0" applyFont="1" applyBorder="1" applyAlignment="1">
      <alignment horizontal="center" vertical="center"/>
    </xf>
    <xf numFmtId="0" fontId="9" fillId="0" borderId="18" xfId="0" applyFont="1" applyBorder="1" applyAlignment="1">
      <alignment horizontal="center" vertical="center"/>
    </xf>
    <xf numFmtId="0" fontId="9" fillId="0" borderId="55" xfId="0" applyFont="1" applyBorder="1" applyAlignment="1">
      <alignment horizontal="center" vertical="center"/>
    </xf>
    <xf numFmtId="0" fontId="26" fillId="32" borderId="33" xfId="0" applyFont="1" applyFill="1" applyBorder="1" applyAlignment="1">
      <alignment horizontal="center"/>
    </xf>
    <xf numFmtId="0" fontId="26" fillId="32" borderId="27" xfId="0" applyFont="1" applyFill="1" applyBorder="1" applyAlignment="1">
      <alignment horizontal="center"/>
    </xf>
    <xf numFmtId="9" fontId="13" fillId="8" borderId="26" xfId="16" applyFont="1" applyFill="1" applyBorder="1" applyAlignment="1">
      <alignment horizontal="left"/>
    </xf>
    <xf numFmtId="9" fontId="13" fillId="8" borderId="25" xfId="16" applyFont="1" applyFill="1" applyBorder="1" applyAlignment="1">
      <alignment horizontal="left"/>
    </xf>
    <xf numFmtId="14" fontId="13" fillId="0" borderId="26" xfId="0" applyNumberFormat="1" applyFont="1" applyBorder="1" applyAlignment="1">
      <alignment horizontal="center"/>
    </xf>
    <xf numFmtId="14" fontId="13" fillId="0" borderId="25" xfId="0" applyNumberFormat="1" applyFont="1" applyBorder="1" applyAlignment="1">
      <alignment horizontal="center"/>
    </xf>
    <xf numFmtId="0" fontId="8" fillId="0" borderId="19" xfId="0" applyFont="1" applyBorder="1" applyAlignment="1">
      <alignment horizontal="left"/>
    </xf>
    <xf numFmtId="0" fontId="8" fillId="0" borderId="19" xfId="0" quotePrefix="1" applyFont="1" applyBorder="1" applyAlignment="1">
      <alignment horizontal="left"/>
    </xf>
    <xf numFmtId="0" fontId="26" fillId="32" borderId="26" xfId="0" applyFont="1" applyFill="1" applyBorder="1" applyAlignment="1">
      <alignment horizontal="center"/>
    </xf>
    <xf numFmtId="0" fontId="26" fillId="32" borderId="24" xfId="0" applyFont="1" applyFill="1" applyBorder="1" applyAlignment="1">
      <alignment horizontal="center"/>
    </xf>
    <xf numFmtId="0" fontId="67" fillId="8" borderId="19" xfId="0" applyFont="1" applyFill="1" applyBorder="1" applyAlignment="1">
      <alignment horizontal="center" vertical="center" wrapText="1"/>
    </xf>
    <xf numFmtId="0" fontId="46" fillId="31" borderId="29" xfId="0" applyFont="1" applyFill="1" applyBorder="1" applyAlignment="1">
      <alignment horizontal="center" vertical="center" wrapText="1"/>
    </xf>
    <xf numFmtId="0" fontId="46" fillId="31" borderId="52" xfId="0" applyFont="1" applyFill="1" applyBorder="1" applyAlignment="1">
      <alignment horizontal="center" vertical="center" wrapText="1"/>
    </xf>
    <xf numFmtId="0" fontId="46" fillId="5" borderId="45" xfId="0" applyFont="1" applyFill="1" applyBorder="1" applyAlignment="1">
      <alignment horizontal="center"/>
    </xf>
    <xf numFmtId="0" fontId="46" fillId="5" borderId="46" xfId="0" applyFont="1" applyFill="1" applyBorder="1" applyAlignment="1">
      <alignment horizontal="center"/>
    </xf>
    <xf numFmtId="0" fontId="46" fillId="5" borderId="47" xfId="0" applyFont="1" applyFill="1" applyBorder="1" applyAlignment="1">
      <alignment horizontal="center"/>
    </xf>
    <xf numFmtId="0" fontId="20" fillId="0" borderId="22" xfId="0" applyFont="1" applyBorder="1" applyAlignment="1">
      <alignment horizontal="center" wrapText="1"/>
    </xf>
    <xf numFmtId="0" fontId="20" fillId="0" borderId="26" xfId="0" applyFont="1" applyBorder="1" applyAlignment="1">
      <alignment horizontal="center" wrapText="1"/>
    </xf>
    <xf numFmtId="0" fontId="20" fillId="0" borderId="22" xfId="0" applyFont="1" applyBorder="1" applyAlignment="1">
      <alignment horizontal="center" vertical="center" wrapText="1"/>
    </xf>
    <xf numFmtId="0" fontId="20" fillId="0" borderId="26" xfId="0" applyFont="1" applyBorder="1" applyAlignment="1">
      <alignment horizontal="center" vertical="center" wrapText="1"/>
    </xf>
    <xf numFmtId="0" fontId="46" fillId="5" borderId="33" xfId="0" applyFont="1" applyFill="1" applyBorder="1" applyAlignment="1">
      <alignment horizontal="center"/>
    </xf>
    <xf numFmtId="0" fontId="46" fillId="5" borderId="41" xfId="0" applyFont="1" applyFill="1" applyBorder="1" applyAlignment="1">
      <alignment horizontal="center"/>
    </xf>
    <xf numFmtId="0" fontId="46" fillId="5" borderId="22" xfId="0" applyFont="1" applyFill="1" applyBorder="1" applyAlignment="1">
      <alignment horizontal="center"/>
    </xf>
    <xf numFmtId="0" fontId="46" fillId="5" borderId="19" xfId="0" applyFont="1" applyFill="1" applyBorder="1" applyAlignment="1">
      <alignment horizontal="center"/>
    </xf>
    <xf numFmtId="0" fontId="46" fillId="5" borderId="28" xfId="0" applyFont="1" applyFill="1" applyBorder="1" applyAlignment="1">
      <alignment horizontal="center"/>
    </xf>
    <xf numFmtId="0" fontId="45" fillId="18" borderId="10" xfId="0" applyFont="1" applyFill="1" applyBorder="1" applyAlignment="1">
      <alignment horizontal="center"/>
    </xf>
    <xf numFmtId="0" fontId="45" fillId="18" borderId="0" xfId="0" applyFont="1" applyFill="1" applyAlignment="1">
      <alignment horizontal="center"/>
    </xf>
    <xf numFmtId="0" fontId="45" fillId="18" borderId="12" xfId="0" applyFont="1" applyFill="1" applyBorder="1" applyAlignment="1">
      <alignment horizontal="center"/>
    </xf>
    <xf numFmtId="0" fontId="0" fillId="8" borderId="144" xfId="0" applyFill="1" applyBorder="1" applyAlignment="1">
      <alignment horizontal="center" vertical="center" wrapText="1"/>
    </xf>
    <xf numFmtId="0" fontId="0" fillId="8" borderId="127" xfId="0" applyFill="1" applyBorder="1" applyAlignment="1">
      <alignment horizontal="center" vertical="center" wrapText="1"/>
    </xf>
    <xf numFmtId="0" fontId="0" fillId="8" borderId="214" xfId="0" applyFill="1" applyBorder="1" applyAlignment="1">
      <alignment horizontal="center" vertical="center" wrapText="1"/>
    </xf>
    <xf numFmtId="174" fontId="9" fillId="12" borderId="154" xfId="0" applyNumberFormat="1" applyFont="1" applyFill="1" applyBorder="1" applyAlignment="1">
      <alignment horizontal="center" vertical="center"/>
    </xf>
    <xf numFmtId="174" fontId="9" fillId="12" borderId="128" xfId="0" applyNumberFormat="1" applyFont="1" applyFill="1" applyBorder="1" applyAlignment="1">
      <alignment horizontal="center" vertical="center"/>
    </xf>
    <xf numFmtId="174" fontId="9" fillId="12" borderId="155" xfId="0" applyNumberFormat="1" applyFont="1" applyFill="1" applyBorder="1" applyAlignment="1">
      <alignment horizontal="center" vertical="center"/>
    </xf>
    <xf numFmtId="0" fontId="44" fillId="8" borderId="154" xfId="0" applyFont="1" applyFill="1" applyBorder="1" applyAlignment="1">
      <alignment horizontal="center" vertical="center" wrapText="1"/>
    </xf>
    <xf numFmtId="0" fontId="44" fillId="8" borderId="128" xfId="0" applyFont="1" applyFill="1" applyBorder="1" applyAlignment="1">
      <alignment horizontal="center" vertical="center" wrapText="1"/>
    </xf>
    <xf numFmtId="0" fontId="44" fillId="8" borderId="155" xfId="0" applyFont="1" applyFill="1" applyBorder="1" applyAlignment="1">
      <alignment horizontal="center" vertical="center" wrapText="1"/>
    </xf>
    <xf numFmtId="167" fontId="44" fillId="12" borderId="207" xfId="16" applyNumberFormat="1" applyFont="1" applyFill="1" applyBorder="1" applyAlignment="1">
      <alignment horizontal="center" vertical="center"/>
    </xf>
    <xf numFmtId="167" fontId="44" fillId="12" borderId="0" xfId="16" applyNumberFormat="1" applyFont="1" applyFill="1" applyBorder="1" applyAlignment="1">
      <alignment horizontal="center" vertical="center"/>
    </xf>
    <xf numFmtId="167" fontId="44" fillId="12" borderId="145" xfId="16" applyNumberFormat="1" applyFont="1" applyFill="1" applyBorder="1" applyAlignment="1">
      <alignment horizontal="center" vertical="center"/>
    </xf>
    <xf numFmtId="167" fontId="44" fillId="0" borderId="133" xfId="16" applyNumberFormat="1" applyFont="1" applyBorder="1" applyAlignment="1">
      <alignment horizontal="center" vertical="center"/>
    </xf>
    <xf numFmtId="167" fontId="44" fillId="0" borderId="129" xfId="16" applyNumberFormat="1" applyFont="1" applyBorder="1" applyAlignment="1">
      <alignment horizontal="center" vertical="center"/>
    </xf>
    <xf numFmtId="167" fontId="44" fillId="0" borderId="130" xfId="16" applyNumberFormat="1" applyFont="1" applyBorder="1" applyAlignment="1">
      <alignment horizontal="center" vertical="center"/>
    </xf>
    <xf numFmtId="9" fontId="44" fillId="9" borderId="154" xfId="16" applyFont="1" applyFill="1" applyBorder="1" applyAlignment="1">
      <alignment horizontal="center" vertical="center"/>
    </xf>
    <xf numFmtId="9" fontId="44" fillId="9" borderId="128" xfId="16" applyFont="1" applyFill="1" applyBorder="1" applyAlignment="1">
      <alignment horizontal="center" vertical="center"/>
    </xf>
    <xf numFmtId="9" fontId="44" fillId="9" borderId="155" xfId="16" applyFont="1" applyFill="1" applyBorder="1" applyAlignment="1">
      <alignment horizontal="center" vertical="center"/>
    </xf>
    <xf numFmtId="0" fontId="32" fillId="8" borderId="144" xfId="0" applyFont="1" applyFill="1" applyBorder="1" applyAlignment="1">
      <alignment horizontal="center" vertical="center" wrapText="1"/>
    </xf>
    <xf numFmtId="0" fontId="32" fillId="8" borderId="127" xfId="0" applyFont="1" applyFill="1" applyBorder="1" applyAlignment="1">
      <alignment horizontal="center" vertical="center" wrapText="1"/>
    </xf>
    <xf numFmtId="0" fontId="32" fillId="8" borderId="214" xfId="0" applyFont="1" applyFill="1" applyBorder="1" applyAlignment="1">
      <alignment horizontal="center" vertical="center" wrapText="1"/>
    </xf>
    <xf numFmtId="0" fontId="79" fillId="0" borderId="169" xfId="33" applyFont="1" applyBorder="1" applyAlignment="1">
      <alignment horizontal="left" vertical="center" wrapText="1"/>
    </xf>
    <xf numFmtId="0" fontId="79" fillId="0" borderId="164" xfId="33" applyFont="1" applyBorder="1" applyAlignment="1">
      <alignment horizontal="left" vertical="center" wrapText="1"/>
    </xf>
    <xf numFmtId="0" fontId="79" fillId="0" borderId="165" xfId="33" applyFont="1" applyBorder="1" applyAlignment="1">
      <alignment horizontal="left" vertical="center" wrapText="1"/>
    </xf>
    <xf numFmtId="0" fontId="26" fillId="32" borderId="50" xfId="0" applyFont="1" applyFill="1" applyBorder="1" applyAlignment="1">
      <alignment horizontal="center"/>
    </xf>
    <xf numFmtId="0" fontId="26" fillId="32" borderId="51" xfId="0" applyFont="1" applyFill="1" applyBorder="1" applyAlignment="1">
      <alignment horizontal="center"/>
    </xf>
    <xf numFmtId="0" fontId="71" fillId="0" borderId="0" xfId="0" applyFont="1" applyAlignment="1">
      <alignment wrapText="1"/>
    </xf>
    <xf numFmtId="0" fontId="71" fillId="0" borderId="164" xfId="0" applyFont="1" applyBorder="1" applyAlignment="1">
      <alignment horizontal="left" vertical="center"/>
    </xf>
    <xf numFmtId="0" fontId="71" fillId="0" borderId="165" xfId="0" applyFont="1" applyBorder="1" applyAlignment="1">
      <alignment horizontal="left" vertical="center"/>
    </xf>
    <xf numFmtId="0" fontId="71" fillId="0" borderId="0" xfId="0" applyFont="1" applyAlignment="1">
      <alignment horizontal="left" vertical="center"/>
    </xf>
    <xf numFmtId="0" fontId="71" fillId="0" borderId="166" xfId="0" applyFont="1" applyBorder="1" applyAlignment="1">
      <alignment horizontal="left" vertical="center"/>
    </xf>
    <xf numFmtId="0" fontId="71" fillId="0" borderId="167" xfId="0" applyFont="1" applyBorder="1" applyAlignment="1">
      <alignment horizontal="left" vertical="center"/>
    </xf>
    <xf numFmtId="0" fontId="71" fillId="0" borderId="168" xfId="0" applyFont="1" applyBorder="1" applyAlignment="1">
      <alignment horizontal="left" vertical="center"/>
    </xf>
    <xf numFmtId="0" fontId="46" fillId="5" borderId="51" xfId="0" applyFont="1" applyFill="1" applyBorder="1" applyAlignment="1">
      <alignment horizontal="center"/>
    </xf>
    <xf numFmtId="0" fontId="46" fillId="5" borderId="62" xfId="0" applyFont="1" applyFill="1" applyBorder="1" applyAlignment="1">
      <alignment horizontal="center"/>
    </xf>
    <xf numFmtId="0" fontId="8" fillId="0" borderId="63" xfId="0" applyFont="1" applyBorder="1" applyAlignment="1">
      <alignment horizontal="left" indent="1"/>
    </xf>
    <xf numFmtId="0" fontId="8" fillId="0" borderId="64" xfId="0" applyFont="1" applyBorder="1" applyAlignment="1">
      <alignment horizontal="left" indent="1"/>
    </xf>
    <xf numFmtId="0" fontId="8" fillId="0" borderId="63" xfId="0" applyFont="1" applyBorder="1" applyAlignment="1">
      <alignment horizontal="left"/>
    </xf>
    <xf numFmtId="0" fontId="8" fillId="0" borderId="64" xfId="0" applyFont="1" applyBorder="1" applyAlignment="1">
      <alignment horizontal="left"/>
    </xf>
    <xf numFmtId="0" fontId="13" fillId="0" borderId="63" xfId="0" applyFont="1" applyBorder="1" applyAlignment="1">
      <alignment horizontal="left"/>
    </xf>
    <xf numFmtId="0" fontId="13" fillId="0" borderId="64" xfId="0" applyFont="1" applyBorder="1" applyAlignment="1">
      <alignment horizontal="left"/>
    </xf>
    <xf numFmtId="0" fontId="0" fillId="0" borderId="63" xfId="0" applyBorder="1" applyAlignment="1">
      <alignment horizontal="left"/>
    </xf>
    <xf numFmtId="0" fontId="0" fillId="0" borderId="64" xfId="0" applyBorder="1" applyAlignment="1">
      <alignment horizontal="left"/>
    </xf>
    <xf numFmtId="0" fontId="8" fillId="16" borderId="63" xfId="0" applyFont="1" applyFill="1" applyBorder="1" applyAlignment="1">
      <alignment horizontal="left"/>
    </xf>
    <xf numFmtId="0" fontId="8" fillId="16" borderId="64" xfId="0" applyFont="1" applyFill="1" applyBorder="1" applyAlignment="1">
      <alignment horizontal="left"/>
    </xf>
    <xf numFmtId="0" fontId="13" fillId="0" borderId="24" xfId="0" applyFont="1" applyBorder="1" applyAlignment="1">
      <alignment horizontal="center"/>
    </xf>
    <xf numFmtId="0" fontId="13" fillId="0" borderId="25" xfId="0" applyFont="1" applyBorder="1" applyAlignment="1">
      <alignment horizontal="center"/>
    </xf>
    <xf numFmtId="0" fontId="8" fillId="8" borderId="26" xfId="0" applyFont="1" applyFill="1" applyBorder="1" applyAlignment="1">
      <alignment horizontal="left" vertical="center"/>
    </xf>
    <xf numFmtId="0" fontId="8" fillId="8" borderId="25" xfId="0" applyFont="1" applyFill="1" applyBorder="1" applyAlignment="1">
      <alignment horizontal="left" vertical="center"/>
    </xf>
    <xf numFmtId="0" fontId="9" fillId="12" borderId="0" xfId="0" applyFont="1" applyFill="1" applyAlignment="1">
      <alignment horizontal="center" vertical="center" wrapText="1"/>
    </xf>
    <xf numFmtId="0" fontId="9" fillId="12" borderId="145" xfId="0" applyFont="1" applyFill="1" applyBorder="1" applyAlignment="1">
      <alignment horizontal="center" vertical="center" wrapText="1"/>
    </xf>
    <xf numFmtId="0" fontId="32" fillId="8" borderId="210" xfId="0" applyFont="1" applyFill="1" applyBorder="1" applyAlignment="1">
      <alignment horizontal="center" vertical="center" wrapText="1"/>
    </xf>
    <xf numFmtId="0" fontId="0" fillId="8" borderId="211" xfId="0" applyFill="1" applyBorder="1" applyAlignment="1">
      <alignment horizontal="center" vertical="center" wrapText="1"/>
    </xf>
    <xf numFmtId="0" fontId="0" fillId="8" borderId="212" xfId="0" applyFill="1" applyBorder="1" applyAlignment="1">
      <alignment horizontal="center" vertical="center" wrapText="1"/>
    </xf>
    <xf numFmtId="0" fontId="32" fillId="8" borderId="131" xfId="0" applyFont="1" applyFill="1" applyBorder="1" applyAlignment="1">
      <alignment horizontal="center" vertical="center" wrapText="1"/>
    </xf>
    <xf numFmtId="0" fontId="32" fillId="8" borderId="145" xfId="0" applyFont="1" applyFill="1" applyBorder="1" applyAlignment="1">
      <alignment horizontal="center" vertical="center" wrapText="1"/>
    </xf>
    <xf numFmtId="0" fontId="32" fillId="8" borderId="155" xfId="0" applyFont="1" applyFill="1" applyBorder="1" applyAlignment="1">
      <alignment horizontal="center" vertical="center" wrapText="1"/>
    </xf>
    <xf numFmtId="0" fontId="0" fillId="8" borderId="210" xfId="0" applyFill="1" applyBorder="1" applyAlignment="1">
      <alignment horizontal="center" vertical="center" wrapText="1"/>
    </xf>
    <xf numFmtId="0" fontId="13" fillId="0" borderId="134" xfId="0" applyFont="1" applyBorder="1" applyAlignment="1">
      <alignment horizontal="center" vertical="center" wrapText="1"/>
    </xf>
    <xf numFmtId="0" fontId="13" fillId="0" borderId="207" xfId="0" applyFont="1" applyBorder="1" applyAlignment="1">
      <alignment horizontal="center" vertical="center" wrapText="1"/>
    </xf>
    <xf numFmtId="0" fontId="13" fillId="0" borderId="208" xfId="0" applyFont="1" applyBorder="1" applyAlignment="1">
      <alignment horizontal="center" vertical="center" wrapText="1"/>
    </xf>
    <xf numFmtId="0" fontId="13" fillId="0" borderId="132" xfId="0" applyFont="1" applyBorder="1" applyAlignment="1">
      <alignment horizontal="center" vertical="center" wrapText="1"/>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3" fillId="0" borderId="131" xfId="0" applyFont="1" applyBorder="1" applyAlignment="1">
      <alignment horizontal="center" vertical="center" wrapText="1"/>
    </xf>
    <xf numFmtId="0" fontId="13" fillId="0" borderId="145" xfId="0" applyFont="1" applyBorder="1" applyAlignment="1">
      <alignment horizontal="center" vertical="center" wrapText="1"/>
    </xf>
    <xf numFmtId="0" fontId="13" fillId="0" borderId="213" xfId="0" applyFont="1" applyBorder="1" applyAlignment="1">
      <alignment horizontal="center" vertical="center" wrapText="1"/>
    </xf>
    <xf numFmtId="0" fontId="46" fillId="5" borderId="0" xfId="0" applyFont="1" applyFill="1" applyAlignment="1">
      <alignment horizontal="center"/>
    </xf>
    <xf numFmtId="0" fontId="46" fillId="5" borderId="12" xfId="0" applyFont="1" applyFill="1" applyBorder="1" applyAlignment="1">
      <alignment horizontal="center"/>
    </xf>
    <xf numFmtId="0" fontId="8" fillId="0" borderId="203" xfId="0" applyFont="1" applyBorder="1" applyAlignment="1">
      <alignment horizontal="left" vertical="top"/>
    </xf>
    <xf numFmtId="0" fontId="8" fillId="0" borderId="200" xfId="0" applyFont="1" applyBorder="1" applyAlignment="1">
      <alignment horizontal="left" vertical="top" wrapText="1"/>
    </xf>
    <xf numFmtId="0" fontId="8" fillId="0" borderId="201" xfId="0" applyFont="1" applyBorder="1" applyAlignment="1">
      <alignment horizontal="left" vertical="top" wrapText="1"/>
    </xf>
    <xf numFmtId="0" fontId="0" fillId="0" borderId="204" xfId="0" applyBorder="1" applyAlignment="1">
      <alignment horizontal="left" vertical="top" wrapText="1"/>
    </xf>
    <xf numFmtId="0" fontId="8" fillId="0" borderId="44" xfId="0" applyFont="1" applyBorder="1" applyAlignment="1">
      <alignment horizontal="left" vertical="top" wrapText="1"/>
    </xf>
    <xf numFmtId="0" fontId="8" fillId="0" borderId="58" xfId="0" applyFont="1" applyBorder="1" applyAlignment="1">
      <alignment horizontal="left" vertical="top" wrapText="1"/>
    </xf>
    <xf numFmtId="0" fontId="0" fillId="0" borderId="205" xfId="0" applyBorder="1" applyAlignment="1">
      <alignment horizontal="left" vertical="top"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46" fillId="5" borderId="50" xfId="0" applyFont="1" applyFill="1" applyBorder="1" applyAlignment="1">
      <alignment horizontal="center"/>
    </xf>
    <xf numFmtId="0" fontId="46" fillId="5" borderId="206" xfId="0" applyFont="1" applyFill="1" applyBorder="1" applyAlignment="1">
      <alignment horizontal="center"/>
    </xf>
    <xf numFmtId="0" fontId="46" fillId="5" borderId="127" xfId="0" applyFont="1" applyFill="1" applyBorder="1" applyAlignment="1">
      <alignment horizontal="center"/>
    </xf>
    <xf numFmtId="0" fontId="46" fillId="5" borderId="27" xfId="0" applyFont="1" applyFill="1" applyBorder="1" applyAlignment="1">
      <alignment horizontal="center"/>
    </xf>
    <xf numFmtId="0" fontId="0" fillId="8" borderId="215" xfId="0" applyFill="1" applyBorder="1" applyAlignment="1">
      <alignment horizontal="center" wrapText="1"/>
    </xf>
    <xf numFmtId="0" fontId="0" fillId="8" borderId="216" xfId="0" applyFill="1" applyBorder="1" applyAlignment="1">
      <alignment horizontal="center" wrapText="1"/>
    </xf>
    <xf numFmtId="0" fontId="0" fillId="8" borderId="217" xfId="0" applyFill="1" applyBorder="1" applyAlignment="1">
      <alignment horizontal="center" wrapText="1"/>
    </xf>
    <xf numFmtId="0" fontId="0" fillId="8" borderId="210" xfId="0" applyFill="1" applyBorder="1" applyAlignment="1">
      <alignment horizontal="center" wrapText="1"/>
    </xf>
    <xf numFmtId="0" fontId="0" fillId="8" borderId="211" xfId="0" applyFill="1" applyBorder="1" applyAlignment="1">
      <alignment horizontal="center" wrapText="1"/>
    </xf>
    <xf numFmtId="0" fontId="0" fillId="8" borderId="212" xfId="0" applyFill="1" applyBorder="1" applyAlignment="1">
      <alignment horizontal="center" wrapText="1"/>
    </xf>
    <xf numFmtId="0" fontId="46" fillId="5" borderId="134" xfId="0" applyFont="1" applyFill="1" applyBorder="1" applyAlignment="1">
      <alignment horizontal="center"/>
    </xf>
    <xf numFmtId="0" fontId="46" fillId="5" borderId="207" xfId="0" applyFont="1" applyFill="1" applyBorder="1" applyAlignment="1">
      <alignment horizontal="center"/>
    </xf>
    <xf numFmtId="0" fontId="46" fillId="5" borderId="208" xfId="0" applyFont="1" applyFill="1" applyBorder="1" applyAlignment="1">
      <alignment horizontal="center"/>
    </xf>
    <xf numFmtId="0" fontId="46" fillId="5" borderId="10" xfId="0" applyFont="1" applyFill="1" applyBorder="1" applyAlignment="1">
      <alignment horizontal="center"/>
    </xf>
    <xf numFmtId="0" fontId="46" fillId="5" borderId="128" xfId="0" applyFont="1" applyFill="1" applyBorder="1" applyAlignment="1">
      <alignment horizontal="center"/>
    </xf>
    <xf numFmtId="0" fontId="26" fillId="32" borderId="144" xfId="0" applyFont="1" applyFill="1" applyBorder="1" applyAlignment="1">
      <alignment horizontal="center"/>
    </xf>
    <xf numFmtId="0" fontId="26" fillId="32" borderId="127" xfId="0" applyFont="1" applyFill="1" applyBorder="1" applyAlignment="1">
      <alignment horizontal="center"/>
    </xf>
    <xf numFmtId="0" fontId="26" fillId="32" borderId="214" xfId="0" applyFont="1" applyFill="1" applyBorder="1" applyAlignment="1">
      <alignment horizontal="center"/>
    </xf>
    <xf numFmtId="0" fontId="26" fillId="32" borderId="131" xfId="0" applyFont="1" applyFill="1" applyBorder="1" applyAlignment="1">
      <alignment horizontal="center"/>
    </xf>
    <xf numFmtId="0" fontId="26" fillId="32" borderId="145" xfId="0" applyFont="1" applyFill="1" applyBorder="1" applyAlignment="1">
      <alignment horizontal="center"/>
    </xf>
    <xf numFmtId="0" fontId="26" fillId="32" borderId="155" xfId="0" applyFont="1" applyFill="1" applyBorder="1" applyAlignment="1">
      <alignment horizontal="center"/>
    </xf>
    <xf numFmtId="0" fontId="45" fillId="18" borderId="48" xfId="0" applyFont="1" applyFill="1" applyBorder="1" applyAlignment="1">
      <alignment horizontal="center"/>
    </xf>
    <xf numFmtId="0" fontId="26" fillId="32" borderId="62" xfId="0" applyFont="1" applyFill="1" applyBorder="1" applyAlignment="1">
      <alignment horizontal="center"/>
    </xf>
    <xf numFmtId="0" fontId="46" fillId="31" borderId="202" xfId="0" applyFont="1" applyFill="1" applyBorder="1" applyAlignment="1">
      <alignment horizontal="center"/>
    </xf>
    <xf numFmtId="0" fontId="46" fillId="31" borderId="61" xfId="0" applyFont="1" applyFill="1" applyBorder="1" applyAlignment="1">
      <alignment horizontal="center"/>
    </xf>
    <xf numFmtId="0" fontId="45" fillId="23" borderId="76" xfId="0" applyFont="1" applyFill="1" applyBorder="1" applyAlignment="1">
      <alignment horizontal="center" vertical="center" wrapText="1"/>
    </xf>
    <xf numFmtId="0" fontId="45" fillId="23" borderId="77" xfId="0" applyFont="1" applyFill="1" applyBorder="1" applyAlignment="1">
      <alignment horizontal="center" vertical="center" wrapText="1"/>
    </xf>
    <xf numFmtId="0" fontId="45" fillId="9" borderId="71" xfId="0" applyFont="1" applyFill="1" applyBorder="1" applyAlignment="1">
      <alignment horizontal="center" vertical="center" wrapText="1"/>
    </xf>
    <xf numFmtId="0" fontId="45" fillId="9" borderId="76" xfId="0" applyFont="1" applyFill="1" applyBorder="1" applyAlignment="1">
      <alignment horizontal="center" vertical="center" wrapText="1"/>
    </xf>
    <xf numFmtId="0" fontId="37" fillId="0" borderId="169" xfId="0" applyFont="1" applyBorder="1" applyAlignment="1">
      <alignment horizontal="left" vertical="center" wrapText="1"/>
    </xf>
    <xf numFmtId="0" fontId="99" fillId="0" borderId="164" xfId="0" applyFont="1" applyBorder="1" applyAlignment="1">
      <alignment horizontal="left" vertical="center"/>
    </xf>
    <xf numFmtId="0" fontId="99" fillId="0" borderId="165" xfId="0" applyFont="1" applyBorder="1" applyAlignment="1">
      <alignment horizontal="left" vertical="center"/>
    </xf>
    <xf numFmtId="0" fontId="99" fillId="0" borderId="170" xfId="0" applyFont="1" applyBorder="1" applyAlignment="1">
      <alignment horizontal="left" vertical="center"/>
    </xf>
    <xf numFmtId="0" fontId="99" fillId="0" borderId="0" xfId="0" applyFont="1" applyAlignment="1">
      <alignment horizontal="left" vertical="center"/>
    </xf>
    <xf numFmtId="0" fontId="99" fillId="0" borderId="166" xfId="0" applyFont="1" applyBorder="1" applyAlignment="1">
      <alignment horizontal="left" vertical="center"/>
    </xf>
    <xf numFmtId="0" fontId="99" fillId="0" borderId="171" xfId="0" applyFont="1" applyBorder="1" applyAlignment="1">
      <alignment horizontal="left" vertical="center"/>
    </xf>
    <xf numFmtId="0" fontId="99" fillId="0" borderId="167" xfId="0" applyFont="1" applyBorder="1" applyAlignment="1">
      <alignment horizontal="left" vertical="center"/>
    </xf>
    <xf numFmtId="0" fontId="99" fillId="0" borderId="168" xfId="0" applyFont="1" applyBorder="1" applyAlignment="1">
      <alignment horizontal="left" vertical="center"/>
    </xf>
    <xf numFmtId="0" fontId="101" fillId="0" borderId="169" xfId="0" applyFont="1" applyBorder="1" applyAlignment="1">
      <alignment horizontal="left" vertical="center" wrapText="1"/>
    </xf>
    <xf numFmtId="0" fontId="37" fillId="0" borderId="164" xfId="0" applyFont="1" applyBorder="1" applyAlignment="1">
      <alignment horizontal="left" vertical="center"/>
    </xf>
    <xf numFmtId="0" fontId="37" fillId="0" borderId="165" xfId="0" applyFont="1" applyBorder="1" applyAlignment="1">
      <alignment horizontal="left" vertical="center"/>
    </xf>
    <xf numFmtId="0" fontId="37" fillId="0" borderId="170" xfId="0" applyFont="1" applyBorder="1" applyAlignment="1">
      <alignment horizontal="left" vertical="center"/>
    </xf>
    <xf numFmtId="0" fontId="37" fillId="0" borderId="0" xfId="0" applyFont="1" applyAlignment="1">
      <alignment horizontal="left" vertical="center"/>
    </xf>
    <xf numFmtId="0" fontId="37" fillId="0" borderId="166" xfId="0" applyFont="1" applyBorder="1" applyAlignment="1">
      <alignment horizontal="left" vertical="center"/>
    </xf>
    <xf numFmtId="0" fontId="37" fillId="0" borderId="171" xfId="0" applyFont="1" applyBorder="1" applyAlignment="1">
      <alignment horizontal="left" vertical="center"/>
    </xf>
    <xf numFmtId="0" fontId="37" fillId="0" borderId="167" xfId="0" applyFont="1" applyBorder="1" applyAlignment="1">
      <alignment horizontal="left" vertical="center"/>
    </xf>
    <xf numFmtId="0" fontId="37" fillId="0" borderId="168" xfId="0" applyFont="1" applyBorder="1" applyAlignment="1">
      <alignment horizontal="left" vertical="center"/>
    </xf>
    <xf numFmtId="0" fontId="71" fillId="0" borderId="164" xfId="0" applyFont="1" applyBorder="1" applyAlignment="1">
      <alignment horizontal="left" vertical="center" wrapText="1"/>
    </xf>
    <xf numFmtId="0" fontId="98" fillId="0" borderId="164" xfId="0" applyFont="1" applyBorder="1" applyAlignment="1">
      <alignment horizontal="left" vertical="center"/>
    </xf>
    <xf numFmtId="0" fontId="98" fillId="0" borderId="165" xfId="0" applyFont="1" applyBorder="1" applyAlignment="1">
      <alignment horizontal="left" vertical="center"/>
    </xf>
    <xf numFmtId="0" fontId="98" fillId="0" borderId="0" xfId="0" applyFont="1" applyAlignment="1">
      <alignment horizontal="left" vertical="center"/>
    </xf>
    <xf numFmtId="0" fontId="98" fillId="0" borderId="166" xfId="0" applyFont="1" applyBorder="1" applyAlignment="1">
      <alignment horizontal="left" vertical="center"/>
    </xf>
    <xf numFmtId="0" fontId="98" fillId="0" borderId="167" xfId="0" applyFont="1" applyBorder="1" applyAlignment="1">
      <alignment horizontal="left" vertical="center"/>
    </xf>
    <xf numFmtId="0" fontId="98" fillId="0" borderId="168" xfId="0" applyFont="1" applyBorder="1" applyAlignment="1">
      <alignment horizontal="left" vertical="center"/>
    </xf>
    <xf numFmtId="0" fontId="49" fillId="5" borderId="243" xfId="0" applyFont="1" applyFill="1" applyBorder="1" applyAlignment="1">
      <alignment horizontal="center"/>
    </xf>
    <xf numFmtId="0" fontId="49" fillId="5" borderId="244" xfId="0" applyFont="1" applyFill="1" applyBorder="1" applyAlignment="1">
      <alignment horizontal="center"/>
    </xf>
    <xf numFmtId="0" fontId="102" fillId="0" borderId="48" xfId="0" applyFont="1" applyBorder="1" applyAlignment="1">
      <alignment horizontal="center"/>
    </xf>
    <xf numFmtId="0" fontId="102" fillId="0" borderId="0" xfId="0" applyFont="1" applyAlignment="1">
      <alignment horizontal="center"/>
    </xf>
    <xf numFmtId="0" fontId="102" fillId="0" borderId="49" xfId="0" applyFont="1" applyBorder="1" applyAlignment="1">
      <alignment horizontal="center"/>
    </xf>
    <xf numFmtId="0" fontId="69" fillId="0" borderId="68" xfId="11" applyFont="1" applyBorder="1" applyAlignment="1" applyProtection="1">
      <alignment horizontal="center" vertical="center"/>
    </xf>
    <xf numFmtId="0" fontId="69" fillId="0" borderId="69" xfId="11" applyFont="1" applyBorder="1" applyAlignment="1" applyProtection="1">
      <alignment horizontal="center" vertical="center"/>
    </xf>
    <xf numFmtId="0" fontId="69" fillId="0" borderId="70" xfId="11" applyFont="1" applyBorder="1" applyAlignment="1" applyProtection="1">
      <alignment horizontal="center" vertical="center"/>
    </xf>
    <xf numFmtId="0" fontId="69" fillId="0" borderId="48" xfId="11" applyFont="1" applyBorder="1" applyAlignment="1" applyProtection="1">
      <alignment horizontal="center" vertical="center"/>
    </xf>
    <xf numFmtId="0" fontId="69" fillId="0" borderId="0" xfId="11" applyFont="1" applyBorder="1" applyAlignment="1" applyProtection="1">
      <alignment horizontal="center" vertical="center"/>
    </xf>
    <xf numFmtId="0" fontId="69" fillId="0" borderId="49" xfId="11" applyFont="1" applyBorder="1" applyAlignment="1" applyProtection="1">
      <alignment horizontal="center" vertical="center"/>
    </xf>
    <xf numFmtId="0" fontId="29" fillId="5" borderId="68" xfId="0" applyFont="1" applyFill="1" applyBorder="1" applyAlignment="1">
      <alignment horizontal="center"/>
    </xf>
    <xf numFmtId="0" fontId="29" fillId="5" borderId="69" xfId="0" applyFont="1" applyFill="1" applyBorder="1" applyAlignment="1">
      <alignment horizontal="center"/>
    </xf>
    <xf numFmtId="0" fontId="9" fillId="0" borderId="66" xfId="0" applyFont="1" applyBorder="1" applyAlignment="1">
      <alignment horizontal="center" vertical="center"/>
    </xf>
    <xf numFmtId="0" fontId="9" fillId="0" borderId="73" xfId="0" applyFont="1" applyBorder="1" applyAlignment="1">
      <alignment horizontal="center" vertical="center"/>
    </xf>
    <xf numFmtId="0" fontId="29" fillId="5" borderId="70" xfId="0" applyFont="1" applyFill="1" applyBorder="1" applyAlignment="1">
      <alignment horizontal="center"/>
    </xf>
    <xf numFmtId="0" fontId="33" fillId="0" borderId="91" xfId="0" applyFont="1" applyBorder="1" applyAlignment="1">
      <alignment horizontal="center" vertical="center" wrapText="1"/>
    </xf>
    <xf numFmtId="0" fontId="33" fillId="0" borderId="197" xfId="0" applyFont="1" applyBorder="1" applyAlignment="1">
      <alignment horizontal="center" vertical="center" wrapText="1"/>
    </xf>
    <xf numFmtId="0" fontId="75" fillId="0" borderId="198" xfId="0" applyFont="1" applyBorder="1" applyAlignment="1">
      <alignment horizontal="center" vertical="center" wrapText="1"/>
    </xf>
    <xf numFmtId="0" fontId="33" fillId="0" borderId="198" xfId="0" applyFont="1" applyBorder="1" applyAlignment="1">
      <alignment horizontal="center" vertical="center" wrapText="1"/>
    </xf>
    <xf numFmtId="0" fontId="29" fillId="5" borderId="73" xfId="0" applyFont="1" applyFill="1" applyBorder="1" applyAlignment="1">
      <alignment horizontal="center"/>
    </xf>
    <xf numFmtId="0" fontId="29" fillId="5" borderId="74" xfId="0" applyFont="1" applyFill="1" applyBorder="1" applyAlignment="1">
      <alignment horizontal="center"/>
    </xf>
    <xf numFmtId="0" fontId="29" fillId="5" borderId="75" xfId="0" applyFont="1" applyFill="1" applyBorder="1" applyAlignment="1">
      <alignment horizontal="center"/>
    </xf>
    <xf numFmtId="0" fontId="13" fillId="14" borderId="73" xfId="0" applyFont="1" applyFill="1" applyBorder="1" applyAlignment="1">
      <alignment horizontal="center"/>
    </xf>
    <xf numFmtId="0" fontId="13" fillId="14" borderId="75" xfId="0" applyFont="1" applyFill="1" applyBorder="1" applyAlignment="1">
      <alignment horizontal="center"/>
    </xf>
    <xf numFmtId="0" fontId="29" fillId="5" borderId="48" xfId="0" applyFont="1" applyFill="1" applyBorder="1" applyAlignment="1">
      <alignment horizontal="center"/>
    </xf>
    <xf numFmtId="0" fontId="29" fillId="5" borderId="0" xfId="0" applyFont="1" applyFill="1" applyAlignment="1">
      <alignment horizontal="center"/>
    </xf>
    <xf numFmtId="0" fontId="29" fillId="5" borderId="49" xfId="0" applyFont="1" applyFill="1" applyBorder="1" applyAlignment="1">
      <alignment horizontal="center"/>
    </xf>
    <xf numFmtId="0" fontId="45" fillId="5" borderId="0" xfId="0" applyFont="1" applyFill="1" applyAlignment="1">
      <alignment horizontal="center"/>
    </xf>
    <xf numFmtId="0" fontId="29" fillId="18" borderId="48" xfId="0" applyFont="1" applyFill="1" applyBorder="1" applyAlignment="1">
      <alignment horizontal="center"/>
    </xf>
    <xf numFmtId="0" fontId="29" fillId="18" borderId="0" xfId="0" applyFont="1" applyFill="1" applyAlignment="1">
      <alignment horizontal="center"/>
    </xf>
    <xf numFmtId="0" fontId="45" fillId="5" borderId="68" xfId="0" applyFont="1" applyFill="1" applyBorder="1" applyAlignment="1">
      <alignment horizontal="center"/>
    </xf>
    <xf numFmtId="0" fontId="45" fillId="5" borderId="69" xfId="0" applyFont="1" applyFill="1" applyBorder="1" applyAlignment="1">
      <alignment horizontal="center"/>
    </xf>
    <xf numFmtId="0" fontId="45" fillId="5" borderId="74" xfId="0" applyFont="1" applyFill="1" applyBorder="1" applyAlignment="1">
      <alignment horizontal="center"/>
    </xf>
    <xf numFmtId="0" fontId="45" fillId="5" borderId="75" xfId="0" applyFont="1" applyFill="1" applyBorder="1" applyAlignment="1">
      <alignment horizontal="center"/>
    </xf>
    <xf numFmtId="0" fontId="13" fillId="14" borderId="74" xfId="0" applyFont="1" applyFill="1" applyBorder="1" applyAlignment="1">
      <alignment horizontal="center"/>
    </xf>
    <xf numFmtId="0" fontId="13" fillId="24" borderId="80" xfId="0" applyFont="1" applyFill="1" applyBorder="1" applyAlignment="1">
      <alignment horizontal="center"/>
    </xf>
    <xf numFmtId="0" fontId="13" fillId="24" borderId="81" xfId="0" applyFont="1" applyFill="1" applyBorder="1" applyAlignment="1">
      <alignment horizontal="center"/>
    </xf>
    <xf numFmtId="0" fontId="13" fillId="24" borderId="82" xfId="0" applyFont="1" applyFill="1" applyBorder="1" applyAlignment="1">
      <alignment horizontal="center"/>
    </xf>
    <xf numFmtId="0" fontId="13" fillId="0" borderId="232" xfId="0" applyFont="1" applyBorder="1" applyAlignment="1">
      <alignment vertical="center"/>
    </xf>
    <xf numFmtId="0" fontId="13" fillId="0" borderId="233" xfId="0" applyFont="1" applyBorder="1" applyAlignment="1">
      <alignment horizontal="center" vertical="center"/>
    </xf>
    <xf numFmtId="0" fontId="43" fillId="0" borderId="83" xfId="0" applyFont="1" applyBorder="1" applyAlignment="1">
      <alignment horizontal="center" vertical="center"/>
    </xf>
    <xf numFmtId="0" fontId="43" fillId="0" borderId="84" xfId="0" applyFont="1" applyBorder="1" applyAlignment="1">
      <alignment horizontal="center" vertical="center"/>
    </xf>
    <xf numFmtId="0" fontId="8" fillId="0" borderId="83" xfId="0" applyFont="1" applyBorder="1" applyAlignment="1">
      <alignment horizontal="center" vertical="center" wrapText="1"/>
    </xf>
    <xf numFmtId="0" fontId="8" fillId="0" borderId="85"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87" xfId="0" applyFont="1" applyBorder="1" applyAlignment="1">
      <alignment horizontal="center" wrapText="1"/>
    </xf>
    <xf numFmtId="0" fontId="8" fillId="0" borderId="86" xfId="0" applyFont="1" applyBorder="1" applyAlignment="1">
      <alignment horizontal="center" wrapText="1"/>
    </xf>
    <xf numFmtId="0" fontId="13" fillId="14" borderId="71" xfId="0" applyFont="1" applyFill="1" applyBorder="1" applyAlignment="1">
      <alignment horizontal="center"/>
    </xf>
    <xf numFmtId="0" fontId="13" fillId="14" borderId="76" xfId="0" applyFont="1" applyFill="1" applyBorder="1" applyAlignment="1">
      <alignment horizontal="center"/>
    </xf>
    <xf numFmtId="0" fontId="13" fillId="24" borderId="78" xfId="0" applyFont="1" applyFill="1" applyBorder="1" applyAlignment="1">
      <alignment horizontal="center"/>
    </xf>
    <xf numFmtId="0" fontId="13" fillId="24" borderId="79" xfId="0" applyFont="1" applyFill="1" applyBorder="1" applyAlignment="1">
      <alignment horizontal="center"/>
    </xf>
    <xf numFmtId="0" fontId="13" fillId="0" borderId="230" xfId="0" applyFont="1" applyBorder="1" applyAlignment="1">
      <alignment horizontal="left" vertical="center"/>
    </xf>
    <xf numFmtId="0" fontId="13" fillId="0" borderId="231" xfId="0" applyFont="1" applyBorder="1" applyAlignment="1">
      <alignment horizontal="left" vertical="center"/>
    </xf>
    <xf numFmtId="0" fontId="8" fillId="0" borderId="83" xfId="0" applyFont="1" applyBorder="1" applyAlignment="1">
      <alignment horizontal="center" wrapText="1"/>
    </xf>
    <xf numFmtId="0" fontId="8" fillId="0" borderId="85" xfId="0" applyFont="1" applyBorder="1" applyAlignment="1">
      <alignment horizontal="center" wrapText="1"/>
    </xf>
    <xf numFmtId="0" fontId="8" fillId="0" borderId="84" xfId="0" applyFont="1" applyBorder="1" applyAlignment="1">
      <alignment horizontal="center" wrapText="1"/>
    </xf>
    <xf numFmtId="0" fontId="13" fillId="0" borderId="230" xfId="0" applyFont="1" applyBorder="1" applyAlignment="1">
      <alignment vertical="center"/>
    </xf>
    <xf numFmtId="0" fontId="13" fillId="0" borderId="231" xfId="0" applyFont="1" applyBorder="1" applyAlignment="1">
      <alignment vertical="center"/>
    </xf>
    <xf numFmtId="0" fontId="29" fillId="5" borderId="73" xfId="0" applyFont="1" applyFill="1" applyBorder="1" applyAlignment="1">
      <alignment horizontal="center" vertical="center"/>
    </xf>
    <xf numFmtId="0" fontId="29" fillId="5" borderId="74" xfId="0" applyFont="1" applyFill="1" applyBorder="1" applyAlignment="1">
      <alignment horizontal="center" vertical="center"/>
    </xf>
    <xf numFmtId="0" fontId="29" fillId="5" borderId="75" xfId="0" applyFont="1" applyFill="1" applyBorder="1" applyAlignment="1">
      <alignment horizontal="center" vertical="center"/>
    </xf>
    <xf numFmtId="0" fontId="9" fillId="0" borderId="91" xfId="0" applyFont="1" applyBorder="1" applyAlignment="1">
      <alignment horizontal="center" vertical="center"/>
    </xf>
    <xf numFmtId="0" fontId="9" fillId="0" borderId="93" xfId="0" applyFont="1" applyBorder="1" applyAlignment="1">
      <alignment horizontal="center" vertical="center"/>
    </xf>
    <xf numFmtId="0" fontId="75" fillId="0" borderId="199" xfId="0" applyFont="1" applyBorder="1" applyAlignment="1">
      <alignment horizontal="center" vertical="center" wrapText="1"/>
    </xf>
    <xf numFmtId="0" fontId="75" fillId="0" borderId="93" xfId="0" applyFont="1" applyBorder="1" applyAlignment="1">
      <alignment horizontal="center" vertical="center" wrapText="1"/>
    </xf>
    <xf numFmtId="9" fontId="13" fillId="0" borderId="83" xfId="16" applyFont="1" applyFill="1" applyBorder="1" applyAlignment="1">
      <alignment horizontal="center"/>
    </xf>
    <xf numFmtId="9" fontId="13" fillId="0" borderId="85" xfId="16" applyFont="1" applyFill="1" applyBorder="1" applyAlignment="1">
      <alignment horizontal="center"/>
    </xf>
    <xf numFmtId="9" fontId="13" fillId="0" borderId="84" xfId="16" applyFont="1" applyFill="1" applyBorder="1" applyAlignment="1">
      <alignment horizontal="center"/>
    </xf>
    <xf numFmtId="0" fontId="13" fillId="0" borderId="83" xfId="0" applyFont="1" applyBorder="1" applyAlignment="1">
      <alignment horizontal="center"/>
    </xf>
    <xf numFmtId="0" fontId="13" fillId="0" borderId="85" xfId="0" applyFont="1" applyBorder="1" applyAlignment="1">
      <alignment horizontal="center"/>
    </xf>
    <xf numFmtId="0" fontId="13" fillId="0" borderId="84" xfId="0" applyFont="1" applyBorder="1" applyAlignment="1">
      <alignment horizontal="center"/>
    </xf>
    <xf numFmtId="0" fontId="76" fillId="0" borderId="68" xfId="0" applyFont="1" applyBorder="1" applyAlignment="1">
      <alignment horizontal="center"/>
    </xf>
    <xf numFmtId="0" fontId="76" fillId="0" borderId="69" xfId="0" applyFont="1" applyBorder="1" applyAlignment="1">
      <alignment horizontal="center"/>
    </xf>
    <xf numFmtId="0" fontId="76" fillId="0" borderId="70" xfId="0" applyFont="1" applyBorder="1" applyAlignment="1">
      <alignment horizontal="center"/>
    </xf>
    <xf numFmtId="0" fontId="76" fillId="0" borderId="48" xfId="0" applyFont="1" applyBorder="1" applyAlignment="1">
      <alignment horizontal="center"/>
    </xf>
    <xf numFmtId="0" fontId="76" fillId="0" borderId="0" xfId="0" applyFont="1" applyAlignment="1">
      <alignment horizontal="center"/>
    </xf>
    <xf numFmtId="0" fontId="76" fillId="0" borderId="49" xfId="0" applyFont="1" applyBorder="1" applyAlignment="1">
      <alignment horizontal="center"/>
    </xf>
    <xf numFmtId="0" fontId="0" fillId="0" borderId="48" xfId="0" applyBorder="1" applyAlignment="1">
      <alignment horizontal="center" vertical="center" wrapText="1"/>
    </xf>
    <xf numFmtId="0" fontId="0" fillId="0" borderId="0" xfId="0" applyAlignment="1">
      <alignment horizontal="center" vertical="center" wrapText="1"/>
    </xf>
    <xf numFmtId="0" fontId="0" fillId="0" borderId="49" xfId="0" applyBorder="1" applyAlignment="1">
      <alignment horizontal="center" vertical="center" wrapText="1"/>
    </xf>
    <xf numFmtId="10" fontId="13" fillId="0" borderId="83" xfId="16" applyNumberFormat="1" applyFont="1" applyBorder="1" applyAlignment="1">
      <alignment horizontal="center"/>
    </xf>
    <xf numFmtId="10" fontId="13" fillId="0" borderId="85" xfId="16" applyNumberFormat="1" applyFont="1" applyBorder="1" applyAlignment="1">
      <alignment horizontal="center"/>
    </xf>
    <xf numFmtId="10" fontId="13" fillId="0" borderId="84" xfId="16" applyNumberFormat="1" applyFont="1" applyBorder="1" applyAlignment="1">
      <alignment horizontal="center"/>
    </xf>
    <xf numFmtId="0" fontId="0" fillId="0" borderId="0" xfId="0" applyAlignment="1">
      <alignment horizontal="center" vertical="center"/>
    </xf>
    <xf numFmtId="0" fontId="65" fillId="0" borderId="112" xfId="0" applyFont="1" applyBorder="1" applyAlignment="1">
      <alignment horizontal="center" vertical="center" wrapText="1"/>
    </xf>
    <xf numFmtId="0" fontId="22" fillId="0" borderId="113" xfId="0" applyFont="1" applyBorder="1" applyAlignment="1">
      <alignment horizontal="center" vertical="center" wrapText="1"/>
    </xf>
    <xf numFmtId="0" fontId="22" fillId="0" borderId="114" xfId="0" applyFont="1" applyBorder="1" applyAlignment="1">
      <alignment horizontal="center" vertical="center" wrapText="1"/>
    </xf>
    <xf numFmtId="0" fontId="49" fillId="5" borderId="65" xfId="0" applyFont="1" applyFill="1" applyBorder="1" applyAlignment="1">
      <alignment horizontal="center"/>
    </xf>
    <xf numFmtId="0" fontId="15" fillId="18" borderId="115" xfId="1" applyFill="1" applyBorder="1" applyAlignment="1">
      <alignment horizontal="center" vertical="center" readingOrder="1"/>
    </xf>
    <xf numFmtId="0" fontId="52" fillId="18" borderId="116" xfId="26" applyFont="1" applyFill="1" applyBorder="1" applyAlignment="1">
      <alignment horizontal="center"/>
    </xf>
    <xf numFmtId="0" fontId="52" fillId="18" borderId="117" xfId="26" applyFont="1" applyFill="1" applyBorder="1" applyAlignment="1">
      <alignment horizontal="center"/>
    </xf>
    <xf numFmtId="0" fontId="52" fillId="18" borderId="118" xfId="26" applyFont="1" applyFill="1" applyBorder="1" applyAlignment="1">
      <alignment horizontal="center"/>
    </xf>
    <xf numFmtId="0" fontId="70" fillId="7" borderId="42" xfId="26" applyFont="1" applyFill="1" applyBorder="1" applyAlignment="1">
      <alignment horizontal="center"/>
    </xf>
    <xf numFmtId="0" fontId="70" fillId="7" borderId="1" xfId="26" applyFont="1" applyFill="1" applyBorder="1" applyAlignment="1">
      <alignment horizontal="center"/>
    </xf>
    <xf numFmtId="0" fontId="70" fillId="7" borderId="43" xfId="26" applyFont="1" applyFill="1" applyBorder="1" applyAlignment="1">
      <alignment horizontal="center"/>
    </xf>
    <xf numFmtId="0" fontId="8" fillId="39" borderId="144" xfId="0" applyFont="1" applyFill="1" applyBorder="1" applyAlignment="1">
      <alignment horizontal="center"/>
    </xf>
    <xf numFmtId="0" fontId="8" fillId="39" borderId="127" xfId="0" applyFont="1" applyFill="1" applyBorder="1" applyAlignment="1">
      <alignment horizontal="center"/>
    </xf>
    <xf numFmtId="0" fontId="8" fillId="39" borderId="0" xfId="0" applyFont="1" applyFill="1" applyAlignment="1">
      <alignment horizontal="center"/>
    </xf>
    <xf numFmtId="0" fontId="8" fillId="39" borderId="145" xfId="0" applyFont="1" applyFill="1" applyBorder="1" applyAlignment="1">
      <alignment horizontal="center"/>
    </xf>
    <xf numFmtId="0" fontId="8" fillId="39" borderId="184" xfId="0" applyFont="1" applyFill="1" applyBorder="1" applyAlignment="1">
      <alignment horizontal="center"/>
    </xf>
    <xf numFmtId="0" fontId="63" fillId="0" borderId="3" xfId="29" applyFont="1" applyBorder="1" applyAlignment="1">
      <alignment horizontal="center" vertical="center"/>
    </xf>
    <xf numFmtId="0" fontId="63" fillId="0" borderId="2" xfId="29" applyFont="1" applyBorder="1" applyAlignment="1">
      <alignment horizontal="center" vertical="center"/>
    </xf>
    <xf numFmtId="0" fontId="54" fillId="36" borderId="0" xfId="0" applyFont="1" applyFill="1" applyAlignment="1">
      <alignment horizontal="left" vertical="center"/>
    </xf>
    <xf numFmtId="0" fontId="54" fillId="36" borderId="145" xfId="0" applyFont="1" applyFill="1" applyBorder="1" applyAlignment="1">
      <alignment horizontal="left" vertical="center"/>
    </xf>
    <xf numFmtId="0" fontId="55" fillId="0" borderId="3" xfId="0" applyFont="1" applyBorder="1" applyAlignment="1">
      <alignment horizontal="center" vertical="center"/>
    </xf>
    <xf numFmtId="0" fontId="55" fillId="0" borderId="4" xfId="0" applyFont="1" applyBorder="1" applyAlignment="1">
      <alignment horizontal="center" vertical="center"/>
    </xf>
    <xf numFmtId="0" fontId="55" fillId="0" borderId="2" xfId="0" applyFont="1" applyBorder="1" applyAlignment="1">
      <alignment horizontal="center" vertical="center"/>
    </xf>
    <xf numFmtId="0" fontId="55" fillId="0" borderId="129" xfId="0" applyFont="1" applyBorder="1" applyAlignment="1">
      <alignment horizontal="center" vertical="center" wrapText="1"/>
    </xf>
    <xf numFmtId="0" fontId="55" fillId="0" borderId="130" xfId="0" applyFont="1" applyBorder="1" applyAlignment="1">
      <alignment horizontal="center" vertical="center" wrapText="1"/>
    </xf>
    <xf numFmtId="0" fontId="55" fillId="0" borderId="133" xfId="0" applyFont="1" applyBorder="1" applyAlignment="1">
      <alignment horizontal="center" vertical="center" wrapText="1"/>
    </xf>
    <xf numFmtId="0" fontId="60" fillId="28" borderId="132" xfId="0" applyFont="1" applyFill="1" applyBorder="1" applyAlignment="1">
      <alignment horizontal="center"/>
    </xf>
    <xf numFmtId="0" fontId="60" fillId="28" borderId="0" xfId="0" applyFont="1" applyFill="1" applyAlignment="1">
      <alignment horizontal="center"/>
    </xf>
    <xf numFmtId="0" fontId="60" fillId="28" borderId="128" xfId="0" applyFont="1" applyFill="1" applyBorder="1" applyAlignment="1">
      <alignment horizontal="center"/>
    </xf>
    <xf numFmtId="0" fontId="53" fillId="12" borderId="132" xfId="0" applyFont="1" applyFill="1" applyBorder="1" applyAlignment="1">
      <alignment horizontal="center"/>
    </xf>
    <xf numFmtId="0" fontId="53" fillId="12" borderId="127" xfId="0" applyFont="1" applyFill="1" applyBorder="1" applyAlignment="1">
      <alignment horizontal="center"/>
    </xf>
    <xf numFmtId="0" fontId="53" fillId="12" borderId="0" xfId="0" applyFont="1" applyFill="1" applyAlignment="1">
      <alignment horizontal="center"/>
    </xf>
    <xf numFmtId="0" fontId="53" fillId="12" borderId="128" xfId="0" applyFont="1" applyFill="1" applyBorder="1" applyAlignment="1">
      <alignment horizontal="center"/>
    </xf>
    <xf numFmtId="0" fontId="53" fillId="39" borderId="132" xfId="0" applyFont="1" applyFill="1" applyBorder="1" applyAlignment="1">
      <alignment horizontal="center"/>
    </xf>
    <xf numFmtId="0" fontId="53" fillId="39" borderId="127" xfId="0" applyFont="1" applyFill="1" applyBorder="1" applyAlignment="1">
      <alignment horizontal="center"/>
    </xf>
    <xf numFmtId="0" fontId="53" fillId="39" borderId="145" xfId="0" applyFont="1" applyFill="1" applyBorder="1" applyAlignment="1">
      <alignment horizontal="center"/>
    </xf>
    <xf numFmtId="0" fontId="53" fillId="39" borderId="155" xfId="0" applyFont="1" applyFill="1" applyBorder="1" applyAlignment="1">
      <alignment horizontal="center"/>
    </xf>
    <xf numFmtId="0" fontId="55" fillId="0" borderId="129" xfId="0" applyFont="1" applyBorder="1" applyAlignment="1">
      <alignment horizontal="center" vertical="center"/>
    </xf>
    <xf numFmtId="0" fontId="55" fillId="0" borderId="133" xfId="0" applyFont="1" applyBorder="1" applyAlignment="1">
      <alignment horizontal="center" vertical="center"/>
    </xf>
    <xf numFmtId="0" fontId="55" fillId="0" borderId="130" xfId="0" applyFont="1" applyBorder="1" applyAlignment="1">
      <alignment horizontal="center" vertical="center"/>
    </xf>
    <xf numFmtId="0" fontId="55" fillId="0" borderId="172" xfId="0" applyFont="1" applyBorder="1" applyAlignment="1">
      <alignment horizontal="center" vertical="center"/>
    </xf>
    <xf numFmtId="0" fontId="55" fillId="0" borderId="173" xfId="0" applyFont="1" applyBorder="1" applyAlignment="1">
      <alignment horizontal="center" vertical="center"/>
    </xf>
    <xf numFmtId="0" fontId="13" fillId="0" borderId="228" xfId="0" applyFont="1" applyBorder="1" applyAlignment="1">
      <alignment horizontal="center" vertical="center"/>
    </xf>
    <xf numFmtId="0" fontId="13" fillId="0" borderId="229" xfId="0" applyFont="1" applyBorder="1" applyAlignment="1">
      <alignment horizontal="center" vertical="center"/>
    </xf>
    <xf numFmtId="0" fontId="42" fillId="0" borderId="0" xfId="0" applyFont="1" applyAlignment="1">
      <alignment horizontal="center"/>
    </xf>
    <xf numFmtId="0" fontId="9" fillId="0" borderId="0" xfId="0" applyFont="1" applyAlignment="1">
      <alignment horizontal="center"/>
    </xf>
    <xf numFmtId="0" fontId="37" fillId="0" borderId="0" xfId="0" applyFont="1" applyAlignment="1">
      <alignment horizontal="center"/>
    </xf>
    <xf numFmtId="0" fontId="33" fillId="0" borderId="0" xfId="0" applyFont="1" applyAlignment="1">
      <alignment horizontal="center"/>
    </xf>
    <xf numFmtId="0" fontId="22" fillId="0" borderId="0" xfId="0" applyFont="1" applyAlignment="1">
      <alignment horizontal="center"/>
    </xf>
    <xf numFmtId="0" fontId="33" fillId="19" borderId="0" xfId="0" applyFont="1" applyFill="1" applyAlignment="1">
      <alignment horizontal="center"/>
    </xf>
    <xf numFmtId="4" fontId="33" fillId="19" borderId="0" xfId="0" applyNumberFormat="1" applyFont="1" applyFill="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34" xfId="0" applyFont="1" applyBorder="1" applyAlignment="1">
      <alignment horizontal="center"/>
    </xf>
    <xf numFmtId="0" fontId="13" fillId="0" borderId="5" xfId="0" applyFont="1" applyBorder="1" applyAlignment="1">
      <alignment horizontal="center"/>
    </xf>
    <xf numFmtId="0" fontId="13" fillId="0" borderId="35" xfId="0" applyFont="1" applyBorder="1" applyAlignment="1">
      <alignment horizontal="center"/>
    </xf>
    <xf numFmtId="0" fontId="77" fillId="0" borderId="0" xfId="0" applyFont="1" applyAlignment="1"/>
  </cellXfs>
  <cellStyles count="98">
    <cellStyle name="20% - Cor1" xfId="51" builtinId="30" customBuiltin="1"/>
    <cellStyle name="20% - Cor1 2" xfId="76" xr:uid="{89E5E938-C871-4379-A21B-83EDD9CFEB85}"/>
    <cellStyle name="20% - Cor2" xfId="55" builtinId="34" customBuiltin="1"/>
    <cellStyle name="20% - Cor2 2" xfId="77" xr:uid="{F699AD5C-BD23-47D0-9BC9-893724801AF8}"/>
    <cellStyle name="20% - Cor3" xfId="59" builtinId="38" customBuiltin="1"/>
    <cellStyle name="20% - Cor3 2" xfId="78" xr:uid="{694469E2-E9F3-4BAC-9E23-6AA89F940987}"/>
    <cellStyle name="20% - Cor4" xfId="63" builtinId="42" customBuiltin="1"/>
    <cellStyle name="20% - Cor4 2" xfId="79" xr:uid="{68DEB6DC-BFF0-4773-8D63-7AE015C9799D}"/>
    <cellStyle name="20% - Cor5" xfId="67" builtinId="46" customBuiltin="1"/>
    <cellStyle name="20% - Cor5 2" xfId="80" xr:uid="{071C6B53-D549-44CE-BEAB-4493F0AC69DA}"/>
    <cellStyle name="20% - Cor6" xfId="71" builtinId="50" customBuiltin="1"/>
    <cellStyle name="20% - Cor6 2" xfId="81" xr:uid="{92D1B3B1-2B0F-469A-BC5F-9EEDE35131B2}"/>
    <cellStyle name="40% - Cor1" xfId="52" builtinId="31" customBuiltin="1"/>
    <cellStyle name="40% - Cor1 2" xfId="82" xr:uid="{40A1F6DD-9103-42B1-AE9E-4910E918DE1F}"/>
    <cellStyle name="40% - Cor2" xfId="56" builtinId="35" customBuiltin="1"/>
    <cellStyle name="40% - Cor2 2" xfId="83" xr:uid="{FA9EB445-B095-4CAF-A88A-8557B49FBD06}"/>
    <cellStyle name="40% - Cor3" xfId="60" builtinId="39" customBuiltin="1"/>
    <cellStyle name="40% - Cor3 2" xfId="84" xr:uid="{F81C8411-02F6-4D48-AC97-7F5F0095EB8B}"/>
    <cellStyle name="40% - Cor4" xfId="64" builtinId="43" customBuiltin="1"/>
    <cellStyle name="40% - Cor4 2" xfId="85" xr:uid="{02A43AA5-AF38-4FED-91A0-AC8F69D1334A}"/>
    <cellStyle name="40% - Cor5" xfId="68" builtinId="47" customBuiltin="1"/>
    <cellStyle name="40% - Cor5 2" xfId="86" xr:uid="{B298BD98-7E6E-48CB-ACC6-F6906D9FEC4E}"/>
    <cellStyle name="40% - Cor6" xfId="72" builtinId="51" customBuiltin="1"/>
    <cellStyle name="40% - Cor6 2" xfId="87" xr:uid="{875A6653-7C42-45BF-851C-DD13EBBACA71}"/>
    <cellStyle name="60% - Cor1" xfId="53" builtinId="32" customBuiltin="1"/>
    <cellStyle name="60% - Cor1 2" xfId="88" xr:uid="{9B3C711A-1A8D-40DD-89A5-C74F4F5857F8}"/>
    <cellStyle name="60% - Cor2" xfId="57" builtinId="36" customBuiltin="1"/>
    <cellStyle name="60% - Cor2 2" xfId="89" xr:uid="{967285DF-B701-43FF-AF10-A2378887D0B7}"/>
    <cellStyle name="60% - Cor3" xfId="61" builtinId="40" customBuiltin="1"/>
    <cellStyle name="60% - Cor3 2" xfId="90" xr:uid="{09E5A50D-C78E-4B03-986F-D79D723F1EF8}"/>
    <cellStyle name="60% - Cor4" xfId="65" builtinId="44" customBuiltin="1"/>
    <cellStyle name="60% - Cor4 2" xfId="91" xr:uid="{F9659AAF-B17F-4293-9AB2-4F8392E43298}"/>
    <cellStyle name="60% - Cor5" xfId="69" builtinId="48" customBuiltin="1"/>
    <cellStyle name="60% - Cor5 2" xfId="92" xr:uid="{9C54E444-8490-4F87-8010-6B3E5264E11C}"/>
    <cellStyle name="60% - Cor6" xfId="73" builtinId="52" customBuiltin="1"/>
    <cellStyle name="60% - Cor6 2" xfId="93" xr:uid="{3E1A26AA-955C-459F-861A-B99A7C2D1014}"/>
    <cellStyle name="blp_title_header_row_left" xfId="1" xr:uid="{00000000-0005-0000-0000-000000000000}"/>
    <cellStyle name="Cabeçalho 1" xfId="35" builtinId="16" customBuiltin="1"/>
    <cellStyle name="Cabeçalho 2" xfId="36" builtinId="17" customBuiltin="1"/>
    <cellStyle name="Cabeçalho 3" xfId="37" builtinId="18" customBuiltin="1"/>
    <cellStyle name="Cabeçalho 4" xfId="38" builtinId="19" customBuiltin="1"/>
    <cellStyle name="Cálculo" xfId="44" builtinId="22" customBuiltin="1"/>
    <cellStyle name="Célula Ligada" xfId="45" builtinId="24" customBuiltin="1"/>
    <cellStyle name="Cor1" xfId="50" builtinId="29" customBuiltin="1"/>
    <cellStyle name="Cor2" xfId="54" builtinId="33" customBuiltin="1"/>
    <cellStyle name="Cor3" xfId="58" builtinId="37" customBuiltin="1"/>
    <cellStyle name="Cor4" xfId="62" builtinId="41" customBuiltin="1"/>
    <cellStyle name="Cor5" xfId="66" builtinId="45" customBuiltin="1"/>
    <cellStyle name="Cor6" xfId="70" builtinId="49" customBuiltin="1"/>
    <cellStyle name="Correto" xfId="39" builtinId="26" customBuiltin="1"/>
    <cellStyle name="Entrada" xfId="42" builtinId="20" customBuiltin="1"/>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Hiperligação" xfId="11" builtinId="8"/>
    <cellStyle name="Incorreto" xfId="40" builtinId="27" customBuiltin="1"/>
    <cellStyle name="Moneda 2" xfId="12" xr:uid="{00000000-0005-0000-0000-00000B000000}"/>
    <cellStyle name="Moneda 2 2" xfId="13" xr:uid="{00000000-0005-0000-0000-00000C000000}"/>
    <cellStyle name="Neutro" xfId="41" builtinId="28" customBuiltin="1"/>
    <cellStyle name="Normal" xfId="0" builtinId="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3 2 2" xfId="96" xr:uid="{5EEBAE73-4B7E-4F4C-8D82-58C79449BE01}"/>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4" xfId="33" xr:uid="{84AB8D53-5F74-4013-A9AC-1D6A8EFC3A0B}"/>
    <cellStyle name="Normal 5" xfId="30" xr:uid="{E3BE1569-E214-4855-8BF5-B868B88B5743}"/>
    <cellStyle name="Normal 6" xfId="74" xr:uid="{E5D4A4D2-6880-4FBD-8170-5A79E2784ABC}"/>
    <cellStyle name="Normal 7" xfId="94" xr:uid="{E0696739-5256-4A21-A614-0D3553B63441}"/>
    <cellStyle name="Nota 2" xfId="75" xr:uid="{5BF72EA8-80C0-41D9-A1D9-9C1692884D36}"/>
    <cellStyle name="Nota 3" xfId="95" xr:uid="{D1F9CB6C-DF09-4C73-B040-CD3D3E1E8887}"/>
    <cellStyle name="Percentagem" xfId="16" builtinId="5"/>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2 4 2" xfId="97" xr:uid="{39947DA4-4FE1-46B4-99F6-AE26913BF444}"/>
    <cellStyle name="Porcentaje 3" xfId="19" xr:uid="{00000000-0005-0000-0000-000014000000}"/>
    <cellStyle name="Porcentaje 3 2" xfId="22" xr:uid="{59E732CE-B697-4AF7-8CEE-0C42EB60E78B}"/>
    <cellStyle name="Porcentaje 4 2" xfId="32" xr:uid="{C6A0E8B8-33DC-4334-89A4-99FF669E5EA8}"/>
    <cellStyle name="Porcentaje 5" xfId="31" xr:uid="{F07CEC0B-CE59-4BBC-A0C7-9B77A84167BF}"/>
    <cellStyle name="Saída" xfId="43" builtinId="21" customBuiltin="1"/>
    <cellStyle name="Texto de Aviso" xfId="47" builtinId="11" customBuiltin="1"/>
    <cellStyle name="Texto Explicativo" xfId="48" builtinId="53" customBuiltin="1"/>
    <cellStyle name="Título" xfId="34" builtinId="15" customBuiltin="1"/>
    <cellStyle name="Total" xfId="49" builtinId="25" customBuiltin="1"/>
    <cellStyle name="Verificar Célula" xfId="46" builtinId="23" customBuiltin="1"/>
  </cellStyles>
  <dxfs count="37">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0" defaultTableStyle="TableStyleMedium9" defaultPivotStyle="PivotStyleLight16"/>
  <colors>
    <mruColors>
      <color rgb="FF1B7087"/>
      <color rgb="FF1F497D"/>
      <color rgb="FFC5D9F1"/>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06/relationships/rdRichValue" Target="richData/rdrichvalue.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5-4C49-84C7-5728DDC218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Segments!$C$18:$C$21</c:f>
              <c:strCache>
                <c:ptCount val="4"/>
                <c:pt idx="0">
                  <c:v>Air Conditioning</c:v>
                </c:pt>
                <c:pt idx="1">
                  <c:v>Chemicals</c:v>
                </c:pt>
                <c:pt idx="2">
                  <c:v>Others</c:v>
                </c:pt>
                <c:pt idx="3">
                  <c:v>Eliminations and Corporate</c:v>
                </c:pt>
              </c:strCache>
            </c:strRef>
          </c:cat>
          <c:val>
            <c:numRef>
              <c:f>Segments!$D$18:$D$21</c:f>
              <c:numCache>
                <c:formatCode>[$¥-411]#,##0</c:formatCode>
                <c:ptCount val="4"/>
                <c:pt idx="0">
                  <c:v>3631918</c:v>
                </c:pt>
                <c:pt idx="1">
                  <c:v>284944</c:v>
                </c:pt>
                <c:pt idx="2">
                  <c:v>89996</c:v>
                </c:pt>
                <c:pt idx="3">
                  <c:v>-25290</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B2-45D1-91CA-A0BC9D9CF8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B2-45D1-91CA-A0BC9D9CF8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AE6-470C-8D9A-C9C5BC9886D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AE6-470C-8D9A-C9C5BC9886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Segments!$C$5:$C$12</c:f>
              <c:strCache>
                <c:ptCount val="6"/>
                <c:pt idx="0">
                  <c:v>Japan</c:v>
                </c:pt>
                <c:pt idx="1">
                  <c:v>U.S.</c:v>
                </c:pt>
                <c:pt idx="2">
                  <c:v>Europe</c:v>
                </c:pt>
                <c:pt idx="3">
                  <c:v>Asian and Oceania</c:v>
                </c:pt>
                <c:pt idx="4">
                  <c:v>China</c:v>
                </c:pt>
                <c:pt idx="5">
                  <c:v>Other</c:v>
                </c:pt>
              </c:strCache>
            </c:strRef>
          </c:cat>
          <c:val>
            <c:numRef>
              <c:f>Segments!$D$5:$D$12</c:f>
              <c:numCache>
                <c:formatCode>[$¥-411]#,##0</c:formatCode>
                <c:ptCount val="6"/>
                <c:pt idx="0">
                  <c:v>684129</c:v>
                </c:pt>
                <c:pt idx="1">
                  <c:v>1275018</c:v>
                </c:pt>
                <c:pt idx="2">
                  <c:v>708751</c:v>
                </c:pt>
                <c:pt idx="3">
                  <c:v>580398</c:v>
                </c:pt>
                <c:pt idx="4">
                  <c:v>488536</c:v>
                </c:pt>
                <c:pt idx="5">
                  <c:v>244744</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896942099105081"/>
          <c:y val="4.8257089814992646E-2"/>
          <c:w val="0.20693419346678052"/>
          <c:h val="0.897567121183022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sz="1400" b="0" i="0" u="none" strike="noStrike" kern="1200" spc="0" baseline="0">
                <a:solidFill>
                  <a:sysClr val="windowText" lastClr="000000">
                    <a:lumMod val="65000"/>
                    <a:lumOff val="35000"/>
                  </a:sysClr>
                </a:solidFill>
              </a:rPr>
              <a:t>Net Sales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1248296005619"/>
          <c:y val="0.15386443993731902"/>
          <c:w val="0.54335323164594429"/>
          <c:h val="0.76269581614234139"/>
        </c:manualLayout>
      </c:layout>
      <c:lineChart>
        <c:grouping val="standard"/>
        <c:varyColors val="0"/>
        <c:ser>
          <c:idx val="0"/>
          <c:order val="0"/>
          <c:tx>
            <c:strRef>
              <c:f>ESG!$L$46</c:f>
              <c:strCache>
                <c:ptCount val="1"/>
                <c:pt idx="0">
                  <c:v>Daikin Industries,Ltd. (6367.T)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ESG!$M$45:$O$45</c:f>
              <c:strCache>
                <c:ptCount val="3"/>
                <c:pt idx="0">
                  <c:v>2021 FY</c:v>
                </c:pt>
                <c:pt idx="1">
                  <c:v>2020 FY</c:v>
                </c:pt>
                <c:pt idx="2">
                  <c:v>2019 FY</c:v>
                </c:pt>
              </c:strCache>
            </c:strRef>
          </c:cat>
          <c:val>
            <c:numRef>
              <c:f>ESG!$M$46:$O$46</c:f>
              <c:numCache>
                <c:formatCode>_-[$¥-411]* #,##0_-;\-[$¥-411]* #,##0_-;_-[$¥-411]* "-"??_-;_-@_-</c:formatCode>
                <c:ptCount val="3"/>
                <c:pt idx="0">
                  <c:v>3109106</c:v>
                </c:pt>
                <c:pt idx="1">
                  <c:v>2493386</c:v>
                </c:pt>
                <c:pt idx="2">
                  <c:v>2550305</c:v>
                </c:pt>
              </c:numCache>
            </c:numRef>
          </c:val>
          <c:smooth val="0"/>
          <c:extLst>
            <c:ext xmlns:c16="http://schemas.microsoft.com/office/drawing/2014/chart" uri="{C3380CC4-5D6E-409C-BE32-E72D297353CC}">
              <c16:uniqueId val="{00000000-43D3-4804-9BC8-4427628DCC59}"/>
            </c:ext>
          </c:extLst>
        </c:ser>
        <c:ser>
          <c:idx val="1"/>
          <c:order val="1"/>
          <c:tx>
            <c:strRef>
              <c:f>ESG!$L$47</c:f>
              <c:strCache>
                <c:ptCount val="1"/>
                <c:pt idx="0">
                  <c:v>JOHNSON CONTROLS INTERNATIONAL PLC (XNYS:JCI)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ESG!$M$45:$O$45</c:f>
              <c:strCache>
                <c:ptCount val="3"/>
                <c:pt idx="0">
                  <c:v>2021 FY</c:v>
                </c:pt>
                <c:pt idx="1">
                  <c:v>2020 FY</c:v>
                </c:pt>
                <c:pt idx="2">
                  <c:v>2019 FY</c:v>
                </c:pt>
              </c:strCache>
            </c:strRef>
          </c:cat>
          <c:val>
            <c:numRef>
              <c:f>ESG!$M$47:$O$47</c:f>
              <c:numCache>
                <c:formatCode>_-[$¥-411]* #,##0_-;\-[$¥-411]* #,##0_-;_-[$¥-411]* "-"??_-;_-@_-</c:formatCode>
                <c:ptCount val="3"/>
                <c:pt idx="0">
                  <c:v>3345708.4800000004</c:v>
                </c:pt>
                <c:pt idx="1">
                  <c:v>3154731.12</c:v>
                </c:pt>
                <c:pt idx="2">
                  <c:v>3388116.4800000004</c:v>
                </c:pt>
              </c:numCache>
            </c:numRef>
          </c:val>
          <c:smooth val="0"/>
          <c:extLst>
            <c:ext xmlns:c16="http://schemas.microsoft.com/office/drawing/2014/chart" uri="{C3380CC4-5D6E-409C-BE32-E72D297353CC}">
              <c16:uniqueId val="{00000001-43D3-4804-9BC8-4427628DCC59}"/>
            </c:ext>
          </c:extLst>
        </c:ser>
        <c:ser>
          <c:idx val="2"/>
          <c:order val="2"/>
          <c:tx>
            <c:strRef>
              <c:f>ESG!$L$48</c:f>
              <c:strCache>
                <c:ptCount val="1"/>
                <c:pt idx="0">
                  <c:v>CARRIER GLOBAL CORPORATION (XNYS:CARR)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ESG!$M$45:$O$45</c:f>
              <c:strCache>
                <c:ptCount val="3"/>
                <c:pt idx="0">
                  <c:v>2021 FY</c:v>
                </c:pt>
                <c:pt idx="1">
                  <c:v>2020 FY</c:v>
                </c:pt>
                <c:pt idx="2">
                  <c:v>2019 FY</c:v>
                </c:pt>
              </c:strCache>
            </c:strRef>
          </c:cat>
          <c:val>
            <c:numRef>
              <c:f>ESG!$M$48:$O$48</c:f>
              <c:numCache>
                <c:formatCode>_-[$¥-411]* #,##0_-;\-[$¥-411]* #,##0_-;_-[$¥-411]* "-"??_-;_-@_-</c:formatCode>
                <c:ptCount val="3"/>
                <c:pt idx="0">
                  <c:v>2913853.68</c:v>
                </c:pt>
                <c:pt idx="1">
                  <c:v>2467580.16</c:v>
                </c:pt>
                <c:pt idx="2">
                  <c:v>2630426.8800000004</c:v>
                </c:pt>
              </c:numCache>
            </c:numRef>
          </c:val>
          <c:smooth val="0"/>
          <c:extLst>
            <c:ext xmlns:c16="http://schemas.microsoft.com/office/drawing/2014/chart" uri="{C3380CC4-5D6E-409C-BE32-E72D297353CC}">
              <c16:uniqueId val="{00000002-43D3-4804-9BC8-4427628DCC59}"/>
            </c:ext>
          </c:extLst>
        </c:ser>
        <c:ser>
          <c:idx val="3"/>
          <c:order val="3"/>
          <c:tx>
            <c:strRef>
              <c:f>ESG!$L$49</c:f>
              <c:strCache>
                <c:ptCount val="1"/>
                <c:pt idx="0">
                  <c:v>Trane Technologies plc (XNYS:TT)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ESG!$M$45:$O$45</c:f>
              <c:strCache>
                <c:ptCount val="3"/>
                <c:pt idx="0">
                  <c:v>2021 FY</c:v>
                </c:pt>
                <c:pt idx="1">
                  <c:v>2020 FY</c:v>
                </c:pt>
                <c:pt idx="2">
                  <c:v>2019 FY</c:v>
                </c:pt>
              </c:strCache>
            </c:strRef>
          </c:cat>
          <c:val>
            <c:numRef>
              <c:f>ESG!$M$49:$O$49</c:f>
              <c:numCache>
                <c:formatCode>_-[$¥-411]* #,##0_-;\-[$¥-411]* #,##0_-;_-[$¥-411]* "-"??_-;_-@_-</c:formatCode>
                <c:ptCount val="3"/>
                <c:pt idx="0">
                  <c:v>1998264.9600000002</c:v>
                </c:pt>
                <c:pt idx="1">
                  <c:v>1760497.4400000002</c:v>
                </c:pt>
                <c:pt idx="2">
                  <c:v>2346293.2800000003</c:v>
                </c:pt>
              </c:numCache>
            </c:numRef>
          </c:val>
          <c:smooth val="0"/>
          <c:extLst>
            <c:ext xmlns:c16="http://schemas.microsoft.com/office/drawing/2014/chart" uri="{C3380CC4-5D6E-409C-BE32-E72D297353CC}">
              <c16:uniqueId val="{00000003-43D3-4804-9BC8-4427628DCC59}"/>
            </c:ext>
          </c:extLst>
        </c:ser>
        <c:ser>
          <c:idx val="4"/>
          <c:order val="4"/>
          <c:tx>
            <c:strRef>
              <c:f>ESG!$L$50</c:f>
              <c:strCache>
                <c:ptCount val="1"/>
                <c:pt idx="0">
                  <c:v>Mitsubishi Corporation (8058.T)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ESG!$M$45:$O$45</c:f>
              <c:strCache>
                <c:ptCount val="3"/>
                <c:pt idx="0">
                  <c:v>2021 FY</c:v>
                </c:pt>
                <c:pt idx="1">
                  <c:v>2020 FY</c:v>
                </c:pt>
                <c:pt idx="2">
                  <c:v>2019 FY</c:v>
                </c:pt>
              </c:strCache>
            </c:strRef>
          </c:cat>
          <c:val>
            <c:numRef>
              <c:f>ESG!$M$50:$O$50</c:f>
              <c:numCache>
                <c:formatCode>_-[$¥-411]* #,##0_-;\-[$¥-411]* #,##0_-;_-[$¥-411]* "-"??_-;_-@_-</c:formatCode>
                <c:ptCount val="3"/>
                <c:pt idx="0">
                  <c:v>4476758</c:v>
                </c:pt>
                <c:pt idx="1">
                  <c:v>4191433</c:v>
                </c:pt>
                <c:pt idx="2">
                  <c:v>4462509</c:v>
                </c:pt>
              </c:numCache>
            </c:numRef>
          </c:val>
          <c:smooth val="0"/>
          <c:extLst>
            <c:ext xmlns:c16="http://schemas.microsoft.com/office/drawing/2014/chart" uri="{C3380CC4-5D6E-409C-BE32-E72D297353CC}">
              <c16:uniqueId val="{00000004-43D3-4804-9BC8-4427628DCC59}"/>
            </c:ext>
          </c:extLst>
        </c:ser>
        <c:dLbls>
          <c:showLegendKey val="0"/>
          <c:showVal val="0"/>
          <c:showCatName val="0"/>
          <c:showSerName val="0"/>
          <c:showPercent val="0"/>
          <c:showBubbleSize val="0"/>
        </c:dLbls>
        <c:marker val="1"/>
        <c:smooth val="0"/>
        <c:axId val="508092992"/>
        <c:axId val="166392784"/>
      </c:lineChart>
      <c:catAx>
        <c:axId val="5080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2784"/>
        <c:crosses val="autoZero"/>
        <c:auto val="1"/>
        <c:lblAlgn val="ctr"/>
        <c:lblOffset val="100"/>
        <c:noMultiLvlLbl val="0"/>
      </c:catAx>
      <c:valAx>
        <c:axId val="166392784"/>
        <c:scaling>
          <c:orientation val="minMax"/>
        </c:scaling>
        <c:delete val="0"/>
        <c:axPos val="l"/>
        <c:majorGridlines>
          <c:spPr>
            <a:ln w="9525" cap="flat" cmpd="sng" algn="ctr">
              <a:solidFill>
                <a:schemeClr val="tx1">
                  <a:lumMod val="15000"/>
                  <a:lumOff val="85000"/>
                </a:schemeClr>
              </a:solidFill>
              <a:round/>
            </a:ln>
            <a:effectLst/>
          </c:spPr>
        </c:majorGridlines>
        <c:numFmt formatCode="_-[$¥-411]* #,##0_-;\-[$¥-411]* #,##0_-;_-[$¥-41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0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t-PT" sz="1400" b="0" i="0" u="none" strike="noStrike" kern="1200" spc="0" baseline="0">
                <a:solidFill>
                  <a:sysClr val="windowText" lastClr="000000">
                    <a:lumMod val="65000"/>
                    <a:lumOff val="35000"/>
                  </a:sysClr>
                </a:solidFill>
              </a:rPr>
              <a:t>Total Energy Consumption per Millions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pt-PT"/>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ESG!$L$57</c:f>
              <c:strCache>
                <c:ptCount val="1"/>
                <c:pt idx="0">
                  <c:v>Daikin Industries,Ltd. (6367.T)</c:v>
                </c:pt>
              </c:strCache>
            </c:strRef>
          </c:tx>
          <c:spPr>
            <a:ln w="28575" cap="rnd">
              <a:solidFill>
                <a:schemeClr val="accent1"/>
              </a:solidFill>
              <a:round/>
            </a:ln>
            <a:effectLst/>
          </c:spPr>
          <c:marker>
            <c:symbol val="none"/>
          </c:marker>
          <c:cat>
            <c:numRef>
              <c:f>ESG!$M$56:$O$56</c:f>
              <c:numCache>
                <c:formatCode>General</c:formatCode>
                <c:ptCount val="3"/>
                <c:pt idx="0">
                  <c:v>2021</c:v>
                </c:pt>
                <c:pt idx="1">
                  <c:v>2020</c:v>
                </c:pt>
                <c:pt idx="2">
                  <c:v>2019</c:v>
                </c:pt>
              </c:numCache>
            </c:numRef>
          </c:cat>
          <c:val>
            <c:numRef>
              <c:f>ESG!$M$58:$O$58</c:f>
              <c:numCache>
                <c:formatCode>0%</c:formatCode>
                <c:ptCount val="3"/>
                <c:pt idx="0">
                  <c:v>5.3138310498258985</c:v>
                </c:pt>
                <c:pt idx="1">
                  <c:v>5.6582169788392171</c:v>
                </c:pt>
                <c:pt idx="2">
                  <c:v>5.878178492376402</c:v>
                </c:pt>
              </c:numCache>
            </c:numRef>
          </c:val>
          <c:smooth val="0"/>
          <c:extLst>
            <c:ext xmlns:c16="http://schemas.microsoft.com/office/drawing/2014/chart" uri="{C3380CC4-5D6E-409C-BE32-E72D297353CC}">
              <c16:uniqueId val="{0000000B-3910-4EC7-86A8-CD46B68A476B}"/>
            </c:ext>
          </c:extLst>
        </c:ser>
        <c:ser>
          <c:idx val="1"/>
          <c:order val="1"/>
          <c:tx>
            <c:strRef>
              <c:f>ESG!$L$59</c:f>
              <c:strCache>
                <c:ptCount val="1"/>
                <c:pt idx="0">
                  <c:v>JOHNSON CONTROLS INTERNATIONAL PLC (XNYS:JCI)</c:v>
                </c:pt>
              </c:strCache>
            </c:strRef>
          </c:tx>
          <c:spPr>
            <a:ln w="28575" cap="rnd">
              <a:solidFill>
                <a:schemeClr val="accent2"/>
              </a:solidFill>
              <a:round/>
            </a:ln>
            <a:effectLst/>
          </c:spPr>
          <c:marker>
            <c:symbol val="none"/>
          </c:marker>
          <c:cat>
            <c:numRef>
              <c:f>ESG!$M$56:$O$56</c:f>
              <c:numCache>
                <c:formatCode>General</c:formatCode>
                <c:ptCount val="3"/>
                <c:pt idx="0">
                  <c:v>2021</c:v>
                </c:pt>
                <c:pt idx="1">
                  <c:v>2020</c:v>
                </c:pt>
                <c:pt idx="2">
                  <c:v>2019</c:v>
                </c:pt>
              </c:numCache>
            </c:numRef>
          </c:cat>
          <c:val>
            <c:numRef>
              <c:f>ESG!$M$60:$O$60</c:f>
              <c:numCache>
                <c:formatCode>0%</c:formatCode>
                <c:ptCount val="3"/>
                <c:pt idx="0">
                  <c:v>2.1205332270909625</c:v>
                </c:pt>
                <c:pt idx="1">
                  <c:v>2.3724126447898355</c:v>
                </c:pt>
                <c:pt idx="2">
                  <c:v>2.3929859105670412</c:v>
                </c:pt>
              </c:numCache>
            </c:numRef>
          </c:val>
          <c:smooth val="0"/>
          <c:extLst>
            <c:ext xmlns:c16="http://schemas.microsoft.com/office/drawing/2014/chart" uri="{C3380CC4-5D6E-409C-BE32-E72D297353CC}">
              <c16:uniqueId val="{0000000C-3910-4EC7-86A8-CD46B68A476B}"/>
            </c:ext>
          </c:extLst>
        </c:ser>
        <c:ser>
          <c:idx val="2"/>
          <c:order val="2"/>
          <c:tx>
            <c:strRef>
              <c:f>ESG!$L$61</c:f>
              <c:strCache>
                <c:ptCount val="1"/>
                <c:pt idx="0">
                  <c:v>CARRIER GLOBAL CORPORATION (XNYS:CARR)</c:v>
                </c:pt>
              </c:strCache>
            </c:strRef>
          </c:tx>
          <c:spPr>
            <a:ln w="28575" cap="rnd">
              <a:solidFill>
                <a:schemeClr val="accent3"/>
              </a:solidFill>
              <a:round/>
            </a:ln>
            <a:effectLst/>
          </c:spPr>
          <c:marker>
            <c:symbol val="none"/>
          </c:marker>
          <c:cat>
            <c:numRef>
              <c:f>ESG!$M$56:$O$56</c:f>
              <c:numCache>
                <c:formatCode>General</c:formatCode>
                <c:ptCount val="3"/>
                <c:pt idx="0">
                  <c:v>2021</c:v>
                </c:pt>
                <c:pt idx="1">
                  <c:v>2020</c:v>
                </c:pt>
                <c:pt idx="2">
                  <c:v>2019</c:v>
                </c:pt>
              </c:numCache>
            </c:numRef>
          </c:cat>
          <c:val>
            <c:numRef>
              <c:f>ESG!$M$62:$O$62</c:f>
              <c:numCache>
                <c:formatCode>0%</c:formatCode>
                <c:ptCount val="3"/>
                <c:pt idx="0">
                  <c:v>1.631611783608846</c:v>
                </c:pt>
                <c:pt idx="1">
                  <c:v>1.6997279634473961</c:v>
                </c:pt>
                <c:pt idx="2">
                  <c:v>1.6033663707086203</c:v>
                </c:pt>
              </c:numCache>
            </c:numRef>
          </c:val>
          <c:smooth val="0"/>
          <c:extLst>
            <c:ext xmlns:c16="http://schemas.microsoft.com/office/drawing/2014/chart" uri="{C3380CC4-5D6E-409C-BE32-E72D297353CC}">
              <c16:uniqueId val="{0000000D-3910-4EC7-86A8-CD46B68A476B}"/>
            </c:ext>
          </c:extLst>
        </c:ser>
        <c:ser>
          <c:idx val="3"/>
          <c:order val="3"/>
          <c:tx>
            <c:strRef>
              <c:f>ESG!$L$63</c:f>
              <c:strCache>
                <c:ptCount val="1"/>
                <c:pt idx="0">
                  <c:v>Trane Technologies plc (XNYS:TT)</c:v>
                </c:pt>
              </c:strCache>
            </c:strRef>
          </c:tx>
          <c:spPr>
            <a:ln w="28575" cap="rnd">
              <a:solidFill>
                <a:schemeClr val="accent4"/>
              </a:solidFill>
              <a:round/>
            </a:ln>
            <a:effectLst/>
          </c:spPr>
          <c:marker>
            <c:symbol val="none"/>
          </c:marker>
          <c:cat>
            <c:numRef>
              <c:f>ESG!$M$56:$O$56</c:f>
              <c:numCache>
                <c:formatCode>General</c:formatCode>
                <c:ptCount val="3"/>
                <c:pt idx="0">
                  <c:v>2021</c:v>
                </c:pt>
                <c:pt idx="1">
                  <c:v>2020</c:v>
                </c:pt>
                <c:pt idx="2">
                  <c:v>2019</c:v>
                </c:pt>
              </c:numCache>
            </c:numRef>
          </c:cat>
          <c:val>
            <c:numRef>
              <c:f>ESG!$M$64:$O$64</c:f>
              <c:numCache>
                <c:formatCode>0%</c:formatCode>
                <c:ptCount val="3"/>
                <c:pt idx="0">
                  <c:v>1.4907932929975412</c:v>
                </c:pt>
                <c:pt idx="1">
                  <c:v>1.6251088669575116</c:v>
                </c:pt>
                <c:pt idx="2">
                  <c:v>1.3105778489891082</c:v>
                </c:pt>
              </c:numCache>
            </c:numRef>
          </c:val>
          <c:smooth val="0"/>
          <c:extLst>
            <c:ext xmlns:c16="http://schemas.microsoft.com/office/drawing/2014/chart" uri="{C3380CC4-5D6E-409C-BE32-E72D297353CC}">
              <c16:uniqueId val="{0000000E-3910-4EC7-86A8-CD46B68A476B}"/>
            </c:ext>
          </c:extLst>
        </c:ser>
        <c:ser>
          <c:idx val="4"/>
          <c:order val="4"/>
          <c:tx>
            <c:strRef>
              <c:f>ESG!$L$65</c:f>
              <c:strCache>
                <c:ptCount val="1"/>
                <c:pt idx="0">
                  <c:v>Mitsubishi Corporation (8058.T)</c:v>
                </c:pt>
              </c:strCache>
            </c:strRef>
          </c:tx>
          <c:spPr>
            <a:ln w="28575" cap="rnd">
              <a:solidFill>
                <a:schemeClr val="accent5"/>
              </a:solidFill>
              <a:round/>
            </a:ln>
            <a:effectLst/>
          </c:spPr>
          <c:marker>
            <c:symbol val="none"/>
          </c:marker>
          <c:cat>
            <c:numRef>
              <c:f>ESG!$M$56:$O$56</c:f>
              <c:numCache>
                <c:formatCode>General</c:formatCode>
                <c:ptCount val="3"/>
                <c:pt idx="0">
                  <c:v>2021</c:v>
                </c:pt>
                <c:pt idx="1">
                  <c:v>2020</c:v>
                </c:pt>
                <c:pt idx="2">
                  <c:v>2019</c:v>
                </c:pt>
              </c:numCache>
            </c:numRef>
          </c:cat>
          <c:val>
            <c:numRef>
              <c:f>ESG!$M$66:$O$66</c:f>
              <c:numCache>
                <c:formatCode>0%</c:formatCode>
                <c:ptCount val="3"/>
                <c:pt idx="0">
                  <c:v>1.1860323921909561</c:v>
                </c:pt>
                <c:pt idx="1">
                  <c:v>0.99390208551586057</c:v>
                </c:pt>
                <c:pt idx="2">
                  <c:v>0.98578109310255735</c:v>
                </c:pt>
              </c:numCache>
            </c:numRef>
          </c:val>
          <c:smooth val="0"/>
          <c:extLst>
            <c:ext xmlns:c16="http://schemas.microsoft.com/office/drawing/2014/chart" uri="{C3380CC4-5D6E-409C-BE32-E72D297353CC}">
              <c16:uniqueId val="{0000000F-3910-4EC7-86A8-CD46B68A476B}"/>
            </c:ext>
          </c:extLst>
        </c:ser>
        <c:dLbls>
          <c:showLegendKey val="0"/>
          <c:showVal val="0"/>
          <c:showCatName val="0"/>
          <c:showSerName val="0"/>
          <c:showPercent val="0"/>
          <c:showBubbleSize val="0"/>
        </c:dLbls>
        <c:smooth val="0"/>
        <c:axId val="517203871"/>
        <c:axId val="169726208"/>
      </c:lineChart>
      <c:catAx>
        <c:axId val="51720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26208"/>
        <c:crosses val="autoZero"/>
        <c:auto val="1"/>
        <c:lblAlgn val="ctr"/>
        <c:lblOffset val="100"/>
        <c:noMultiLvlLbl val="0"/>
      </c:catAx>
      <c:valAx>
        <c:axId val="16972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t-PT" sz="1400" b="0" i="0" u="none" strike="noStrike" kern="1200" spc="0" baseline="0">
                <a:solidFill>
                  <a:sysClr val="windowText" lastClr="000000">
                    <a:lumMod val="65000"/>
                    <a:lumOff val="35000"/>
                  </a:sysClr>
                </a:solidFill>
              </a:rPr>
              <a:t>Total Water Consumption per Million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ESG!$V$57</c:f>
              <c:strCache>
                <c:ptCount val="1"/>
                <c:pt idx="0">
                  <c:v>Daikin Industries,Ltd. (6367.T)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ESG!$W$56:$Y$56</c:f>
              <c:numCache>
                <c:formatCode>General</c:formatCode>
                <c:ptCount val="3"/>
                <c:pt idx="0">
                  <c:v>2021</c:v>
                </c:pt>
                <c:pt idx="1">
                  <c:v>2020</c:v>
                </c:pt>
                <c:pt idx="2">
                  <c:v>2019</c:v>
                </c:pt>
              </c:numCache>
            </c:numRef>
          </c:cat>
          <c:val>
            <c:numRef>
              <c:f>ESG!$W$58:$Y$58</c:f>
              <c:numCache>
                <c:formatCode>0.00%</c:formatCode>
                <c:ptCount val="3"/>
                <c:pt idx="0">
                  <c:v>2.0359550301597951E-3</c:v>
                </c:pt>
                <c:pt idx="1">
                  <c:v>2.418398114050532E-3</c:v>
                </c:pt>
                <c:pt idx="2">
                  <c:v>2.5604780604672776E-3</c:v>
                </c:pt>
              </c:numCache>
            </c:numRef>
          </c:val>
          <c:smooth val="0"/>
          <c:extLst>
            <c:ext xmlns:c16="http://schemas.microsoft.com/office/drawing/2014/chart" uri="{C3380CC4-5D6E-409C-BE32-E72D297353CC}">
              <c16:uniqueId val="{00000009-E7B9-4B1B-850E-70C2A76E4113}"/>
            </c:ext>
          </c:extLst>
        </c:ser>
        <c:ser>
          <c:idx val="1"/>
          <c:order val="1"/>
          <c:tx>
            <c:strRef>
              <c:f>ESG!$V$59</c:f>
              <c:strCache>
                <c:ptCount val="1"/>
                <c:pt idx="0">
                  <c:v>JOHNSON CONTROLS INTERNATIONAL PLC (XNYS:JCI)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ESG!$W$56:$Y$56</c:f>
              <c:numCache>
                <c:formatCode>General</c:formatCode>
                <c:ptCount val="3"/>
                <c:pt idx="0">
                  <c:v>2021</c:v>
                </c:pt>
                <c:pt idx="1">
                  <c:v>2020</c:v>
                </c:pt>
                <c:pt idx="2">
                  <c:v>2019</c:v>
                </c:pt>
              </c:numCache>
            </c:numRef>
          </c:cat>
          <c:val>
            <c:numRef>
              <c:f>ESG!$W$60:$Y$60</c:f>
              <c:numCache>
                <c:formatCode>0%</c:formatCode>
                <c:ptCount val="3"/>
                <c:pt idx="0">
                  <c:v>0.36494512516523847</c:v>
                </c:pt>
                <c:pt idx="1">
                  <c:v>0.39337742355678157</c:v>
                </c:pt>
                <c:pt idx="2">
                  <c:v>0.27684998598395288</c:v>
                </c:pt>
              </c:numCache>
            </c:numRef>
          </c:val>
          <c:smooth val="0"/>
          <c:extLst>
            <c:ext xmlns:c16="http://schemas.microsoft.com/office/drawing/2014/chart" uri="{C3380CC4-5D6E-409C-BE32-E72D297353CC}">
              <c16:uniqueId val="{0000000A-E7B9-4B1B-850E-70C2A76E4113}"/>
            </c:ext>
          </c:extLst>
        </c:ser>
        <c:ser>
          <c:idx val="2"/>
          <c:order val="2"/>
          <c:tx>
            <c:strRef>
              <c:f>ESG!$V$61</c:f>
              <c:strCache>
                <c:ptCount val="1"/>
                <c:pt idx="0">
                  <c:v>CARRIER GLOBAL CORPORATION (XNYS:CARR)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ESG!$W$56:$Y$56</c:f>
              <c:numCache>
                <c:formatCode>General</c:formatCode>
                <c:ptCount val="3"/>
                <c:pt idx="0">
                  <c:v>2021</c:v>
                </c:pt>
                <c:pt idx="1">
                  <c:v>2020</c:v>
                </c:pt>
                <c:pt idx="2">
                  <c:v>2019</c:v>
                </c:pt>
              </c:numCache>
            </c:numRef>
          </c:cat>
          <c:val>
            <c:numRef>
              <c:f>ESG!$W$62:$Y$62</c:f>
              <c:numCache>
                <c:formatCode>0.00%</c:formatCode>
                <c:ptCount val="3"/>
                <c:pt idx="0">
                  <c:v>3.6927042952959803E-4</c:v>
                </c:pt>
                <c:pt idx="1">
                  <c:v>3.9188189939085905E-4</c:v>
                </c:pt>
                <c:pt idx="2">
                  <c:v>4.314888996268164E-4</c:v>
                </c:pt>
              </c:numCache>
            </c:numRef>
          </c:val>
          <c:smooth val="0"/>
          <c:extLst>
            <c:ext xmlns:c16="http://schemas.microsoft.com/office/drawing/2014/chart" uri="{C3380CC4-5D6E-409C-BE32-E72D297353CC}">
              <c16:uniqueId val="{0000000B-E7B9-4B1B-850E-70C2A76E4113}"/>
            </c:ext>
          </c:extLst>
        </c:ser>
        <c:ser>
          <c:idx val="3"/>
          <c:order val="3"/>
          <c:tx>
            <c:strRef>
              <c:f>ESG!$V$63</c:f>
              <c:strCache>
                <c:ptCount val="1"/>
                <c:pt idx="0">
                  <c:v>Trane Technologies plc (XNYS:TT)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ESG!$W$56:$Y$56</c:f>
              <c:numCache>
                <c:formatCode>General</c:formatCode>
                <c:ptCount val="3"/>
                <c:pt idx="0">
                  <c:v>2021</c:v>
                </c:pt>
                <c:pt idx="1">
                  <c:v>2020</c:v>
                </c:pt>
                <c:pt idx="2">
                  <c:v>2019</c:v>
                </c:pt>
              </c:numCache>
            </c:numRef>
          </c:cat>
          <c:val>
            <c:numRef>
              <c:f>ESG!$W$64:$Y$64</c:f>
              <c:numCache>
                <c:formatCode>0%</c:formatCode>
                <c:ptCount val="3"/>
                <c:pt idx="0">
                  <c:v>1.446254654838165</c:v>
                </c:pt>
                <c:pt idx="1">
                  <c:v>1.5790991437056561</c:v>
                </c:pt>
                <c:pt idx="2">
                  <c:v>1.2530402848871476</c:v>
                </c:pt>
              </c:numCache>
            </c:numRef>
          </c:val>
          <c:smooth val="0"/>
          <c:extLst>
            <c:ext xmlns:c16="http://schemas.microsoft.com/office/drawing/2014/chart" uri="{C3380CC4-5D6E-409C-BE32-E72D297353CC}">
              <c16:uniqueId val="{0000000C-E7B9-4B1B-850E-70C2A76E4113}"/>
            </c:ext>
          </c:extLst>
        </c:ser>
        <c:ser>
          <c:idx val="4"/>
          <c:order val="4"/>
          <c:tx>
            <c:strRef>
              <c:f>ESG!$V$65</c:f>
              <c:strCache>
                <c:ptCount val="1"/>
                <c:pt idx="0">
                  <c:v>Mitsubishi Corporation (8058.T)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ESG!$W$56:$Y$56</c:f>
              <c:numCache>
                <c:formatCode>General</c:formatCode>
                <c:ptCount val="3"/>
                <c:pt idx="0">
                  <c:v>2021</c:v>
                </c:pt>
                <c:pt idx="1">
                  <c:v>2020</c:v>
                </c:pt>
                <c:pt idx="2">
                  <c:v>2019</c:v>
                </c:pt>
              </c:numCache>
            </c:numRef>
          </c:cat>
          <c:val>
            <c:numRef>
              <c:f>ESG!$W$66:$Y$66</c:f>
              <c:numCache>
                <c:formatCode>0.00%</c:formatCode>
                <c:ptCount val="3"/>
                <c:pt idx="0">
                  <c:v>6.031150220762436E-3</c:v>
                </c:pt>
                <c:pt idx="1">
                  <c:v>5.9645472085561192E-3</c:v>
                </c:pt>
                <c:pt idx="2">
                  <c:v>8.5153889885712271E-3</c:v>
                </c:pt>
              </c:numCache>
            </c:numRef>
          </c:val>
          <c:smooth val="0"/>
          <c:extLst>
            <c:ext xmlns:c16="http://schemas.microsoft.com/office/drawing/2014/chart" uri="{C3380CC4-5D6E-409C-BE32-E72D297353CC}">
              <c16:uniqueId val="{0000000D-E7B9-4B1B-850E-70C2A76E4113}"/>
            </c:ext>
          </c:extLst>
        </c:ser>
        <c:dLbls>
          <c:showLegendKey val="0"/>
          <c:showVal val="0"/>
          <c:showCatName val="0"/>
          <c:showSerName val="0"/>
          <c:showPercent val="0"/>
          <c:showBubbleSize val="0"/>
        </c:dLbls>
        <c:marker val="1"/>
        <c:smooth val="0"/>
        <c:axId val="1881417216"/>
        <c:axId val="166407184"/>
      </c:lineChart>
      <c:catAx>
        <c:axId val="188141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07184"/>
        <c:crosses val="autoZero"/>
        <c:auto val="1"/>
        <c:lblAlgn val="ctr"/>
        <c:lblOffset val="100"/>
        <c:noMultiLvlLbl val="0"/>
      </c:catAx>
      <c:valAx>
        <c:axId val="166407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41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t-PT" sz="1400" b="0" i="0" u="none" strike="noStrike" kern="1200" spc="0" baseline="0">
                <a:solidFill>
                  <a:sysClr val="windowText" lastClr="000000">
                    <a:lumMod val="65000"/>
                    <a:lumOff val="35000"/>
                  </a:sysClr>
                </a:solidFill>
              </a:rPr>
              <a:t>GHG Scope 1 &amp; 2 Emissions per Million Sales (Tonnes)</a:t>
            </a:r>
            <a:endParaRPr lang="pt-PT"/>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t-PT"/>
        </a:p>
      </c:txPr>
    </c:title>
    <c:autoTitleDeleted val="0"/>
    <c:plotArea>
      <c:layout/>
      <c:lineChart>
        <c:grouping val="standard"/>
        <c:varyColors val="0"/>
        <c:ser>
          <c:idx val="0"/>
          <c:order val="0"/>
          <c:tx>
            <c:strRef>
              <c:f>ESG!$L$74</c:f>
              <c:strCache>
                <c:ptCount val="1"/>
                <c:pt idx="0">
                  <c:v>Daikin Industries,Ltd. (6367.T)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ESG!$M$73:$O$73</c:f>
              <c:numCache>
                <c:formatCode>General</c:formatCode>
                <c:ptCount val="3"/>
                <c:pt idx="0">
                  <c:v>2021</c:v>
                </c:pt>
                <c:pt idx="1">
                  <c:v>2020</c:v>
                </c:pt>
                <c:pt idx="2">
                  <c:v>2019</c:v>
                </c:pt>
              </c:numCache>
            </c:numRef>
          </c:cat>
          <c:val>
            <c:numRef>
              <c:f>ESG!$M$75:$O$75</c:f>
              <c:numCache>
                <c:formatCode>0.00%</c:formatCode>
                <c:ptCount val="3"/>
                <c:pt idx="0">
                  <c:v>6.7865167671993173E-2</c:v>
                </c:pt>
                <c:pt idx="1">
                  <c:v>7.4918203599442679E-2</c:v>
                </c:pt>
                <c:pt idx="2">
                  <c:v>7.324614114782349E-2</c:v>
                </c:pt>
              </c:numCache>
            </c:numRef>
          </c:val>
          <c:smooth val="0"/>
          <c:extLst>
            <c:ext xmlns:c16="http://schemas.microsoft.com/office/drawing/2014/chart" uri="{C3380CC4-5D6E-409C-BE32-E72D297353CC}">
              <c16:uniqueId val="{00000009-ED80-4062-8A85-125443F0ED30}"/>
            </c:ext>
          </c:extLst>
        </c:ser>
        <c:ser>
          <c:idx val="1"/>
          <c:order val="1"/>
          <c:tx>
            <c:strRef>
              <c:f>ESG!$L$76</c:f>
              <c:strCache>
                <c:ptCount val="1"/>
                <c:pt idx="0">
                  <c:v>JOHNSON CONTROLS INTERNATIONAL PLC (XNYS:JCI)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ESG!$M$73:$O$73</c:f>
              <c:numCache>
                <c:formatCode>General</c:formatCode>
                <c:ptCount val="3"/>
                <c:pt idx="0">
                  <c:v>2021</c:v>
                </c:pt>
                <c:pt idx="1">
                  <c:v>2020</c:v>
                </c:pt>
                <c:pt idx="2">
                  <c:v>2019</c:v>
                </c:pt>
              </c:numCache>
            </c:numRef>
          </c:cat>
          <c:val>
            <c:numRef>
              <c:f>ESG!$M$77:$O$77</c:f>
              <c:numCache>
                <c:formatCode>0%</c:formatCode>
                <c:ptCount val="3"/>
                <c:pt idx="0">
                  <c:v>0.21884363338194962</c:v>
                </c:pt>
                <c:pt idx="1">
                  <c:v>0.2722526793345228</c:v>
                </c:pt>
                <c:pt idx="2">
                  <c:v>0.35117004005718239</c:v>
                </c:pt>
              </c:numCache>
            </c:numRef>
          </c:val>
          <c:smooth val="0"/>
          <c:extLst>
            <c:ext xmlns:c16="http://schemas.microsoft.com/office/drawing/2014/chart" uri="{C3380CC4-5D6E-409C-BE32-E72D297353CC}">
              <c16:uniqueId val="{0000000A-ED80-4062-8A85-125443F0ED30}"/>
            </c:ext>
          </c:extLst>
        </c:ser>
        <c:ser>
          <c:idx val="2"/>
          <c:order val="2"/>
          <c:tx>
            <c:strRef>
              <c:f>ESG!$L$78</c:f>
              <c:strCache>
                <c:ptCount val="1"/>
                <c:pt idx="0">
                  <c:v>CARRIER GLOBAL CORPORATION (XNYS:CARR)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ESG!$M$73:$O$73</c:f>
              <c:numCache>
                <c:formatCode>General</c:formatCode>
                <c:ptCount val="3"/>
                <c:pt idx="0">
                  <c:v>2021</c:v>
                </c:pt>
                <c:pt idx="1">
                  <c:v>2020</c:v>
                </c:pt>
                <c:pt idx="2">
                  <c:v>2019</c:v>
                </c:pt>
              </c:numCache>
            </c:numRef>
          </c:cat>
          <c:val>
            <c:numRef>
              <c:f>ESG!$M$79:$O$79</c:f>
              <c:numCache>
                <c:formatCode>0%</c:formatCode>
                <c:ptCount val="3"/>
                <c:pt idx="0">
                  <c:v>0.14331639329261034</c:v>
                </c:pt>
                <c:pt idx="1">
                  <c:v>0.15514997494549476</c:v>
                </c:pt>
                <c:pt idx="2">
                  <c:v>0.15073294871439269</c:v>
                </c:pt>
              </c:numCache>
            </c:numRef>
          </c:val>
          <c:smooth val="0"/>
          <c:extLst>
            <c:ext xmlns:c16="http://schemas.microsoft.com/office/drawing/2014/chart" uri="{C3380CC4-5D6E-409C-BE32-E72D297353CC}">
              <c16:uniqueId val="{0000000B-ED80-4062-8A85-125443F0ED30}"/>
            </c:ext>
          </c:extLst>
        </c:ser>
        <c:ser>
          <c:idx val="3"/>
          <c:order val="3"/>
          <c:tx>
            <c:strRef>
              <c:f>ESG!$L$80</c:f>
              <c:strCache>
                <c:ptCount val="1"/>
                <c:pt idx="0">
                  <c:v>Trane Technologies plc (XNYS:TT)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ESG!$M$73:$O$73</c:f>
              <c:numCache>
                <c:formatCode>General</c:formatCode>
                <c:ptCount val="3"/>
                <c:pt idx="0">
                  <c:v>2021</c:v>
                </c:pt>
                <c:pt idx="1">
                  <c:v>2020</c:v>
                </c:pt>
                <c:pt idx="2">
                  <c:v>2019</c:v>
                </c:pt>
              </c:numCache>
            </c:numRef>
          </c:cat>
          <c:val>
            <c:numRef>
              <c:f>ESG!$M$81:$O$81</c:f>
              <c:numCache>
                <c:formatCode>0%</c:formatCode>
                <c:ptCount val="3"/>
                <c:pt idx="0">
                  <c:v>0.21966106036308616</c:v>
                </c:pt>
                <c:pt idx="1">
                  <c:v>0.26240538015210063</c:v>
                </c:pt>
                <c:pt idx="2">
                  <c:v>0.22163341830821762</c:v>
                </c:pt>
              </c:numCache>
            </c:numRef>
          </c:val>
          <c:smooth val="0"/>
          <c:extLst>
            <c:ext xmlns:c16="http://schemas.microsoft.com/office/drawing/2014/chart" uri="{C3380CC4-5D6E-409C-BE32-E72D297353CC}">
              <c16:uniqueId val="{0000000C-ED80-4062-8A85-125443F0ED30}"/>
            </c:ext>
          </c:extLst>
        </c:ser>
        <c:ser>
          <c:idx val="4"/>
          <c:order val="4"/>
          <c:tx>
            <c:strRef>
              <c:f>ESG!$L$82</c:f>
              <c:strCache>
                <c:ptCount val="1"/>
                <c:pt idx="0">
                  <c:v>Mitsubishi Corporation (8058.T)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ESG!$M$73:$O$73</c:f>
              <c:numCache>
                <c:formatCode>General</c:formatCode>
                <c:ptCount val="3"/>
                <c:pt idx="0">
                  <c:v>2021</c:v>
                </c:pt>
                <c:pt idx="1">
                  <c:v>2020</c:v>
                </c:pt>
                <c:pt idx="2">
                  <c:v>2019</c:v>
                </c:pt>
              </c:numCache>
            </c:numRef>
          </c:cat>
          <c:val>
            <c:numRef>
              <c:f>ESG!$M$83:$O$83</c:f>
              <c:numCache>
                <c:formatCode>0%</c:formatCode>
                <c:ptCount val="3"/>
                <c:pt idx="0">
                  <c:v>1.8582643957971372</c:v>
                </c:pt>
                <c:pt idx="1">
                  <c:v>2.1913746444235183</c:v>
                </c:pt>
                <c:pt idx="2">
                  <c:v>2.1147296285564914</c:v>
                </c:pt>
              </c:numCache>
            </c:numRef>
          </c:val>
          <c:smooth val="0"/>
          <c:extLst>
            <c:ext xmlns:c16="http://schemas.microsoft.com/office/drawing/2014/chart" uri="{C3380CC4-5D6E-409C-BE32-E72D297353CC}">
              <c16:uniqueId val="{0000000D-ED80-4062-8A85-125443F0ED30}"/>
            </c:ext>
          </c:extLst>
        </c:ser>
        <c:dLbls>
          <c:showLegendKey val="0"/>
          <c:showVal val="0"/>
          <c:showCatName val="0"/>
          <c:showSerName val="0"/>
          <c:showPercent val="0"/>
          <c:showBubbleSize val="0"/>
        </c:dLbls>
        <c:marker val="1"/>
        <c:smooth val="0"/>
        <c:axId val="1876617136"/>
        <c:axId val="166411504"/>
      </c:lineChart>
      <c:catAx>
        <c:axId val="187661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11504"/>
        <c:crosses val="autoZero"/>
        <c:auto val="1"/>
        <c:lblAlgn val="ctr"/>
        <c:lblOffset val="100"/>
        <c:noMultiLvlLbl val="0"/>
      </c:catAx>
      <c:valAx>
        <c:axId val="166411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617136"/>
        <c:crosses val="autoZero"/>
        <c:crossBetween val="between"/>
      </c:valAx>
      <c:spPr>
        <a:noFill/>
        <a:ln>
          <a:noFill/>
        </a:ln>
        <a:effectLst/>
      </c:spPr>
    </c:plotArea>
    <c:legend>
      <c:legendPos val="r"/>
      <c:layout>
        <c:manualLayout>
          <c:xMode val="edge"/>
          <c:yMode val="edge"/>
          <c:x val="0.68161822573154418"/>
          <c:y val="0.29859313042061236"/>
          <c:w val="0.31838177146531815"/>
          <c:h val="0.54969270189619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t-PT" sz="1400" b="0" i="0" u="none" strike="noStrike" kern="1200" spc="0" baseline="0">
                <a:solidFill>
                  <a:sysClr val="windowText" lastClr="000000">
                    <a:lumMod val="65000"/>
                    <a:lumOff val="35000"/>
                  </a:sysClr>
                </a:solidFill>
              </a:rPr>
              <a:t>Total Waste Production per Million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ESG!$V$74</c:f>
              <c:strCache>
                <c:ptCount val="1"/>
                <c:pt idx="0">
                  <c:v>Daikin Industries,Ltd. (6367.T)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ESG!$W$73:$Y$73</c:f>
              <c:numCache>
                <c:formatCode>General</c:formatCode>
                <c:ptCount val="3"/>
                <c:pt idx="0">
                  <c:v>2021</c:v>
                </c:pt>
                <c:pt idx="1">
                  <c:v>2020</c:v>
                </c:pt>
                <c:pt idx="2">
                  <c:v>2019</c:v>
                </c:pt>
              </c:numCache>
            </c:numRef>
          </c:cat>
          <c:val>
            <c:numRef>
              <c:f>ESG!$W$75:$Y$75</c:f>
              <c:numCache>
                <c:formatCode>0.00%</c:formatCode>
                <c:ptCount val="3"/>
                <c:pt idx="0">
                  <c:v>1.3284847798691971E-2</c:v>
                </c:pt>
                <c:pt idx="1">
                  <c:v>1.2955876065719468E-2</c:v>
                </c:pt>
                <c:pt idx="2">
                  <c:v>1.4585706415507165E-2</c:v>
                </c:pt>
              </c:numCache>
            </c:numRef>
          </c:val>
          <c:smooth val="0"/>
          <c:extLst>
            <c:ext xmlns:c16="http://schemas.microsoft.com/office/drawing/2014/chart" uri="{C3380CC4-5D6E-409C-BE32-E72D297353CC}">
              <c16:uniqueId val="{00000009-980D-4DA8-AB38-3CE8CD772548}"/>
            </c:ext>
          </c:extLst>
        </c:ser>
        <c:ser>
          <c:idx val="1"/>
          <c:order val="1"/>
          <c:tx>
            <c:strRef>
              <c:f>ESG!$V$76</c:f>
              <c:strCache>
                <c:ptCount val="1"/>
                <c:pt idx="0">
                  <c:v>JOHNSON CONTROLS INTERNATIONAL PLC (XNYS:JCI)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ESG!$W$73:$Y$73</c:f>
              <c:numCache>
                <c:formatCode>General</c:formatCode>
                <c:ptCount val="3"/>
                <c:pt idx="0">
                  <c:v>2021</c:v>
                </c:pt>
                <c:pt idx="1">
                  <c:v>2020</c:v>
                </c:pt>
                <c:pt idx="2">
                  <c:v>2019</c:v>
                </c:pt>
              </c:numCache>
            </c:numRef>
          </c:cat>
          <c:val>
            <c:numRef>
              <c:f>ESG!$W$77:$Y$77</c:f>
              <c:numCache>
                <c:formatCode>0.00%</c:formatCode>
                <c:ptCount val="3"/>
                <c:pt idx="0">
                  <c:v>2.1336586982019422E-2</c:v>
                </c:pt>
                <c:pt idx="1">
                  <c:v>2.2958850451888908E-2</c:v>
                </c:pt>
                <c:pt idx="2">
                  <c:v>2.9273196652318159E-2</c:v>
                </c:pt>
              </c:numCache>
            </c:numRef>
          </c:val>
          <c:smooth val="0"/>
          <c:extLst>
            <c:ext xmlns:c16="http://schemas.microsoft.com/office/drawing/2014/chart" uri="{C3380CC4-5D6E-409C-BE32-E72D297353CC}">
              <c16:uniqueId val="{0000000A-980D-4DA8-AB38-3CE8CD772548}"/>
            </c:ext>
          </c:extLst>
        </c:ser>
        <c:ser>
          <c:idx val="2"/>
          <c:order val="2"/>
          <c:tx>
            <c:strRef>
              <c:f>ESG!$V$78</c:f>
              <c:strCache>
                <c:ptCount val="1"/>
                <c:pt idx="0">
                  <c:v>CARRIER GLOBAL CORPORATION (XNYS:CARR)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ESG!$W$73:$Y$73</c:f>
              <c:numCache>
                <c:formatCode>General</c:formatCode>
                <c:ptCount val="3"/>
                <c:pt idx="0">
                  <c:v>2021</c:v>
                </c:pt>
                <c:pt idx="1">
                  <c:v>2020</c:v>
                </c:pt>
                <c:pt idx="2">
                  <c:v>2019</c:v>
                </c:pt>
              </c:numCache>
            </c:numRef>
          </c:cat>
          <c:val>
            <c:numRef>
              <c:f>ESG!$W$79:$Y$79</c:f>
              <c:numCache>
                <c:formatCode>0.00%</c:formatCode>
                <c:ptCount val="3"/>
                <c:pt idx="0">
                  <c:v>2.6152994751610176E-2</c:v>
                </c:pt>
                <c:pt idx="1">
                  <c:v>3.140282988820918E-2</c:v>
                </c:pt>
                <c:pt idx="2">
                  <c:v>2.8284382495361356E-2</c:v>
                </c:pt>
              </c:numCache>
            </c:numRef>
          </c:val>
          <c:smooth val="0"/>
          <c:extLst>
            <c:ext xmlns:c16="http://schemas.microsoft.com/office/drawing/2014/chart" uri="{C3380CC4-5D6E-409C-BE32-E72D297353CC}">
              <c16:uniqueId val="{0000000B-980D-4DA8-AB38-3CE8CD772548}"/>
            </c:ext>
          </c:extLst>
        </c:ser>
        <c:ser>
          <c:idx val="3"/>
          <c:order val="3"/>
          <c:tx>
            <c:strRef>
              <c:f>ESG!$V$80</c:f>
              <c:strCache>
                <c:ptCount val="1"/>
                <c:pt idx="0">
                  <c:v>Trane Technologies plc (XNYS:TT)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ESG!$W$73:$Y$73</c:f>
              <c:numCache>
                <c:formatCode>General</c:formatCode>
                <c:ptCount val="3"/>
                <c:pt idx="0">
                  <c:v>2021</c:v>
                </c:pt>
                <c:pt idx="1">
                  <c:v>2020</c:v>
                </c:pt>
                <c:pt idx="2">
                  <c:v>2019</c:v>
                </c:pt>
              </c:numCache>
            </c:numRef>
          </c:cat>
          <c:val>
            <c:numRef>
              <c:f>ESG!$W$81:$Y$81</c:f>
              <c:numCache>
                <c:formatCode>0.00%</c:formatCode>
                <c:ptCount val="3"/>
                <c:pt idx="0">
                  <c:v>3.7682690487651845E-3</c:v>
                </c:pt>
                <c:pt idx="1">
                  <c:v>5.4836773860915122E-3</c:v>
                </c:pt>
                <c:pt idx="2">
                  <c:v>4.9426898584477037E-3</c:v>
                </c:pt>
              </c:numCache>
            </c:numRef>
          </c:val>
          <c:smooth val="0"/>
          <c:extLst>
            <c:ext xmlns:c16="http://schemas.microsoft.com/office/drawing/2014/chart" uri="{C3380CC4-5D6E-409C-BE32-E72D297353CC}">
              <c16:uniqueId val="{0000000C-980D-4DA8-AB38-3CE8CD772548}"/>
            </c:ext>
          </c:extLst>
        </c:ser>
        <c:ser>
          <c:idx val="4"/>
          <c:order val="4"/>
          <c:tx>
            <c:strRef>
              <c:f>ESG!$V$82</c:f>
              <c:strCache>
                <c:ptCount val="1"/>
                <c:pt idx="0">
                  <c:v>Mitsubishi Corporation (8058.T)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ESG!$W$73:$Y$73</c:f>
              <c:numCache>
                <c:formatCode>General</c:formatCode>
                <c:ptCount val="3"/>
                <c:pt idx="0">
                  <c:v>2021</c:v>
                </c:pt>
                <c:pt idx="1">
                  <c:v>2020</c:v>
                </c:pt>
                <c:pt idx="2">
                  <c:v>2019</c:v>
                </c:pt>
              </c:numCache>
            </c:numRef>
          </c:cat>
          <c:val>
            <c:numRef>
              <c:f>ESG!$W$83:$Y$83</c:f>
              <c:numCache>
                <c:formatCode>0.000%</c:formatCode>
                <c:ptCount val="3"/>
                <c:pt idx="0">
                  <c:v>9.6275027598096655E-5</c:v>
                </c:pt>
                <c:pt idx="1">
                  <c:v>9.8057156108662604E-5</c:v>
                </c:pt>
                <c:pt idx="2">
                  <c:v>1.1338912705834318E-4</c:v>
                </c:pt>
              </c:numCache>
            </c:numRef>
          </c:val>
          <c:smooth val="0"/>
          <c:extLst>
            <c:ext xmlns:c16="http://schemas.microsoft.com/office/drawing/2014/chart" uri="{C3380CC4-5D6E-409C-BE32-E72D297353CC}">
              <c16:uniqueId val="{0000000D-980D-4DA8-AB38-3CE8CD772548}"/>
            </c:ext>
          </c:extLst>
        </c:ser>
        <c:dLbls>
          <c:showLegendKey val="0"/>
          <c:showVal val="0"/>
          <c:showCatName val="0"/>
          <c:showSerName val="0"/>
          <c:showPercent val="0"/>
          <c:showBubbleSize val="0"/>
        </c:dLbls>
        <c:marker val="1"/>
        <c:smooth val="0"/>
        <c:axId val="1276454416"/>
        <c:axId val="1307945600"/>
      </c:lineChart>
      <c:catAx>
        <c:axId val="127645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45600"/>
        <c:crosses val="autoZero"/>
        <c:auto val="1"/>
        <c:lblAlgn val="ctr"/>
        <c:lblOffset val="100"/>
        <c:noMultiLvlLbl val="0"/>
      </c:catAx>
      <c:valAx>
        <c:axId val="1307945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45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7" Type="http://schemas.openxmlformats.org/officeDocument/2006/relationships/image" Target="../media/image8.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7.jpeg"/><Relationship Id="rId5" Type="http://schemas.openxmlformats.org/officeDocument/2006/relationships/image" Target="../media/image6.jpg"/><Relationship Id="rId4" Type="http://schemas.openxmlformats.org/officeDocument/2006/relationships/image" Target="../media/image5.jpg"/></Relationships>
</file>

<file path=xl/drawings/_rels/drawing3.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image" Target="../media/image14.JPG"/><Relationship Id="rId1" Type="http://schemas.openxmlformats.org/officeDocument/2006/relationships/image" Target="../media/image13.JP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13</xdr:row>
      <xdr:rowOff>0</xdr:rowOff>
    </xdr:from>
    <xdr:to>
      <xdr:col>13</xdr:col>
      <xdr:colOff>304800</xdr:colOff>
      <xdr:row>14</xdr:row>
      <xdr:rowOff>52873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13</xdr:row>
      <xdr:rowOff>0</xdr:rowOff>
    </xdr:from>
    <xdr:to>
      <xdr:col>13</xdr:col>
      <xdr:colOff>304800</xdr:colOff>
      <xdr:row>14</xdr:row>
      <xdr:rowOff>52873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13</xdr:row>
      <xdr:rowOff>0</xdr:rowOff>
    </xdr:from>
    <xdr:to>
      <xdr:col>13</xdr:col>
      <xdr:colOff>304800</xdr:colOff>
      <xdr:row>14</xdr:row>
      <xdr:rowOff>52873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76201</xdr:colOff>
      <xdr:row>4</xdr:row>
      <xdr:rowOff>190500</xdr:rowOff>
    </xdr:from>
    <xdr:to>
      <xdr:col>2</xdr:col>
      <xdr:colOff>1362779</xdr:colOff>
      <xdr:row>10</xdr:row>
      <xdr:rowOff>195772</xdr:rowOff>
    </xdr:to>
    <xdr:pic>
      <xdr:nvPicPr>
        <xdr:cNvPr id="2" name="Picture 2">
          <a:extLst>
            <a:ext uri="{FF2B5EF4-FFF2-40B4-BE49-F238E27FC236}">
              <a16:creationId xmlns:a16="http://schemas.microsoft.com/office/drawing/2014/main" id="{0B5E7B1F-06D5-DB98-47EC-911C6AFA1E7D}"/>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14301" y="1019175"/>
          <a:ext cx="2734378" cy="2052362"/>
        </a:xfrm>
        <a:prstGeom prst="rect">
          <a:avLst/>
        </a:prstGeom>
      </xdr:spPr>
    </xdr:pic>
    <xdr:clientData/>
  </xdr:twoCellAnchor>
  <xdr:twoCellAnchor editAs="oneCell">
    <xdr:from>
      <xdr:col>6</xdr:col>
      <xdr:colOff>51647</xdr:colOff>
      <xdr:row>81</xdr:row>
      <xdr:rowOff>63498</xdr:rowOff>
    </xdr:from>
    <xdr:to>
      <xdr:col>12</xdr:col>
      <xdr:colOff>2026920</xdr:colOff>
      <xdr:row>104</xdr:row>
      <xdr:rowOff>107456</xdr:rowOff>
    </xdr:to>
    <xdr:pic>
      <xdr:nvPicPr>
        <xdr:cNvPr id="3" name="Imagem 2">
          <a:extLst>
            <a:ext uri="{FF2B5EF4-FFF2-40B4-BE49-F238E27FC236}">
              <a16:creationId xmlns:a16="http://schemas.microsoft.com/office/drawing/2014/main" id="{5418B0C4-65A3-7947-95B1-D83B5A37F38D}"/>
            </a:ext>
          </a:extLst>
        </xdr:cNvPr>
        <xdr:cNvPicPr>
          <a:picLocks noChangeAspect="1"/>
        </xdr:cNvPicPr>
      </xdr:nvPicPr>
      <xdr:blipFill>
        <a:blip xmlns:r="http://schemas.openxmlformats.org/officeDocument/2006/relationships" r:embed="rId2"/>
        <a:stretch>
          <a:fillRect/>
        </a:stretch>
      </xdr:blipFill>
      <xdr:spPr>
        <a:xfrm>
          <a:off x="7923107" y="15897858"/>
          <a:ext cx="9039013" cy="3899677"/>
        </a:xfrm>
        <a:prstGeom prst="rect">
          <a:avLst/>
        </a:prstGeom>
      </xdr:spPr>
    </xdr:pic>
    <xdr:clientData/>
  </xdr:twoCellAnchor>
  <xdr:twoCellAnchor editAs="oneCell">
    <xdr:from>
      <xdr:col>1</xdr:col>
      <xdr:colOff>135467</xdr:colOff>
      <xdr:row>83</xdr:row>
      <xdr:rowOff>68026</xdr:rowOff>
    </xdr:from>
    <xdr:to>
      <xdr:col>5</xdr:col>
      <xdr:colOff>1004013</xdr:colOff>
      <xdr:row>100</xdr:row>
      <xdr:rowOff>50800</xdr:rowOff>
    </xdr:to>
    <xdr:pic>
      <xdr:nvPicPr>
        <xdr:cNvPr id="4" name="Imagem 3">
          <a:extLst>
            <a:ext uri="{FF2B5EF4-FFF2-40B4-BE49-F238E27FC236}">
              <a16:creationId xmlns:a16="http://schemas.microsoft.com/office/drawing/2014/main" id="{A809AA3E-1E71-F1CF-9A38-30744AA7D225}"/>
            </a:ext>
          </a:extLst>
        </xdr:cNvPr>
        <xdr:cNvPicPr>
          <a:picLocks noChangeAspect="1"/>
        </xdr:cNvPicPr>
      </xdr:nvPicPr>
      <xdr:blipFill rotWithShape="1">
        <a:blip xmlns:r="http://schemas.openxmlformats.org/officeDocument/2006/relationships" r:embed="rId3"/>
        <a:srcRect l="18868" t="60321" r="34250" b="10096"/>
        <a:stretch/>
      </xdr:blipFill>
      <xdr:spPr>
        <a:xfrm>
          <a:off x="177800" y="18406826"/>
          <a:ext cx="7548746" cy="28614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24</xdr:row>
      <xdr:rowOff>0</xdr:rowOff>
    </xdr:from>
    <xdr:to>
      <xdr:col>11</xdr:col>
      <xdr:colOff>657225</xdr:colOff>
      <xdr:row>30</xdr:row>
      <xdr:rowOff>695325</xdr:rowOff>
    </xdr:to>
    <xdr:graphicFrame macro="">
      <xdr:nvGraphicFramePr>
        <xdr:cNvPr id="25"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638175</xdr:colOff>
      <xdr:row>24</xdr:row>
      <xdr:rowOff>0</xdr:rowOff>
    </xdr:from>
    <xdr:to>
      <xdr:col>15</xdr:col>
      <xdr:colOff>752475</xdr:colOff>
      <xdr:row>30</xdr:row>
      <xdr:rowOff>695325</xdr:rowOff>
    </xdr:to>
    <xdr:graphicFrame macro="">
      <xdr:nvGraphicFramePr>
        <xdr:cNvPr id="27"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638175</xdr:colOff>
      <xdr:row>23</xdr:row>
      <xdr:rowOff>247650</xdr:rowOff>
    </xdr:from>
    <xdr:to>
      <xdr:col>11</xdr:col>
      <xdr:colOff>647700</xdr:colOff>
      <xdr:row>31</xdr:row>
      <xdr:rowOff>0</xdr:rowOff>
    </xdr:to>
    <xdr:cxnSp macro="">
      <xdr:nvCxnSpPr>
        <xdr:cNvPr id="2"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077700" y="350520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476250</xdr:colOff>
      <xdr:row>42</xdr:row>
      <xdr:rowOff>85725</xdr:rowOff>
    </xdr:from>
    <xdr:to>
      <xdr:col>14</xdr:col>
      <xdr:colOff>238125</xdr:colOff>
      <xdr:row>45</xdr:row>
      <xdr:rowOff>9525</xdr:rowOff>
    </xdr:to>
    <xdr:sp macro="" textlink="">
      <xdr:nvSpPr>
        <xdr:cNvPr id="32"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9A7F258B-F9AD-6876-BB0C-F39E8E2CB6BB}"/>
            </a:ext>
          </a:extLst>
        </xdr:cNvPr>
        <xdr:cNvSpPr/>
      </xdr:nvSpPr>
      <xdr:spPr bwMode="auto">
        <a:xfrm>
          <a:off x="12677775" y="8486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34</xdr:col>
      <xdr:colOff>19050</xdr:colOff>
      <xdr:row>51</xdr:row>
      <xdr:rowOff>47625</xdr:rowOff>
    </xdr:from>
    <xdr:to>
      <xdr:col>35</xdr:col>
      <xdr:colOff>209550</xdr:colOff>
      <xdr:row>57</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16</xdr:col>
      <xdr:colOff>219076</xdr:colOff>
      <xdr:row>2</xdr:row>
      <xdr:rowOff>85727</xdr:rowOff>
    </xdr:from>
    <xdr:to>
      <xdr:col>20</xdr:col>
      <xdr:colOff>738454</xdr:colOff>
      <xdr:row>20</xdr:row>
      <xdr:rowOff>41911</xdr:rowOff>
    </xdr:to>
    <xdr:pic>
      <xdr:nvPicPr>
        <xdr:cNvPr id="47" name="Picture 3">
          <a:extLst>
            <a:ext uri="{FF2B5EF4-FFF2-40B4-BE49-F238E27FC236}">
              <a16:creationId xmlns:a16="http://schemas.microsoft.com/office/drawing/2014/main" id="{360281B5-ABC2-8DEB-8BD4-14FB2E2901D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630526" y="438152"/>
          <a:ext cx="4489398" cy="2943224"/>
        </a:xfrm>
        <a:prstGeom prst="rect">
          <a:avLst/>
        </a:prstGeom>
      </xdr:spPr>
    </xdr:pic>
    <xdr:clientData/>
  </xdr:twoCellAnchor>
  <xdr:twoCellAnchor editAs="oneCell">
    <xdr:from>
      <xdr:col>19</xdr:col>
      <xdr:colOff>133350</xdr:colOff>
      <xdr:row>21</xdr:row>
      <xdr:rowOff>0</xdr:rowOff>
    </xdr:from>
    <xdr:to>
      <xdr:col>24</xdr:col>
      <xdr:colOff>393355</xdr:colOff>
      <xdr:row>29</xdr:row>
      <xdr:rowOff>127635</xdr:rowOff>
    </xdr:to>
    <xdr:pic>
      <xdr:nvPicPr>
        <xdr:cNvPr id="48" name="Picture 7">
          <a:extLst>
            <a:ext uri="{FF2B5EF4-FFF2-40B4-BE49-F238E27FC236}">
              <a16:creationId xmlns:a16="http://schemas.microsoft.com/office/drawing/2014/main" id="{0E589D91-8168-CDF8-7532-C3A721BCCBB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640425" y="3438525"/>
          <a:ext cx="4184305" cy="2619375"/>
        </a:xfrm>
        <a:prstGeom prst="rect">
          <a:avLst/>
        </a:prstGeom>
      </xdr:spPr>
    </xdr:pic>
    <xdr:clientData/>
  </xdr:twoCellAnchor>
  <xdr:twoCellAnchor editAs="oneCell">
    <xdr:from>
      <xdr:col>9</xdr:col>
      <xdr:colOff>266701</xdr:colOff>
      <xdr:row>35</xdr:row>
      <xdr:rowOff>161924</xdr:rowOff>
    </xdr:from>
    <xdr:to>
      <xdr:col>16</xdr:col>
      <xdr:colOff>1279353</xdr:colOff>
      <xdr:row>56</xdr:row>
      <xdr:rowOff>876300</xdr:rowOff>
    </xdr:to>
    <xdr:pic>
      <xdr:nvPicPr>
        <xdr:cNvPr id="60" name="Picture 9">
          <a:extLst>
            <a:ext uri="{FF2B5EF4-FFF2-40B4-BE49-F238E27FC236}">
              <a16:creationId xmlns:a16="http://schemas.microsoft.com/office/drawing/2014/main" id="{6CF8FD6D-81AC-4B45-D28A-D26FBB081B1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363201" y="7705724"/>
          <a:ext cx="6537152" cy="4791076"/>
        </a:xfrm>
        <a:prstGeom prst="rect">
          <a:avLst/>
        </a:prstGeom>
      </xdr:spPr>
    </xdr:pic>
    <xdr:clientData/>
  </xdr:twoCellAnchor>
  <xdr:twoCellAnchor editAs="oneCell">
    <xdr:from>
      <xdr:col>2</xdr:col>
      <xdr:colOff>1943099</xdr:colOff>
      <xdr:row>45</xdr:row>
      <xdr:rowOff>0</xdr:rowOff>
    </xdr:from>
    <xdr:to>
      <xdr:col>6</xdr:col>
      <xdr:colOff>367665</xdr:colOff>
      <xdr:row>57</xdr:row>
      <xdr:rowOff>104775</xdr:rowOff>
    </xdr:to>
    <xdr:pic>
      <xdr:nvPicPr>
        <xdr:cNvPr id="54" name="Picture 11">
          <a:extLst>
            <a:ext uri="{FF2B5EF4-FFF2-40B4-BE49-F238E27FC236}">
              <a16:creationId xmlns:a16="http://schemas.microsoft.com/office/drawing/2014/main" id="{1C21D949-B21B-6486-4F1E-850AFEB37C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47974" y="9744075"/>
          <a:ext cx="4530091" cy="3476625"/>
        </a:xfrm>
        <a:prstGeom prst="rect">
          <a:avLst/>
        </a:prstGeom>
      </xdr:spPr>
    </xdr:pic>
    <xdr:clientData/>
  </xdr:twoCellAnchor>
  <xdr:twoCellAnchor editAs="oneCell">
    <xdr:from>
      <xdr:col>18</xdr:col>
      <xdr:colOff>9524</xdr:colOff>
      <xdr:row>33</xdr:row>
      <xdr:rowOff>85725</xdr:rowOff>
    </xdr:from>
    <xdr:to>
      <xdr:col>27</xdr:col>
      <xdr:colOff>552449</xdr:colOff>
      <xdr:row>46</xdr:row>
      <xdr:rowOff>35804</xdr:rowOff>
    </xdr:to>
    <xdr:pic>
      <xdr:nvPicPr>
        <xdr:cNvPr id="11" name="Picture 3">
          <a:extLst>
            <a:ext uri="{FF2B5EF4-FFF2-40B4-BE49-F238E27FC236}">
              <a16:creationId xmlns:a16="http://schemas.microsoft.com/office/drawing/2014/main" id="{96305506-CA7F-D533-BAED-AA21572C1FE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641" r="4083"/>
        <a:stretch/>
      </xdr:blipFill>
      <xdr:spPr>
        <a:xfrm>
          <a:off x="17964149" y="6743700"/>
          <a:ext cx="7400925" cy="31219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20</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34</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20</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34</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14941</xdr:colOff>
      <xdr:row>0</xdr:row>
      <xdr:rowOff>149412</xdr:rowOff>
    </xdr:from>
    <xdr:to>
      <xdr:col>2</xdr:col>
      <xdr:colOff>11384</xdr:colOff>
      <xdr:row>1</xdr:row>
      <xdr:rowOff>956236</xdr:rowOff>
    </xdr:to>
    <xdr:pic>
      <xdr:nvPicPr>
        <xdr:cNvPr id="3" name="Picture 2" descr="Johnson Controls">
          <a:extLst>
            <a:ext uri="{FF2B5EF4-FFF2-40B4-BE49-F238E27FC236}">
              <a16:creationId xmlns:a16="http://schemas.microsoft.com/office/drawing/2014/main" id="{126C8986-6724-5E0B-8547-979B67CCAF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41" y="149412"/>
          <a:ext cx="2110993" cy="997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239060</xdr:colOff>
      <xdr:row>2</xdr:row>
      <xdr:rowOff>104589</xdr:rowOff>
    </xdr:from>
    <xdr:to>
      <xdr:col>1</xdr:col>
      <xdr:colOff>1921718</xdr:colOff>
      <xdr:row>2</xdr:row>
      <xdr:rowOff>1001059</xdr:rowOff>
    </xdr:to>
    <xdr:pic>
      <xdr:nvPicPr>
        <xdr:cNvPr id="5" name="Picture 4" descr="World Headquarters | Carrier Global Corporation (NYSE: CARR) | Carrier  Corporate">
          <a:extLst>
            <a:ext uri="{FF2B5EF4-FFF2-40B4-BE49-F238E27FC236}">
              <a16:creationId xmlns:a16="http://schemas.microsoft.com/office/drawing/2014/main" id="{5573094C-9D4C-3B4D-34F3-256F85413F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413" y="1322295"/>
          <a:ext cx="1682658" cy="896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304800</xdr:colOff>
      <xdr:row>3</xdr:row>
      <xdr:rowOff>304800</xdr:rowOff>
    </xdr:to>
    <xdr:sp macro="" textlink="">
      <xdr:nvSpPr>
        <xdr:cNvPr id="4102" name="AutoShape 6" descr="Trane Technologies | A Leader in Climate and Sustainability">
          <a:extLst>
            <a:ext uri="{FF2B5EF4-FFF2-40B4-BE49-F238E27FC236}">
              <a16:creationId xmlns:a16="http://schemas.microsoft.com/office/drawing/2014/main" id="{49B8D109-26E9-CCF3-9B73-3A3126C50732}"/>
            </a:ext>
          </a:extLst>
        </xdr:cNvPr>
        <xdr:cNvSpPr>
          <a:spLocks noChangeAspect="1" noChangeArrowheads="1"/>
        </xdr:cNvSpPr>
      </xdr:nvSpPr>
      <xdr:spPr bwMode="auto">
        <a:xfrm>
          <a:off x="38100" y="224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304800</xdr:colOff>
      <xdr:row>3</xdr:row>
      <xdr:rowOff>304800</xdr:rowOff>
    </xdr:to>
    <xdr:sp macro="" textlink="">
      <xdr:nvSpPr>
        <xdr:cNvPr id="4105" name="AutoShape 9" descr="Trane Technologies | A Leader in Climate and Sustainability">
          <a:extLst>
            <a:ext uri="{FF2B5EF4-FFF2-40B4-BE49-F238E27FC236}">
              <a16:creationId xmlns:a16="http://schemas.microsoft.com/office/drawing/2014/main" id="{8FB0C75E-BBC5-C708-59BD-57F3B2097374}"/>
            </a:ext>
          </a:extLst>
        </xdr:cNvPr>
        <xdr:cNvSpPr>
          <a:spLocks noChangeAspect="1" noChangeArrowheads="1"/>
        </xdr:cNvSpPr>
      </xdr:nvSpPr>
      <xdr:spPr bwMode="auto">
        <a:xfrm>
          <a:off x="38100" y="224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304800</xdr:colOff>
      <xdr:row>3</xdr:row>
      <xdr:rowOff>304800</xdr:rowOff>
    </xdr:to>
    <xdr:sp macro="" textlink="">
      <xdr:nvSpPr>
        <xdr:cNvPr id="4106" name="AutoShape 10" descr="Trane Technologies | A Leader in Climate and Sustainability">
          <a:extLst>
            <a:ext uri="{FF2B5EF4-FFF2-40B4-BE49-F238E27FC236}">
              <a16:creationId xmlns:a16="http://schemas.microsoft.com/office/drawing/2014/main" id="{EBAF8903-94CA-2387-D00B-3CE95CF803D7}"/>
            </a:ext>
          </a:extLst>
        </xdr:cNvPr>
        <xdr:cNvSpPr>
          <a:spLocks noChangeAspect="1" noChangeArrowheads="1"/>
        </xdr:cNvSpPr>
      </xdr:nvSpPr>
      <xdr:spPr bwMode="auto">
        <a:xfrm>
          <a:off x="38100" y="224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179295</xdr:colOff>
      <xdr:row>3</xdr:row>
      <xdr:rowOff>74705</xdr:rowOff>
    </xdr:from>
    <xdr:to>
      <xdr:col>1</xdr:col>
      <xdr:colOff>2032000</xdr:colOff>
      <xdr:row>3</xdr:row>
      <xdr:rowOff>1021130</xdr:rowOff>
    </xdr:to>
    <xdr:pic>
      <xdr:nvPicPr>
        <xdr:cNvPr id="6" name="Picture 5" descr="Thermo King da Trane Technologies entregará soluções totalmente elétricas e  com emissão zero para cadeia refrigerada até 2023 | Business Wire">
          <a:extLst>
            <a:ext uri="{FF2B5EF4-FFF2-40B4-BE49-F238E27FC236}">
              <a16:creationId xmlns:a16="http://schemas.microsoft.com/office/drawing/2014/main" id="{C3411AD9-713A-9E85-1FFA-2C115A58E7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6648" y="2330823"/>
          <a:ext cx="1852705" cy="94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xdr:row>
      <xdr:rowOff>0</xdr:rowOff>
    </xdr:from>
    <xdr:to>
      <xdr:col>1</xdr:col>
      <xdr:colOff>304800</xdr:colOff>
      <xdr:row>4</xdr:row>
      <xdr:rowOff>304800</xdr:rowOff>
    </xdr:to>
    <xdr:sp macro="" textlink="">
      <xdr:nvSpPr>
        <xdr:cNvPr id="2" name="AutoShape 6" descr="Trane Technologies | A Leader in Climate and Sustainability">
          <a:extLst>
            <a:ext uri="{FF2B5EF4-FFF2-40B4-BE49-F238E27FC236}">
              <a16:creationId xmlns:a16="http://schemas.microsoft.com/office/drawing/2014/main" id="{A239B66A-3500-4562-A6E9-F4876C0EDBC9}"/>
            </a:ext>
            <a:ext uri="{147F2762-F138-4A5C-976F-8EAC2B608ADB}">
              <a16:predDERef xmlns:a16="http://schemas.microsoft.com/office/drawing/2014/main" pred="{5F77372C-C892-15B0-24D1-817E2B37C6FB}"/>
            </a:ext>
          </a:extLst>
        </xdr:cNvPr>
        <xdr:cNvSpPr>
          <a:spLocks noChangeAspect="1" noChangeArrowheads="1"/>
        </xdr:cNvSpPr>
      </xdr:nvSpPr>
      <xdr:spPr bwMode="auto">
        <a:xfrm>
          <a:off x="38100" y="224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4</xdr:row>
      <xdr:rowOff>304800</xdr:rowOff>
    </xdr:to>
    <xdr:sp macro="" textlink="">
      <xdr:nvSpPr>
        <xdr:cNvPr id="4" name="AutoShape 9" descr="Trane Technologies | A Leader in Climate and Sustainability">
          <a:extLst>
            <a:ext uri="{FF2B5EF4-FFF2-40B4-BE49-F238E27FC236}">
              <a16:creationId xmlns:a16="http://schemas.microsoft.com/office/drawing/2014/main" id="{296BCF11-EB8D-44AD-80C9-62AE649118D7}"/>
            </a:ext>
            <a:ext uri="{147F2762-F138-4A5C-976F-8EAC2B608ADB}">
              <a16:predDERef xmlns:a16="http://schemas.microsoft.com/office/drawing/2014/main" pred="{A239B66A-3500-4562-A6E9-F4876C0EDBC9}"/>
            </a:ext>
          </a:extLst>
        </xdr:cNvPr>
        <xdr:cNvSpPr>
          <a:spLocks noChangeAspect="1" noChangeArrowheads="1"/>
        </xdr:cNvSpPr>
      </xdr:nvSpPr>
      <xdr:spPr bwMode="auto">
        <a:xfrm>
          <a:off x="38100" y="224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4</xdr:row>
      <xdr:rowOff>304800</xdr:rowOff>
    </xdr:to>
    <xdr:sp macro="" textlink="">
      <xdr:nvSpPr>
        <xdr:cNvPr id="7" name="AutoShape 10" descr="Trane Technologies | A Leader in Climate and Sustainability">
          <a:extLst>
            <a:ext uri="{FF2B5EF4-FFF2-40B4-BE49-F238E27FC236}">
              <a16:creationId xmlns:a16="http://schemas.microsoft.com/office/drawing/2014/main" id="{4D7BF1CC-98C7-46E6-85D4-3859577DEEB3}"/>
            </a:ext>
            <a:ext uri="{147F2762-F138-4A5C-976F-8EAC2B608ADB}">
              <a16:predDERef xmlns:a16="http://schemas.microsoft.com/office/drawing/2014/main" pred="{296BCF11-EB8D-44AD-80C9-62AE649118D7}"/>
            </a:ext>
          </a:extLst>
        </xdr:cNvPr>
        <xdr:cNvSpPr>
          <a:spLocks noChangeAspect="1" noChangeArrowheads="1"/>
        </xdr:cNvSpPr>
      </xdr:nvSpPr>
      <xdr:spPr bwMode="auto">
        <a:xfrm>
          <a:off x="38100" y="224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338666</xdr:colOff>
      <xdr:row>4</xdr:row>
      <xdr:rowOff>63500</xdr:rowOff>
    </xdr:from>
    <xdr:to>
      <xdr:col>1</xdr:col>
      <xdr:colOff>1725083</xdr:colOff>
      <xdr:row>5</xdr:row>
      <xdr:rowOff>110975</xdr:rowOff>
    </xdr:to>
    <xdr:pic>
      <xdr:nvPicPr>
        <xdr:cNvPr id="10" name="Picture 9" descr="LENNOX INTERNATIONAL INC | Amprobe">
          <a:extLst>
            <a:ext uri="{FF2B5EF4-FFF2-40B4-BE49-F238E27FC236}">
              <a16:creationId xmlns:a16="http://schemas.microsoft.com/office/drawing/2014/main" id="{2A3A49A8-58E7-8349-95C4-5A4871B2181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0999" y="3725333"/>
          <a:ext cx="1386417" cy="1391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371475</xdr:colOff>
      <xdr:row>45</xdr:row>
      <xdr:rowOff>42023</xdr:rowOff>
    </xdr:from>
    <xdr:to>
      <xdr:col>6</xdr:col>
      <xdr:colOff>189940</xdr:colOff>
      <xdr:row>59</xdr:row>
      <xdr:rowOff>10327</xdr:rowOff>
    </xdr:to>
    <xdr:pic>
      <xdr:nvPicPr>
        <xdr:cNvPr id="23" name="Picture 9">
          <a:extLst>
            <a:ext uri="{FF2B5EF4-FFF2-40B4-BE49-F238E27FC236}">
              <a16:creationId xmlns:a16="http://schemas.microsoft.com/office/drawing/2014/main" id="{622E09EF-22C1-420B-977E-22D3E3644C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4350" y="16948898"/>
          <a:ext cx="6990790" cy="4464104"/>
        </a:xfrm>
        <a:prstGeom prst="rect">
          <a:avLst/>
        </a:prstGeom>
      </xdr:spPr>
    </xdr:pic>
    <xdr:clientData/>
  </xdr:twoCellAnchor>
  <xdr:twoCellAnchor editAs="oneCell">
    <xdr:from>
      <xdr:col>9</xdr:col>
      <xdr:colOff>3095625</xdr:colOff>
      <xdr:row>42</xdr:row>
      <xdr:rowOff>206186</xdr:rowOff>
    </xdr:from>
    <xdr:to>
      <xdr:col>12</xdr:col>
      <xdr:colOff>124385</xdr:colOff>
      <xdr:row>47</xdr:row>
      <xdr:rowOff>291351</xdr:rowOff>
    </xdr:to>
    <xdr:pic>
      <xdr:nvPicPr>
        <xdr:cNvPr id="22" name="Picture 10">
          <a:extLst>
            <a:ext uri="{FF2B5EF4-FFF2-40B4-BE49-F238E27FC236}">
              <a16:creationId xmlns:a16="http://schemas.microsoft.com/office/drawing/2014/main" id="{3915B043-2059-4DD1-A1E3-BBE3B162719E}"/>
            </a:ext>
            <a:ext uri="{147F2762-F138-4A5C-976F-8EAC2B608ADB}">
              <a16:predDERef xmlns:a16="http://schemas.microsoft.com/office/drawing/2014/main" pred="{622E09EF-22C1-420B-977E-22D3E3644CC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25475" y="11588561"/>
          <a:ext cx="5029760" cy="6495490"/>
        </a:xfrm>
        <a:prstGeom prst="rect">
          <a:avLst/>
        </a:prstGeom>
      </xdr:spPr>
    </xdr:pic>
    <xdr:clientData/>
  </xdr:twoCellAnchor>
  <xdr:twoCellAnchor>
    <xdr:from>
      <xdr:col>10</xdr:col>
      <xdr:colOff>1989846</xdr:colOff>
      <xdr:row>21</xdr:row>
      <xdr:rowOff>191298</xdr:rowOff>
    </xdr:from>
    <xdr:to>
      <xdr:col>15</xdr:col>
      <xdr:colOff>526678</xdr:colOff>
      <xdr:row>33</xdr:row>
      <xdr:rowOff>67235</xdr:rowOff>
    </xdr:to>
    <xdr:graphicFrame macro="">
      <xdr:nvGraphicFramePr>
        <xdr:cNvPr id="31" name="Chart 12">
          <a:extLst>
            <a:ext uri="{FF2B5EF4-FFF2-40B4-BE49-F238E27FC236}">
              <a16:creationId xmlns:a16="http://schemas.microsoft.com/office/drawing/2014/main" id="{1A5AA02D-9193-E808-46A5-F2DF894CD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549888</xdr:colOff>
      <xdr:row>12</xdr:row>
      <xdr:rowOff>157599</xdr:rowOff>
    </xdr:from>
    <xdr:to>
      <xdr:col>29</xdr:col>
      <xdr:colOff>179294</xdr:colOff>
      <xdr:row>21</xdr:row>
      <xdr:rowOff>78440</xdr:rowOff>
    </xdr:to>
    <xdr:graphicFrame macro="">
      <xdr:nvGraphicFramePr>
        <xdr:cNvPr id="15" name="Chart 14">
          <a:extLst>
            <a:ext uri="{FF2B5EF4-FFF2-40B4-BE49-F238E27FC236}">
              <a16:creationId xmlns:a16="http://schemas.microsoft.com/office/drawing/2014/main" id="{257EEDBD-B140-C34D-A4B6-36699ABEF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152880</xdr:colOff>
      <xdr:row>12</xdr:row>
      <xdr:rowOff>47227</xdr:rowOff>
    </xdr:from>
    <xdr:to>
      <xdr:col>22</xdr:col>
      <xdr:colOff>291353</xdr:colOff>
      <xdr:row>21</xdr:row>
      <xdr:rowOff>89647</xdr:rowOff>
    </xdr:to>
    <xdr:graphicFrame macro="">
      <xdr:nvGraphicFramePr>
        <xdr:cNvPr id="16" name="Chart 15">
          <a:extLst>
            <a:ext uri="{FF2B5EF4-FFF2-40B4-BE49-F238E27FC236}">
              <a16:creationId xmlns:a16="http://schemas.microsoft.com/office/drawing/2014/main" id="{2A2C1709-591B-51A8-E049-2EB7ECB08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186497</xdr:colOff>
      <xdr:row>1</xdr:row>
      <xdr:rowOff>156083</xdr:rowOff>
    </xdr:from>
    <xdr:to>
      <xdr:col>22</xdr:col>
      <xdr:colOff>907675</xdr:colOff>
      <xdr:row>12</xdr:row>
      <xdr:rowOff>33618</xdr:rowOff>
    </xdr:to>
    <xdr:graphicFrame macro="">
      <xdr:nvGraphicFramePr>
        <xdr:cNvPr id="25" name="Chart 16">
          <a:extLst>
            <a:ext uri="{FF2B5EF4-FFF2-40B4-BE49-F238E27FC236}">
              <a16:creationId xmlns:a16="http://schemas.microsoft.com/office/drawing/2014/main" id="{A9ADBB64-1CD5-858B-C49F-17B9E88EF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709970</xdr:colOff>
      <xdr:row>2</xdr:row>
      <xdr:rowOff>2320</xdr:rowOff>
    </xdr:from>
    <xdr:to>
      <xdr:col>28</xdr:col>
      <xdr:colOff>515471</xdr:colOff>
      <xdr:row>11</xdr:row>
      <xdr:rowOff>145676</xdr:rowOff>
    </xdr:to>
    <xdr:graphicFrame macro="">
      <xdr:nvGraphicFramePr>
        <xdr:cNvPr id="29" name="Chart 17">
          <a:extLst>
            <a:ext uri="{FF2B5EF4-FFF2-40B4-BE49-F238E27FC236}">
              <a16:creationId xmlns:a16="http://schemas.microsoft.com/office/drawing/2014/main" id="{B2E8F28F-C789-3CE0-BA1B-A56465CC5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152400</xdr:colOff>
      <xdr:row>48</xdr:row>
      <xdr:rowOff>142875</xdr:rowOff>
    </xdr:from>
    <xdr:to>
      <xdr:col>13</xdr:col>
      <xdr:colOff>137160</xdr:colOff>
      <xdr:row>75</xdr:row>
      <xdr:rowOff>57150</xdr:rowOff>
    </xdr:to>
    <xdr:pic>
      <xdr:nvPicPr>
        <xdr:cNvPr id="11" name="Picture 2">
          <a:extLst>
            <a:ext uri="{FF2B5EF4-FFF2-40B4-BE49-F238E27FC236}">
              <a16:creationId xmlns:a16="http://schemas.microsoft.com/office/drawing/2014/main" id="{ECB92464-6018-A48D-CD34-3D80F1A608AC}"/>
            </a:ext>
            <a:ext uri="{147F2762-F138-4A5C-976F-8EAC2B608ADB}">
              <a16:predDERef xmlns:a16="http://schemas.microsoft.com/office/drawing/2014/main" pred="{6481C69C-699D-3A4F-2F37-0DD87440A7E5}"/>
            </a:ext>
          </a:extLst>
        </xdr:cNvPr>
        <xdr:cNvPicPr>
          <a:picLocks noChangeAspect="1"/>
        </xdr:cNvPicPr>
      </xdr:nvPicPr>
      <xdr:blipFill>
        <a:blip xmlns:r="http://schemas.openxmlformats.org/officeDocument/2006/relationships" r:embed="rId1"/>
        <a:stretch>
          <a:fillRect/>
        </a:stretch>
      </xdr:blipFill>
      <xdr:spPr>
        <a:xfrm>
          <a:off x="9763125" y="8924925"/>
          <a:ext cx="7048500" cy="49815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ownloads\Copy%20of%20Daikin.xlsx" TargetMode="External"/><Relationship Id="rId1" Type="http://schemas.openxmlformats.org/officeDocument/2006/relationships/externalLinkPath" Target="file:///C:\Users\gabri\Downloads\Copy%20of%20Daiki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Fin. Data"/>
      <sheetName val="Fin. Data (Common Size)"/>
      <sheetName val="Inputs"/>
      <sheetName val="Sector Impact"/>
    </sheetNames>
    <sheetDataSet>
      <sheetData sheetId="0"/>
      <sheetData sheetId="1"/>
      <sheetData sheetId="2"/>
      <sheetData sheetId="3"/>
      <sheetData sheetId="4"/>
      <sheetData sheetId="5"/>
      <sheetData sheetId="6"/>
      <sheetData sheetId="7"/>
      <sheetData sheetId="8"/>
      <sheetData sheetId="9">
        <row r="4">
          <cell r="K4" t="str">
            <v>Communication Services</v>
          </cell>
          <cell r="L4" t="str">
            <v>Low</v>
          </cell>
          <cell r="M4" t="str">
            <v>Low</v>
          </cell>
          <cell r="N4" t="str">
            <v>Medium</v>
          </cell>
          <cell r="O4" t="str">
            <v>Low</v>
          </cell>
          <cell r="P4" t="str">
            <v>Low</v>
          </cell>
          <cell r="Q4" t="str">
            <v>Medium</v>
          </cell>
          <cell r="R4" t="str">
            <v>Medium</v>
          </cell>
          <cell r="S4" t="str">
            <v>Low</v>
          </cell>
          <cell r="T4" t="str">
            <v>Low</v>
          </cell>
          <cell r="U4" t="str">
            <v>High</v>
          </cell>
          <cell r="V4" t="str">
            <v>Low</v>
          </cell>
          <cell r="W4" t="str">
            <v>Low</v>
          </cell>
          <cell r="X4" t="str">
            <v>Low</v>
          </cell>
          <cell r="Y4" t="str">
            <v>Low</v>
          </cell>
          <cell r="Z4" t="str">
            <v>Low</v>
          </cell>
          <cell r="AA4" t="str">
            <v>Medium</v>
          </cell>
        </row>
        <row r="5">
          <cell r="K5" t="str">
            <v>Consumer Discretionary</v>
          </cell>
          <cell r="L5" t="str">
            <v>Low</v>
          </cell>
          <cell r="M5" t="str">
            <v>Low</v>
          </cell>
          <cell r="N5" t="str">
            <v>Medium</v>
          </cell>
          <cell r="O5" t="str">
            <v>Medium</v>
          </cell>
          <cell r="P5" t="str">
            <v>Low</v>
          </cell>
          <cell r="Q5" t="str">
            <v>Medium</v>
          </cell>
          <cell r="R5" t="str">
            <v>Medium</v>
          </cell>
          <cell r="S5" t="str">
            <v>Low</v>
          </cell>
          <cell r="T5" t="str">
            <v>Low</v>
          </cell>
          <cell r="U5" t="str">
            <v>Medium</v>
          </cell>
          <cell r="V5" t="str">
            <v>Medium</v>
          </cell>
          <cell r="W5" t="str">
            <v>Medium</v>
          </cell>
          <cell r="X5" t="str">
            <v>High</v>
          </cell>
          <cell r="Y5" t="str">
            <v>Low</v>
          </cell>
          <cell r="Z5" t="str">
            <v>High</v>
          </cell>
          <cell r="AA5" t="str">
            <v>Low</v>
          </cell>
        </row>
        <row r="6">
          <cell r="K6" t="str">
            <v>Consumer Staples</v>
          </cell>
          <cell r="L6" t="str">
            <v>High</v>
          </cell>
          <cell r="M6" t="str">
            <v>Very High</v>
          </cell>
          <cell r="N6" t="str">
            <v>High</v>
          </cell>
          <cell r="O6" t="str">
            <v>High</v>
          </cell>
          <cell r="P6" t="str">
            <v>High</v>
          </cell>
          <cell r="Q6" t="str">
            <v>Medium</v>
          </cell>
          <cell r="R6" t="str">
            <v>High</v>
          </cell>
          <cell r="S6" t="str">
            <v>High</v>
          </cell>
          <cell r="T6" t="str">
            <v>Low</v>
          </cell>
          <cell r="U6" t="str">
            <v>Medium</v>
          </cell>
          <cell r="V6" t="str">
            <v>Medium</v>
          </cell>
          <cell r="W6" t="str">
            <v>Low</v>
          </cell>
          <cell r="X6" t="str">
            <v>High</v>
          </cell>
          <cell r="Y6" t="str">
            <v>Low</v>
          </cell>
          <cell r="Z6" t="str">
            <v>Very High</v>
          </cell>
          <cell r="AA6" t="str">
            <v>Low</v>
          </cell>
        </row>
        <row r="7">
          <cell r="K7" t="str">
            <v>Energy</v>
          </cell>
          <cell r="L7" t="str">
            <v>Very High</v>
          </cell>
          <cell r="M7" t="str">
            <v>Very High</v>
          </cell>
          <cell r="N7" t="str">
            <v>Medium</v>
          </cell>
          <cell r="O7" t="str">
            <v>Very High</v>
          </cell>
          <cell r="P7" t="str">
            <v>High</v>
          </cell>
          <cell r="Q7" t="str">
            <v>High</v>
          </cell>
          <cell r="R7" t="str">
            <v>Medium</v>
          </cell>
          <cell r="S7" t="str">
            <v>Medium</v>
          </cell>
          <cell r="T7" t="str">
            <v>Medium</v>
          </cell>
          <cell r="U7" t="str">
            <v>Medium</v>
          </cell>
          <cell r="V7" t="str">
            <v>High</v>
          </cell>
          <cell r="W7" t="str">
            <v>Medium</v>
          </cell>
          <cell r="X7" t="str">
            <v>Medium</v>
          </cell>
          <cell r="Y7" t="str">
            <v>High</v>
          </cell>
          <cell r="Z7" t="str">
            <v>High</v>
          </cell>
          <cell r="AA7" t="str">
            <v>Low</v>
          </cell>
        </row>
        <row r="8">
          <cell r="K8" t="str">
            <v>Renewable Energy</v>
          </cell>
          <cell r="L8" t="str">
            <v>Low</v>
          </cell>
          <cell r="M8" t="str">
            <v>Low</v>
          </cell>
          <cell r="N8" t="str">
            <v>Low</v>
          </cell>
          <cell r="O8" t="str">
            <v>Medium</v>
          </cell>
          <cell r="P8" t="str">
            <v>Medium</v>
          </cell>
          <cell r="Q8" t="str">
            <v>Low</v>
          </cell>
          <cell r="R8" t="str">
            <v>Medium</v>
          </cell>
          <cell r="S8" t="str">
            <v>Medium</v>
          </cell>
          <cell r="T8" t="str">
            <v>High</v>
          </cell>
          <cell r="U8" t="str">
            <v>Medium</v>
          </cell>
          <cell r="V8" t="str">
            <v>Low</v>
          </cell>
          <cell r="W8" t="str">
            <v>Low</v>
          </cell>
          <cell r="X8" t="str">
            <v>Medium</v>
          </cell>
          <cell r="Y8" t="str">
            <v>Medium</v>
          </cell>
          <cell r="Z8" t="str">
            <v>High</v>
          </cell>
          <cell r="AA8" t="str">
            <v>Low</v>
          </cell>
        </row>
        <row r="9">
          <cell r="K9" t="str">
            <v>Financials</v>
          </cell>
          <cell r="L9" t="str">
            <v>Low</v>
          </cell>
          <cell r="M9" t="str">
            <v>Low</v>
          </cell>
          <cell r="N9" t="str">
            <v>Low</v>
          </cell>
          <cell r="O9" t="str">
            <v>Low</v>
          </cell>
          <cell r="P9" t="str">
            <v>Low</v>
          </cell>
          <cell r="Q9" t="str">
            <v>Low</v>
          </cell>
          <cell r="R9" t="str">
            <v>Low</v>
          </cell>
          <cell r="S9" t="str">
            <v>Medium</v>
          </cell>
          <cell r="T9" t="str">
            <v>High</v>
          </cell>
          <cell r="U9" t="str">
            <v>Medium</v>
          </cell>
          <cell r="V9" t="str">
            <v>Low</v>
          </cell>
          <cell r="W9" t="str">
            <v>Low</v>
          </cell>
          <cell r="X9" t="str">
            <v>Low</v>
          </cell>
          <cell r="Y9" t="str">
            <v>Low</v>
          </cell>
          <cell r="Z9" t="str">
            <v>Medium</v>
          </cell>
          <cell r="AA9" t="str">
            <v>Low</v>
          </cell>
        </row>
        <row r="10">
          <cell r="K10" t="str">
            <v>Forestry</v>
          </cell>
          <cell r="L10" t="str">
            <v>Low</v>
          </cell>
          <cell r="M10" t="str">
            <v>Medium</v>
          </cell>
          <cell r="N10" t="str">
            <v>Low</v>
          </cell>
          <cell r="O10" t="str">
            <v>Medium</v>
          </cell>
          <cell r="P10" t="str">
            <v>High</v>
          </cell>
          <cell r="Q10" t="str">
            <v>Low</v>
          </cell>
          <cell r="R10" t="str">
            <v>Low</v>
          </cell>
          <cell r="S10" t="str">
            <v>Low</v>
          </cell>
          <cell r="T10" t="str">
            <v>Low</v>
          </cell>
          <cell r="U10" t="str">
            <v>Low</v>
          </cell>
          <cell r="V10" t="str">
            <v>Low</v>
          </cell>
          <cell r="W10" t="str">
            <v>Low</v>
          </cell>
          <cell r="X10" t="str">
            <v>Low</v>
          </cell>
          <cell r="Y10" t="str">
            <v>Medium</v>
          </cell>
          <cell r="Z10" t="str">
            <v>Low</v>
          </cell>
          <cell r="AA10" t="str">
            <v>Low</v>
          </cell>
        </row>
        <row r="11">
          <cell r="K11" t="str">
            <v>Health Care</v>
          </cell>
          <cell r="L11" t="str">
            <v>Low</v>
          </cell>
          <cell r="M11" t="str">
            <v>Medium</v>
          </cell>
          <cell r="N11" t="str">
            <v>Low</v>
          </cell>
          <cell r="O11" t="str">
            <v>Low</v>
          </cell>
          <cell r="P11" t="str">
            <v>Low</v>
          </cell>
          <cell r="Q11" t="str">
            <v>Low</v>
          </cell>
          <cell r="R11" t="str">
            <v>Low</v>
          </cell>
          <cell r="S11" t="str">
            <v>Medium</v>
          </cell>
          <cell r="T11" t="str">
            <v>Low</v>
          </cell>
          <cell r="U11" t="str">
            <v>High</v>
          </cell>
          <cell r="V11" t="str">
            <v>Low</v>
          </cell>
          <cell r="W11" t="str">
            <v>Low</v>
          </cell>
          <cell r="X11" t="str">
            <v>Low</v>
          </cell>
          <cell r="Y11" t="str">
            <v>Low</v>
          </cell>
          <cell r="Z11" t="str">
            <v>Low</v>
          </cell>
          <cell r="AA11" t="str">
            <v>Low</v>
          </cell>
        </row>
        <row r="12">
          <cell r="K12" t="str">
            <v>Industrials</v>
          </cell>
          <cell r="L12" t="str">
            <v>Very High</v>
          </cell>
          <cell r="M12" t="str">
            <v>Very High</v>
          </cell>
          <cell r="N12" t="str">
            <v>Very High</v>
          </cell>
          <cell r="O12" t="str">
            <v>High</v>
          </cell>
          <cell r="P12" t="str">
            <v>High</v>
          </cell>
          <cell r="Q12" t="str">
            <v>Low</v>
          </cell>
          <cell r="R12" t="str">
            <v>Medium</v>
          </cell>
          <cell r="S12" t="str">
            <v>High</v>
          </cell>
          <cell r="T12" t="str">
            <v>Very High</v>
          </cell>
          <cell r="U12" t="str">
            <v>Medium</v>
          </cell>
          <cell r="V12" t="str">
            <v>Very High</v>
          </cell>
          <cell r="W12" t="str">
            <v>Medium</v>
          </cell>
          <cell r="X12" t="str">
            <v>Very High</v>
          </cell>
          <cell r="Y12" t="str">
            <v>Very High</v>
          </cell>
          <cell r="Z12" t="str">
            <v>Very High</v>
          </cell>
          <cell r="AA12" t="str">
            <v>High</v>
          </cell>
        </row>
        <row r="13">
          <cell r="K13" t="str">
            <v>Information Technology</v>
          </cell>
          <cell r="L13" t="str">
            <v>Medium</v>
          </cell>
          <cell r="M13" t="str">
            <v>Low</v>
          </cell>
          <cell r="N13" t="str">
            <v>High</v>
          </cell>
          <cell r="O13" t="str">
            <v>Low</v>
          </cell>
          <cell r="P13" t="str">
            <v>Low</v>
          </cell>
          <cell r="Q13" t="str">
            <v>Low</v>
          </cell>
          <cell r="R13" t="str">
            <v>Low</v>
          </cell>
          <cell r="S13" t="str">
            <v>Low</v>
          </cell>
          <cell r="T13" t="str">
            <v>Low</v>
          </cell>
          <cell r="U13" t="str">
            <v>High</v>
          </cell>
          <cell r="V13" t="str">
            <v>Low</v>
          </cell>
          <cell r="W13" t="str">
            <v>Low</v>
          </cell>
          <cell r="X13" t="str">
            <v>Low</v>
          </cell>
          <cell r="Y13" t="str">
            <v>Low</v>
          </cell>
          <cell r="Z13" t="str">
            <v>Medium</v>
          </cell>
          <cell r="AA13" t="str">
            <v>Very High</v>
          </cell>
        </row>
        <row r="14">
          <cell r="K14" t="str">
            <v>Materials</v>
          </cell>
          <cell r="L14" t="str">
            <v>Very High</v>
          </cell>
          <cell r="M14" t="str">
            <v>Very High</v>
          </cell>
          <cell r="N14" t="str">
            <v>Very High</v>
          </cell>
          <cell r="O14" t="str">
            <v>Very High</v>
          </cell>
          <cell r="P14" t="str">
            <v>High</v>
          </cell>
          <cell r="Q14" t="str">
            <v>High</v>
          </cell>
          <cell r="R14" t="str">
            <v>High</v>
          </cell>
          <cell r="S14" t="str">
            <v>Medium</v>
          </cell>
          <cell r="T14" t="str">
            <v>High</v>
          </cell>
          <cell r="U14" t="str">
            <v>Low</v>
          </cell>
          <cell r="V14" t="str">
            <v>Very High</v>
          </cell>
          <cell r="W14" t="str">
            <v>Medium</v>
          </cell>
          <cell r="X14" t="str">
            <v>Medium</v>
          </cell>
          <cell r="Y14" t="str">
            <v>Very High</v>
          </cell>
          <cell r="Z14" t="str">
            <v>High</v>
          </cell>
          <cell r="AA14" t="str">
            <v>Medium</v>
          </cell>
        </row>
        <row r="15">
          <cell r="K15" t="str">
            <v>Real Estate</v>
          </cell>
          <cell r="L15" t="str">
            <v>Low</v>
          </cell>
          <cell r="M15" t="str">
            <v>Low</v>
          </cell>
          <cell r="N15" t="str">
            <v>Medium</v>
          </cell>
          <cell r="O15" t="str">
            <v>Low</v>
          </cell>
          <cell r="P15" t="str">
            <v>Low</v>
          </cell>
          <cell r="Q15" t="str">
            <v>Medium</v>
          </cell>
          <cell r="R15" t="str">
            <v>Low</v>
          </cell>
          <cell r="S15" t="str">
            <v>Low</v>
          </cell>
          <cell r="T15" t="str">
            <v>Low</v>
          </cell>
          <cell r="U15" t="str">
            <v>High</v>
          </cell>
          <cell r="V15" t="str">
            <v>Low</v>
          </cell>
          <cell r="W15" t="str">
            <v>Medium</v>
          </cell>
          <cell r="X15" t="str">
            <v>Low</v>
          </cell>
          <cell r="Y15" t="str">
            <v>Medium</v>
          </cell>
          <cell r="Z15" t="str">
            <v>Low</v>
          </cell>
          <cell r="AA15" t="str">
            <v>Low</v>
          </cell>
        </row>
        <row r="16">
          <cell r="K16" t="str">
            <v>Utilities</v>
          </cell>
          <cell r="L16" t="str">
            <v>Very High</v>
          </cell>
          <cell r="M16" t="str">
            <v>High</v>
          </cell>
          <cell r="N16" t="str">
            <v>High</v>
          </cell>
          <cell r="O16" t="str">
            <v>Medium</v>
          </cell>
          <cell r="P16" t="str">
            <v>High</v>
          </cell>
          <cell r="Q16" t="str">
            <v>Low</v>
          </cell>
          <cell r="R16" t="str">
            <v>Medium</v>
          </cell>
          <cell r="S16" t="str">
            <v>Medium</v>
          </cell>
          <cell r="T16" t="str">
            <v>Low</v>
          </cell>
          <cell r="U16" t="str">
            <v>Medium</v>
          </cell>
          <cell r="V16" t="str">
            <v>Medium</v>
          </cell>
          <cell r="W16" t="str">
            <v>Medium</v>
          </cell>
          <cell r="X16" t="str">
            <v>Medium</v>
          </cell>
          <cell r="Y16" t="str">
            <v>Low</v>
          </cell>
          <cell r="Z16" t="str">
            <v>Medium</v>
          </cell>
          <cell r="AA16" t="str">
            <v>Low</v>
          </cell>
        </row>
      </sheetData>
    </sheetDataSet>
  </externalBook>
</externalLink>
</file>

<file path=xl/persons/person.xml><?xml version="1.0" encoding="utf-8"?>
<personList xmlns="http://schemas.microsoft.com/office/spreadsheetml/2018/threadedcomments" xmlns:x="http://schemas.openxmlformats.org/spreadsheetml/2006/main">
  <person displayName="Damião Carvalho Perdigão Gonçalves Ribeiro" id="{49E43F8C-87BC-423E-AD78-51F2C693679D}" userId="S::l59474@aln.iseg.ulisboa.pt::6407117b-21e3-48f9-a601-7ce879c411f6" providerId="AD"/>
  <person displayName="DAVID TITA" id="{6D2C5BD9-1C3E-4972-9F97-1CA81A3CC14E}" userId="S::david.tita@aln.iseg.ulisboa.pt::2b554b1a-dfdf-4fc2-8414-05963e9f059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2">
  <rv s="0">
    <v>https://www.bing.com/financeapi/forcetrigger?t=a1w2cw&amp;q=XNYS%3aJCI&amp;form=skydnc</v>
    <v>Learn more on Bing</v>
  </rv>
  <rv s="1">
    <v>en-US</v>
    <v>a1w2cw</v>
    <v>268435456</v>
    <v>1</v>
    <v>Powered by Refinitiv</v>
    <v>0</v>
    <v>JOHNSON CONTROLS INTERNATIONAL PLC (XNYS:JCI)</v>
    <v>2</v>
    <v>3</v>
    <v>Finance</v>
    <v>4</v>
    <v>87.16</v>
    <v>50.594999999999999</v>
    <v>1.3325</v>
    <v>-1.39</v>
    <v>-1.6050999999999999E-2</v>
    <v>USD</v>
    <v>Johnson Controls International plc offers smart, healthy and sustainable buildings, serving a range of customers. It operates through four segments: Building Solutions North America, Building Solutions EMEA/LA, Building Solutions Asia Pacific, and Global Products. Its Building Solutions North America, Building Solutions EMEA/LA, and Building Solutions Asia Pacific segments design, sell, install, and services heating, ventilation and air conditioning (HVAC), controls, building management, refrigeration, integrated electronic security, integrated fire detection and suppression systems, and provides technical services. Its Global Products segment designs, manufactures and sells HVAC equipment, controls software and software services for residential and commercial applications to commercial, industrial, retail, residential, small business, institutional and governmental customers worldwide. Global Products segment also designs, manufactures and sells refrigeration equipment and controls.</v>
    <v>100000</v>
    <v>New York Stock Exchange</v>
    <v>XNYS</v>
    <v>XNYS</v>
    <v>One Albert Quay, Albert Quay, CORK, CORK IE</v>
    <v>86.885000000000005</v>
    <v>Machinery, Equipment &amp; Components</v>
    <v>Stock</v>
    <v>45608.855424258596</v>
    <v>0</v>
    <v>84.58</v>
    <v>56921430334</v>
    <v>JOHNSON CONTROLS INTERNATIONAL PLC</v>
    <v>JOHNSON CONTROLS INTERNATIONAL PLC</v>
    <v>86.09</v>
    <v>36.191000000000003</v>
    <v>86.6</v>
    <v>85.21</v>
    <v>668013500</v>
    <v>JCI</v>
    <v>JOHNSON CONTROLS INTERNATIONAL PLC (XNYS:JCI)</v>
    <v>1924844</v>
    <v>3603379</v>
    <v>2014</v>
  </rv>
  <rv s="2">
    <v>1</v>
  </rv>
  <rv s="0">
    <v>https://www.bing.com/financeapi/forcetrigger?t=bu3ew7&amp;q=XNYS%3aCARR&amp;form=skydnc</v>
    <v>Learn more on Bing</v>
  </rv>
  <rv s="1">
    <v>en-US</v>
    <v>bu3ew7</v>
    <v>268435456</v>
    <v>1</v>
    <v>Powered by Refinitiv</v>
    <v>0</v>
    <v>CARRIER GLOBAL CORPORATION (XNYS:CARR)</v>
    <v>2</v>
    <v>3</v>
    <v>Finance</v>
    <v>4</v>
    <v>83.32</v>
    <v>50.67</v>
    <v>1.2045999999999999</v>
    <v>-0.82</v>
    <v>-1.0748000000000001E-2</v>
    <v>USD</v>
    <v>Carrier Global Corporation is engaged in offering intelligent climate and energy solutions with a focus on providing differentiated, digitally enabled lifecycle solutions. The Company operates through three segments: HVAC, Refrigeration, and Fire &amp; Security. Its HVAC segment provides products, controls, services and solutions to meet the heating, cooling and ventilation needs of residential and commercial customers. Its Refrigeration segment includes transport refrigeration and monitoring products, services and digital solutions for trucks, trailers, shipping containers, and intermodal and rail. Its Fire &amp; Security segment provides a range of residential, commercial and industrial technologies designed to help protect people and property. This segment offers products, such as fire, flame, gas, smoke and carbon monoxide detection, portable fire extinguishers, and others. The Company's portfolio includes brands, such as Carrier, Carrier Transicold, Viessmann, and others.</v>
    <v>53000</v>
    <v>New York Stock Exchange</v>
    <v>XNYS</v>
    <v>XNYS</v>
    <v>13995 Pasteur Boulevard, PALM BEACH GARDENS, FL, 33418 US</v>
    <v>76.55</v>
    <v>Machinery, Equipment &amp; Components</v>
    <v>Stock</v>
    <v>45608.855378575783</v>
    <v>3</v>
    <v>75.084999999999994</v>
    <v>67713751878</v>
    <v>CARRIER GLOBAL CORPORATION</v>
    <v>CARRIER GLOBAL CORPORATION</v>
    <v>76.13</v>
    <v>19.283899999999999</v>
    <v>76.290000000000006</v>
    <v>75.47</v>
    <v>897227400</v>
    <v>CARR</v>
    <v>CARRIER GLOBAL CORPORATION (XNYS:CARR)</v>
    <v>2649309</v>
    <v>3865150</v>
    <v>2019</v>
  </rv>
  <rv s="2">
    <v>4</v>
  </rv>
  <rv s="0">
    <v>https://www.bing.com/financeapi/forcetrigger?t=a1vqnm&amp;q=XNYS%3aTT&amp;form=skydnc</v>
    <v>Learn more on Bing</v>
  </rv>
  <rv s="1">
    <v>en-US</v>
    <v>a1vqnm</v>
    <v>268435456</v>
    <v>1</v>
    <v>Powered by Refinitiv</v>
    <v>0</v>
    <v>Trane Technologies plc (XNYS:TT)</v>
    <v>2</v>
    <v>3</v>
    <v>Finance</v>
    <v>4</v>
    <v>416.86</v>
    <v>221.22</v>
    <v>1.0769</v>
    <v>-3.64</v>
    <v>-8.7729999999999995E-3</v>
    <v>USD</v>
    <v>Trane Technologies PLC is a global climate innovator. Through its brands, such as Trane and Thermo King, and its portfolio of products and services, it brings climate solutions to buildings, homes, and transportation. Its segments include the Americas, EMEA and Asia Pacific. Its Americas segment serves customers in North America and Latin America and includes commercial heating and cooling systems, building controls, and energy services and solutions; residential heating and cooling; and transport refrigeration systems and solutions. Its EMEA segment serves customers in the Europe, Middle East and Africa region and includes heating and cooling systems, services and solutions for commercial buildings, and transport refrigeration systems and solutions. Its Asia Pacific segment serves customers throughout the Asia Pacific region and includes heating and cooling systems and solutions. It also offers cloud-based connected workplace and enterprise asset management products and solutions.</v>
    <v>40000</v>
    <v>New York Stock Exchange</v>
    <v>XNYS</v>
    <v>XNYS</v>
    <v>170/175 Lakeview Drive, Airside Business Park, Swords,, SWORDS, DUBLIN IE</v>
    <v>416.22</v>
    <v>Machinery, Equipment &amp; Components</v>
    <v>Stock</v>
    <v>45608.855438066406</v>
    <v>6</v>
    <v>406.92</v>
    <v>92547829592</v>
    <v>Trane Technologies plc</v>
    <v>Trane Technologies plc</v>
    <v>415</v>
    <v>38.020200000000003</v>
    <v>414.92</v>
    <v>411.28</v>
    <v>225023900</v>
    <v>TT</v>
    <v>Trane Technologies plc (XNYS:TT)</v>
    <v>795789</v>
    <v>1216675</v>
    <v>2009</v>
  </rv>
  <rv s="2">
    <v>7</v>
  </rv>
  <rv s="0">
    <v>https://www.bing.com/financeapi/forcetrigger?t=a1wwmw&amp;q=XNYS%3aLII&amp;form=skydnc</v>
    <v>Learn more on Bing</v>
  </rv>
  <rv s="1">
    <v>en-US</v>
    <v>a1wwmw</v>
    <v>268435456</v>
    <v>1</v>
    <v>Powered by Refinitiv</v>
    <v>0</v>
    <v>LENNOX INTERNATIONAL INC. (XNYS:LII)</v>
    <v>2</v>
    <v>3</v>
    <v>Finance</v>
    <v>4</v>
    <v>653.83000000000004</v>
    <v>391.63</v>
    <v>1.0752999999999999</v>
    <v>-11.94</v>
    <v>-1.8938999999999998E-2</v>
    <v>USD</v>
    <v>Lennox International Inc. is a provider of climate control solutions. The Company designs, manufactures and markets a range of products for the heating, ventilation, air conditioning and refrigeration (HVACR) markets. It operates through three segments: Home Comfort Solutions, Building Climate Solutions, and Corporate and Other. Home Comfort Solutions segment manufacture and market a broad range of furnaces, air conditioners, heat pumps, packaged heating and cooling systems, indoor air quality equipment, comfort control products, replacement parts and supplies and related products. Building Climate Solutions segment manufacture and sell unitary heating and air conditioning equipment, applied systems, controls, installation and service of commercial heating and cooling equipment, variable refrigerant flow commercial products, curb, curb adapters, drop box diffusers, HVAC recycling and salvage service, condensing units, unit coolers, fluid coolers, air cooled condensers, and others.</v>
    <v>12600</v>
    <v>New York Stock Exchange</v>
    <v>XNYS</v>
    <v>XNYS</v>
    <v>2140 Lake Park Blvd, RICHARDSON, TX, 75080 US</v>
    <v>632.04</v>
    <v>Machinery, Equipment &amp; Components</v>
    <v>Stock</v>
    <v>45608.855343796095</v>
    <v>9</v>
    <v>615.495</v>
    <v>22033711145</v>
    <v>LENNOX INTERNATIONAL INC.</v>
    <v>LENNOX INTERNATIONAL INC.</v>
    <v>632.04</v>
    <v>29.978100000000001</v>
    <v>630.46</v>
    <v>618.52</v>
    <v>35623280</v>
    <v>LII</v>
    <v>LENNOX INTERNATIONAL INC. (XNYS:LII)</v>
    <v>129670</v>
    <v>256180</v>
    <v>1991</v>
  </rv>
  <rv s="2">
    <v>10</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0" formatCode="General"/>
    </x:dxf>
    <x:dxf>
      <x:numFmt numFmtId="27" formatCode="dd/mm/yyyy\ hh:mm"/>
    </x:dxf>
  </dxfs>
  <richProperties>
    <rPr n="NumberFormat" t="s"/>
    <rPr n="IsTitleField" t="b"/>
  </richProperties>
  <richStyles>
    <rSty dxfid="5">
      <rpv i="0">_([$$-en-US]* #,##0.00_);_([$$-en-US]* (#,##0.00);_([$$-en-US]* "-"??_);_(@_)</rpv>
    </rSty>
    <rSty dxfid="0">
      <rpv i="0">#,##0.00</rpv>
    </rSty>
    <rSty>
      <rpv i="1">1</rpv>
    </rSty>
    <rSty dxfid="1">
      <rpv i="0">#,##0</rpv>
    </rSty>
    <rSty dxfid="2"/>
    <rSty dxfid="5">
      <rpv i="0">_([$$-en-US]* #,##0_);_([$$-en-US]* (#,##0);_([$$-en-US]* "-"_);_(@_)</rpv>
    </rSty>
    <rSty dxfid="6"/>
    <rSty dxfid="4">
      <rpv i="0">0</rpv>
    </rSty>
    <rSty dxfid="3">
      <rpv i="0">0.00</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s>
</file>

<file path=xl/threadedComments/threadedComment2.xml><?xml version="1.0" encoding="utf-8"?>
<ThreadedComments xmlns="http://schemas.microsoft.com/office/spreadsheetml/2018/threadedcomments" xmlns:x="http://schemas.openxmlformats.org/spreadsheetml/2006/main">
  <threadedComment ref="E7" dT="2023-08-02T16:21:14.65" personId="{49E43F8C-87BC-423E-AD78-51F2C693679D}" id="{23204115-45A6-4D32-93FB-3A6092C81A8F}">
    <text>Germany as proxy</text>
  </threadedComment>
  <threadedComment ref="E8" dT="2023-08-02T16:21:22.59" personId="{49E43F8C-87BC-423E-AD78-51F2C693679D}" id="{A17D09A4-A082-4489-A5AA-7DCF8701A6F0}">
    <text>Australia as proxy</text>
  </threadedComment>
  <threadedComment ref="E10" dT="2023-08-02T16:21:34.12" personId="{49E43F8C-87BC-423E-AD78-51F2C693679D}" id="{1684599D-A253-4013-944C-D8A6DABFB252}">
    <text>Average of all the above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https://www.dividend.com/how-to-invest/comparing-dividend-stock-sectors-by-yield/" TargetMode="External"/><Relationship Id="rId1" Type="http://schemas.openxmlformats.org/officeDocument/2006/relationships/hyperlink" Target="https://pages.stern.nyu.edu/~adamodar/New_Home_Page/datafile/margin.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mitsubishicorp.com/jp/en/ir/library/ar/pdf/areport/2022/all.pdf" TargetMode="External"/><Relationship Id="rId7" Type="http://schemas.openxmlformats.org/officeDocument/2006/relationships/comments" Target="../comments4.xml"/><Relationship Id="rId2" Type="http://schemas.openxmlformats.org/officeDocument/2006/relationships/hyperlink" Target="https://www.johnsoncontrols.com/-/media/jci/corporate-sustainability/reporting-and-policies/2023/report/hq2302005_2023-sustainability-report-final.pdf?la=en&amp;hash=93BADD3C91131A642345467E91290903D661E5AE" TargetMode="External"/><Relationship Id="rId1" Type="http://schemas.openxmlformats.org/officeDocument/2006/relationships/hyperlink" Target="https://www.daikin.com/csr/nav/data" TargetMode="External"/><Relationship Id="rId6" Type="http://schemas.openxmlformats.org/officeDocument/2006/relationships/vmlDrawing" Target="../drawings/vmlDrawing4.vml"/><Relationship Id="rId5" Type="http://schemas.openxmlformats.org/officeDocument/2006/relationships/drawing" Target="../drawings/drawing4.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cnbc.com/2023/06/13/investing-is-japan-inc-finally-serious-about-corporate-governance-.html" TargetMode="External"/><Relationship Id="rId7" Type="http://schemas.openxmlformats.org/officeDocument/2006/relationships/comments" Target="../comments5.xml"/><Relationship Id="rId2" Type="http://schemas.openxmlformats.org/officeDocument/2006/relationships/hyperlink" Target="https://www.daikin.com/-/media/Project/Daikin/daikin_com/investor/data/fusion/fusion25-h2/presentation-pdf.pdf?rev=-1&amp;hash=D64833AF0BC0FDCB111A54637AB91CE2" TargetMode="External"/><Relationship Id="rId1" Type="http://schemas.openxmlformats.org/officeDocument/2006/relationships/hyperlink" Target="https://www.daikin.com/-/media/Project/Daikin/daikin_com/investor/financial/images/Financial-Data/Financial-Date-2023-pdf.pdf?rev=-1&amp;hash=F47CDEB12C0ECC8948405606CEFBA9D9" TargetMode="External"/><Relationship Id="rId6" Type="http://schemas.openxmlformats.org/officeDocument/2006/relationships/vmlDrawing" Target="../drawings/vmlDrawing5.vml"/><Relationship Id="rId5" Type="http://schemas.openxmlformats.org/officeDocument/2006/relationships/drawing" Target="../drawings/drawing5.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Y111"/>
  <sheetViews>
    <sheetView showGridLines="0" topLeftCell="A2" zoomScale="91" zoomScaleNormal="90" workbookViewId="0">
      <selection activeCell="E2" sqref="E2:K2"/>
    </sheetView>
  </sheetViews>
  <sheetFormatPr defaultColWidth="11.42578125" defaultRowHeight="12.95"/>
  <cols>
    <col min="1" max="1" width="0.42578125" customWidth="1"/>
    <col min="2" max="2" width="21.42578125" bestFit="1" customWidth="1"/>
    <col min="3" max="3" width="23.42578125" customWidth="1"/>
    <col min="4" max="4" width="32" customWidth="1"/>
    <col min="5" max="5" width="20.42578125" bestFit="1" customWidth="1"/>
    <col min="6" max="6" width="17" bestFit="1" customWidth="1"/>
    <col min="7" max="7" width="13.42578125" bestFit="1" customWidth="1"/>
    <col min="8" max="8" width="24.42578125" customWidth="1"/>
    <col min="9" max="9" width="17.42578125" customWidth="1"/>
    <col min="10" max="10" width="13" customWidth="1"/>
    <col min="11" max="11" width="13.42578125" customWidth="1"/>
    <col min="12" max="12" width="20.42578125" bestFit="1" customWidth="1"/>
    <col min="13" max="13" width="31" customWidth="1"/>
  </cols>
  <sheetData>
    <row r="1" spans="2:16" ht="3.75" customHeight="1" thickBot="1">
      <c r="B1" s="586"/>
    </row>
    <row r="2" spans="2:16" ht="22.5" customHeight="1">
      <c r="B2" s="416">
        <v>45138</v>
      </c>
      <c r="C2" s="280" t="s">
        <v>0</v>
      </c>
      <c r="D2" s="417" t="s">
        <v>1</v>
      </c>
      <c r="E2" s="809" t="str">
        <f>Inputs!H3</f>
        <v>Daikin Industries,Ltd. (6367.T)</v>
      </c>
      <c r="F2" s="810"/>
      <c r="G2" s="810"/>
      <c r="H2" s="810"/>
      <c r="I2" s="810"/>
      <c r="J2" s="810"/>
      <c r="K2" s="811"/>
      <c r="L2" s="281" t="s">
        <v>2</v>
      </c>
      <c r="M2" s="515" t="s">
        <v>3</v>
      </c>
    </row>
    <row r="3" spans="2:16" ht="26.25" customHeight="1">
      <c r="B3" s="830"/>
      <c r="C3" s="831"/>
      <c r="D3" s="823" t="s">
        <v>4</v>
      </c>
      <c r="E3" s="823"/>
      <c r="F3" s="823"/>
      <c r="G3" s="823"/>
      <c r="H3" s="823" t="s">
        <v>5</v>
      </c>
      <c r="I3" s="823"/>
      <c r="J3" s="823"/>
      <c r="K3" s="823"/>
      <c r="L3" s="823"/>
      <c r="M3" s="824"/>
    </row>
    <row r="4" spans="2:16" ht="14.1">
      <c r="B4" s="830"/>
      <c r="C4" s="831"/>
      <c r="D4" s="822" t="s">
        <v>6</v>
      </c>
      <c r="E4" s="822"/>
      <c r="F4" s="822"/>
      <c r="G4" s="822"/>
      <c r="H4" s="119" t="s">
        <v>7</v>
      </c>
      <c r="I4" s="120" t="s">
        <v>8</v>
      </c>
      <c r="J4" s="120" t="s">
        <v>9</v>
      </c>
      <c r="K4" s="120" t="s">
        <v>10</v>
      </c>
      <c r="L4" s="120" t="s">
        <v>11</v>
      </c>
      <c r="M4" s="121" t="s">
        <v>12</v>
      </c>
    </row>
    <row r="5" spans="2:16" ht="39">
      <c r="B5" s="830"/>
      <c r="C5" s="831"/>
      <c r="D5" s="822"/>
      <c r="E5" s="822"/>
      <c r="F5" s="822"/>
      <c r="G5" s="822"/>
      <c r="H5" s="585" t="s">
        <v>13</v>
      </c>
      <c r="I5" s="407" t="s">
        <v>14</v>
      </c>
      <c r="J5" s="407">
        <v>88</v>
      </c>
      <c r="K5" s="407">
        <v>9</v>
      </c>
      <c r="L5" s="407" t="s">
        <v>15</v>
      </c>
      <c r="M5" s="282" t="s">
        <v>16</v>
      </c>
    </row>
    <row r="6" spans="2:16" ht="14.1">
      <c r="B6" s="830"/>
      <c r="C6" s="831"/>
      <c r="D6" s="822"/>
      <c r="E6" s="822"/>
      <c r="F6" s="822"/>
      <c r="G6" s="822"/>
      <c r="H6" s="585" t="s">
        <v>17</v>
      </c>
      <c r="I6" s="407" t="s">
        <v>14</v>
      </c>
      <c r="J6" s="407">
        <v>74</v>
      </c>
      <c r="K6" s="407">
        <v>9</v>
      </c>
      <c r="L6" s="407" t="s">
        <v>18</v>
      </c>
      <c r="M6" s="282" t="s">
        <v>19</v>
      </c>
    </row>
    <row r="7" spans="2:16" ht="39">
      <c r="B7" s="830"/>
      <c r="C7" s="831"/>
      <c r="D7" s="822"/>
      <c r="E7" s="822"/>
      <c r="F7" s="822"/>
      <c r="G7" s="822"/>
      <c r="H7" s="585" t="s">
        <v>20</v>
      </c>
      <c r="I7" s="407" t="s">
        <v>14</v>
      </c>
      <c r="J7" s="407">
        <v>83</v>
      </c>
      <c r="K7" s="407">
        <v>7</v>
      </c>
      <c r="L7" s="407" t="s">
        <v>21</v>
      </c>
      <c r="M7" s="282" t="s">
        <v>22</v>
      </c>
    </row>
    <row r="8" spans="2:16" ht="39">
      <c r="B8" s="830"/>
      <c r="C8" s="831"/>
      <c r="D8" s="822"/>
      <c r="E8" s="822"/>
      <c r="F8" s="822"/>
      <c r="G8" s="822"/>
      <c r="H8" s="585" t="s">
        <v>23</v>
      </c>
      <c r="I8" s="407" t="s">
        <v>14</v>
      </c>
      <c r="J8" s="407">
        <v>82</v>
      </c>
      <c r="K8" s="407">
        <v>7</v>
      </c>
      <c r="L8" s="407" t="s">
        <v>21</v>
      </c>
      <c r="M8" s="282" t="s">
        <v>24</v>
      </c>
    </row>
    <row r="9" spans="2:16" ht="26.1">
      <c r="B9" s="830"/>
      <c r="C9" s="831"/>
      <c r="D9" s="822"/>
      <c r="E9" s="822"/>
      <c r="F9" s="822"/>
      <c r="G9" s="822"/>
      <c r="H9" s="585" t="s">
        <v>25</v>
      </c>
      <c r="I9" s="407" t="s">
        <v>14</v>
      </c>
      <c r="J9" s="407">
        <v>70</v>
      </c>
      <c r="K9" s="407">
        <v>3</v>
      </c>
      <c r="L9" s="407" t="s">
        <v>21</v>
      </c>
      <c r="M9" s="282" t="s">
        <v>26</v>
      </c>
    </row>
    <row r="10" spans="2:16" ht="23.1" customHeight="1">
      <c r="B10" s="830"/>
      <c r="C10" s="831"/>
      <c r="D10" s="822"/>
      <c r="E10" s="822"/>
      <c r="F10" s="822"/>
      <c r="G10" s="822"/>
      <c r="H10" s="585" t="s">
        <v>27</v>
      </c>
      <c r="I10" s="407" t="s">
        <v>28</v>
      </c>
      <c r="J10" s="407">
        <v>62</v>
      </c>
      <c r="K10" s="407">
        <v>2</v>
      </c>
      <c r="L10" s="407" t="s">
        <v>21</v>
      </c>
      <c r="M10" s="282" t="s">
        <v>29</v>
      </c>
    </row>
    <row r="11" spans="2:16" ht="26.1">
      <c r="B11" s="830"/>
      <c r="C11" s="831"/>
      <c r="D11" s="822"/>
      <c r="E11" s="822"/>
      <c r="F11" s="822"/>
      <c r="G11" s="822"/>
      <c r="H11" s="585" t="s">
        <v>30</v>
      </c>
      <c r="I11" s="407" t="s">
        <v>14</v>
      </c>
      <c r="J11" s="407">
        <v>76</v>
      </c>
      <c r="K11" s="407">
        <v>9</v>
      </c>
      <c r="L11" s="407" t="s">
        <v>31</v>
      </c>
      <c r="M11" s="282" t="s">
        <v>32</v>
      </c>
    </row>
    <row r="12" spans="2:16" ht="26.1">
      <c r="B12" s="830"/>
      <c r="C12" s="831"/>
      <c r="D12" s="822"/>
      <c r="E12" s="822"/>
      <c r="F12" s="822"/>
      <c r="G12" s="822"/>
      <c r="H12" s="585" t="s">
        <v>33</v>
      </c>
      <c r="I12" s="407" t="s">
        <v>14</v>
      </c>
      <c r="J12" s="407">
        <v>70</v>
      </c>
      <c r="K12" s="407">
        <v>12</v>
      </c>
      <c r="L12" s="407" t="s">
        <v>31</v>
      </c>
      <c r="M12" s="282" t="s">
        <v>34</v>
      </c>
      <c r="P12" s="418"/>
    </row>
    <row r="13" spans="2:16" ht="14.1">
      <c r="B13" s="830"/>
      <c r="C13" s="831"/>
      <c r="D13" s="822"/>
      <c r="E13" s="822"/>
      <c r="F13" s="822"/>
      <c r="G13" s="822"/>
      <c r="H13" s="585" t="s">
        <v>35</v>
      </c>
      <c r="I13" s="407" t="s">
        <v>14</v>
      </c>
      <c r="J13" s="407">
        <v>65</v>
      </c>
      <c r="K13" s="407">
        <v>3</v>
      </c>
      <c r="L13" s="407" t="s">
        <v>31</v>
      </c>
      <c r="M13" s="282" t="s">
        <v>19</v>
      </c>
    </row>
    <row r="14" spans="2:16" ht="26.1">
      <c r="B14" s="828" t="s">
        <v>36</v>
      </c>
      <c r="C14" s="829"/>
      <c r="D14" s="822"/>
      <c r="E14" s="822"/>
      <c r="F14" s="822"/>
      <c r="G14" s="822"/>
      <c r="H14" s="122" t="s">
        <v>37</v>
      </c>
      <c r="I14" s="408" t="s">
        <v>14</v>
      </c>
      <c r="J14" s="407">
        <v>64</v>
      </c>
      <c r="K14" s="407">
        <v>4</v>
      </c>
      <c r="L14" s="407" t="s">
        <v>31</v>
      </c>
      <c r="M14" s="282" t="s">
        <v>38</v>
      </c>
    </row>
    <row r="15" spans="2:16" ht="18">
      <c r="B15" s="837" t="s">
        <v>39</v>
      </c>
      <c r="C15" s="838"/>
      <c r="D15" s="838"/>
      <c r="E15" s="838"/>
      <c r="F15" s="838"/>
      <c r="G15" s="838"/>
      <c r="H15" s="838"/>
      <c r="I15" s="838"/>
      <c r="J15" s="838"/>
      <c r="K15" s="838"/>
      <c r="L15" s="838"/>
      <c r="M15" s="839"/>
    </row>
    <row r="16" spans="2:16" ht="15.95">
      <c r="B16" s="834" t="s">
        <v>40</v>
      </c>
      <c r="C16" s="835"/>
      <c r="D16" s="832" t="s">
        <v>41</v>
      </c>
      <c r="E16" s="836"/>
      <c r="F16" s="825" t="s">
        <v>42</v>
      </c>
      <c r="G16" s="826"/>
      <c r="H16" s="827"/>
      <c r="I16" s="832" t="s">
        <v>43</v>
      </c>
      <c r="J16" s="921"/>
      <c r="K16" s="836"/>
      <c r="L16" s="832" t="s">
        <v>44</v>
      </c>
      <c r="M16" s="833"/>
    </row>
    <row r="17" spans="1:14">
      <c r="B17" s="514" t="s">
        <v>45</v>
      </c>
      <c r="C17" s="595">
        <v>25025</v>
      </c>
      <c r="D17" s="13" t="s">
        <v>46</v>
      </c>
      <c r="E17" s="603">
        <f>_xlfn.XLOOKUP(D17,'Fin. Data'!A:A,'Fin. Data'!B:B,,0)</f>
        <v>4303682</v>
      </c>
      <c r="F17" s="812" t="s">
        <v>47</v>
      </c>
      <c r="G17" s="813"/>
      <c r="H17" s="113" t="s">
        <v>48</v>
      </c>
      <c r="I17" t="s">
        <v>49</v>
      </c>
      <c r="J17" s="885">
        <v>2022</v>
      </c>
      <c r="K17" s="886"/>
      <c r="L17" s="12" t="s">
        <v>50</v>
      </c>
      <c r="M17" s="512">
        <f>2.68/2.93</f>
        <v>0.91467576791808869</v>
      </c>
    </row>
    <row r="18" spans="1:14" ht="12.75" customHeight="1">
      <c r="B18" s="514" t="s">
        <v>51</v>
      </c>
      <c r="C18" s="756">
        <v>292680000</v>
      </c>
      <c r="D18" s="12" t="s">
        <v>52</v>
      </c>
      <c r="E18" s="603">
        <f>_xlfn.XLOOKUP(D18,'Fin. Data'!A:A,'Fin. Data'!B:B,,0)</f>
        <v>2065534</v>
      </c>
      <c r="F18" s="814" t="str">
        <f>Segments!C5</f>
        <v>Japan</v>
      </c>
      <c r="G18" s="815"/>
      <c r="H18" s="17">
        <f>Segments!B5</f>
        <v>0.17182366982320568</v>
      </c>
      <c r="I18" s="12" t="s">
        <v>53</v>
      </c>
      <c r="J18" s="816" t="s">
        <v>54</v>
      </c>
      <c r="K18" s="817"/>
      <c r="L18" s="12" t="s">
        <v>55</v>
      </c>
      <c r="M18" s="512">
        <v>0</v>
      </c>
    </row>
    <row r="19" spans="1:14" ht="12.75" customHeight="1">
      <c r="B19" s="514" t="s">
        <v>56</v>
      </c>
      <c r="C19" s="596">
        <f>C17*C18/1000000</f>
        <v>7324317</v>
      </c>
      <c r="D19" s="12" t="s">
        <v>57</v>
      </c>
      <c r="E19" s="596">
        <f>_xlfn.XLOOKUP("Cash &amp; Eq.",'Fin. Data'!A:A,'Fin. Data'!B:B,,0)*1000000/C18</f>
        <v>2110.3696870302037</v>
      </c>
      <c r="F19" s="814" t="str">
        <f>Segments!C6</f>
        <v>U.S.</v>
      </c>
      <c r="G19" s="815"/>
      <c r="H19" s="17">
        <f>Segments!B6</f>
        <v>0.32022947697092807</v>
      </c>
      <c r="I19" s="818" t="s">
        <v>58</v>
      </c>
      <c r="J19" s="818"/>
      <c r="K19" s="603">
        <f>_xlfn.XLOOKUP(I19,'Fin. Data'!A:A,'Fin. Data'!B:B,,0)</f>
        <v>537584</v>
      </c>
      <c r="L19" s="8" t="s">
        <v>59</v>
      </c>
      <c r="M19" s="513">
        <v>0.9</v>
      </c>
    </row>
    <row r="20" spans="1:14" ht="12.75" customHeight="1">
      <c r="B20" s="511" t="s">
        <v>60</v>
      </c>
      <c r="C20" s="596">
        <f>'Fin. Data'!B58</f>
        <v>813766</v>
      </c>
      <c r="D20" s="12" t="s">
        <v>61</v>
      </c>
      <c r="E20" s="395">
        <f>'Fin. Data (Common Size)'!B19/(-'Fin. Data (Common Size)'!B14)</f>
        <v>61.578923253150059</v>
      </c>
      <c r="F20" s="814" t="str">
        <f>Segments!C9</f>
        <v>Europe</v>
      </c>
      <c r="G20" s="815"/>
      <c r="H20" s="17">
        <f>Segments!B9</f>
        <v>0.17800765325087353</v>
      </c>
      <c r="I20" s="819" t="s">
        <v>62</v>
      </c>
      <c r="J20" s="819"/>
      <c r="K20" s="603">
        <f>_xlfn.XLOOKUP(I20,'Fin. Data'!A:A,'Fin. Data'!B:B,,0)</f>
        <v>182224</v>
      </c>
      <c r="L20" s="12" t="s">
        <v>63</v>
      </c>
      <c r="M20" s="513" t="s">
        <v>64</v>
      </c>
    </row>
    <row r="21" spans="1:14" ht="12.75" customHeight="1">
      <c r="B21" s="511" t="s">
        <v>65</v>
      </c>
      <c r="C21" s="596">
        <f>'Fin. Data'!B39</f>
        <v>617663</v>
      </c>
      <c r="D21" s="12" t="s">
        <v>66</v>
      </c>
      <c r="E21" s="395">
        <f>_xlfn.XLOOKUP("Total Debt",'Fin. Data'!A:A,'Fin. Data'!B:B,,0)/_xlfn.XLOOKUP("EBITDA",'Fin. Data'!A:A,'Fin. Data'!B:B,,0)</f>
        <v>1.5137466888895503</v>
      </c>
      <c r="F21" s="814" t="str">
        <f>Segments!C10</f>
        <v>Asian and Oceania</v>
      </c>
      <c r="G21" s="815"/>
      <c r="H21" s="17">
        <f>Segments!B10</f>
        <v>0.14577092086148802</v>
      </c>
      <c r="I21" s="819" t="s">
        <v>67</v>
      </c>
      <c r="J21" s="819"/>
      <c r="K21" s="603">
        <f>_xlfn.XLOOKUP(I21,'Fin. Data'!A:A,'Fin. Data'!B:B,,0)</f>
        <v>355360</v>
      </c>
      <c r="L21" s="12" t="s">
        <v>68</v>
      </c>
      <c r="M21" s="510">
        <f>IFERROR((C17*C18/(E17-E18))/1000000,"")</f>
        <v>3.27249002300116</v>
      </c>
    </row>
    <row r="22" spans="1:14" ht="12.75" customHeight="1">
      <c r="B22" s="511" t="s">
        <v>69</v>
      </c>
      <c r="C22" s="596">
        <f>C19+C20-C21</f>
        <v>7520420</v>
      </c>
      <c r="D22" s="12" t="s">
        <v>70</v>
      </c>
      <c r="E22" s="395">
        <f>_xlfn.XLOOKUP("Other Assets",'Fin. Data'!A:A,'Fin. Data'!B:B,,0)/_xlfn.XLOOKUP("Total Assets",'Fin. Data'!A:A,'Fin. Data'!B:B,,0)</f>
        <v>0.2132350856777987</v>
      </c>
      <c r="F22" s="814" t="str">
        <f>Segments!C11</f>
        <v>China</v>
      </c>
      <c r="G22" s="815"/>
      <c r="H22" s="17">
        <f>Segments!B11</f>
        <v>0.12269915229547294</v>
      </c>
      <c r="I22" s="818" t="s">
        <v>71</v>
      </c>
      <c r="J22" s="818"/>
      <c r="K22" s="603">
        <f>_xlfn.XLOOKUP(I22,'Fin. Data'!A:A,'Fin. Data'!B:B,,0)</f>
        <v>257755</v>
      </c>
      <c r="L22" s="12" t="s">
        <v>72</v>
      </c>
      <c r="M22" s="509">
        <f>IFERROR(K28/E17,"")</f>
        <v>-5.10880373286564E-4</v>
      </c>
    </row>
    <row r="23" spans="1:14" ht="12.75" customHeight="1">
      <c r="B23" s="511" t="s">
        <v>73</v>
      </c>
      <c r="C23" s="134" t="s">
        <v>74</v>
      </c>
      <c r="D23" s="12" t="s">
        <v>75</v>
      </c>
      <c r="E23" s="395">
        <f>_xlfn.XLOOKUP(D23,'Fin. Data'!A:A,'Fin. Data'!B:B,,0)</f>
        <v>0.18908599659547337</v>
      </c>
      <c r="F23" s="814" t="str">
        <f>Segments!C12</f>
        <v>Other</v>
      </c>
      <c r="G23" s="815"/>
      <c r="H23" s="17">
        <f>Segments!B12</f>
        <v>6.1469126798031737E-2</v>
      </c>
      <c r="I23" s="818" t="s">
        <v>76</v>
      </c>
      <c r="J23" s="818"/>
      <c r="K23" s="603">
        <f>1000000*K22/C18</f>
        <v>880.67172338390048</v>
      </c>
      <c r="L23" s="12" t="s">
        <v>77</v>
      </c>
      <c r="M23" s="508">
        <f>IFERROR(C19/K27,"")</f>
        <v>34.783012909302457</v>
      </c>
    </row>
    <row r="24" spans="1:14" ht="12.75" customHeight="1">
      <c r="B24" s="514" t="s">
        <v>78</v>
      </c>
      <c r="C24" s="135" t="s">
        <v>74</v>
      </c>
      <c r="D24" s="12" t="s">
        <v>79</v>
      </c>
      <c r="E24" s="133">
        <f>AVERAGE(_xlfn.XLOOKUP("EBITDA Margin",'Fin. Data'!A:A,'Fin. Data'!B:D,,0))</f>
        <v>0.14402520633042445</v>
      </c>
      <c r="F24" s="820" t="s">
        <v>80</v>
      </c>
      <c r="G24" s="821"/>
      <c r="H24" s="114" t="s">
        <v>48</v>
      </c>
      <c r="I24" s="818" t="s">
        <v>81</v>
      </c>
      <c r="J24" s="818"/>
      <c r="K24" s="82">
        <f>K22/E17</f>
        <v>5.9891739213073829E-2</v>
      </c>
      <c r="L24" s="12" t="s">
        <v>82</v>
      </c>
      <c r="M24" s="507">
        <f>IFERROR(C22/E17,"")</f>
        <v>1.7474385886317809</v>
      </c>
    </row>
    <row r="25" spans="1:14" ht="12.75" customHeight="1">
      <c r="B25" s="514" t="s">
        <v>83</v>
      </c>
      <c r="C25" s="18" t="s">
        <v>19</v>
      </c>
      <c r="D25" s="12" t="s">
        <v>84</v>
      </c>
      <c r="E25" s="133">
        <f>AVERAGE(_xlfn.XLOOKUP("Operating Margin",'Fin. Data'!A:A,'Fin. Data'!B:D,,0))</f>
        <v>9.5731487521873396E-2</v>
      </c>
      <c r="F25" s="814" t="str">
        <f>Segments!C18</f>
        <v>Air Conditioning</v>
      </c>
      <c r="G25" s="815"/>
      <c r="H25" s="17">
        <f>Segments!B18</f>
        <v>0.91218283851989967</v>
      </c>
      <c r="I25" s="818" t="s">
        <v>85</v>
      </c>
      <c r="J25" s="818"/>
      <c r="K25" s="82">
        <f>K22/(E17-(E18-C20))</f>
        <v>8.4456835939675887E-2</v>
      </c>
      <c r="L25" s="12" t="s">
        <v>86</v>
      </c>
      <c r="M25" s="507">
        <f>IFERROR(C22/K26,"")</f>
        <v>16.500737225807583</v>
      </c>
    </row>
    <row r="26" spans="1:14" ht="15.95">
      <c r="B26" s="834" t="s">
        <v>87</v>
      </c>
      <c r="C26" s="835"/>
      <c r="D26" s="12" t="s">
        <v>88</v>
      </c>
      <c r="E26" s="133">
        <f>AVERAGE(_xlfn.XLOOKUP("Net Income Margin",'Fin. Data'!A:A,'Fin. Data'!B:D,,0))</f>
        <v>6.5808676238322664E-2</v>
      </c>
      <c r="F26" s="814" t="str">
        <f>Segments!C19</f>
        <v>Chemicals</v>
      </c>
      <c r="G26" s="815"/>
      <c r="H26" s="17">
        <f>Segments!B19</f>
        <v>7.1565775091622194E-2</v>
      </c>
      <c r="I26" s="818" t="s">
        <v>89</v>
      </c>
      <c r="J26" s="818"/>
      <c r="K26" s="603">
        <f>AVERAGE(_xlfn.XLOOKUP("EBITDA",'Fin. Data'!A:A,'Fin. Data'!B:D,,0))</f>
        <v>455762.66666666669</v>
      </c>
      <c r="L26" s="12" t="s">
        <v>90</v>
      </c>
      <c r="M26" s="780">
        <f>IFERROR(C19/K28,"")</f>
        <v>-3331.2539417828989</v>
      </c>
    </row>
    <row r="27" spans="1:14" ht="12.75" customHeight="1">
      <c r="B27" s="9" t="s">
        <v>91</v>
      </c>
      <c r="C27" s="762"/>
      <c r="D27" s="422"/>
      <c r="E27" s="140"/>
      <c r="F27" s="814" t="str">
        <f>Segments!C20</f>
        <v>Others</v>
      </c>
      <c r="G27" s="815"/>
      <c r="H27" s="17">
        <f>Segments!B20</f>
        <v>2.2603155339805826E-2</v>
      </c>
      <c r="I27" s="818" t="s">
        <v>92</v>
      </c>
      <c r="J27" s="818"/>
      <c r="K27" s="603">
        <f>AVERAGE(_xlfn.XLOOKUP("Net Income",'Fin. Data'!A:A,'Fin. Data'!B:D,,0))</f>
        <v>210571.66666666666</v>
      </c>
      <c r="L27" s="12" t="s">
        <v>93</v>
      </c>
      <c r="M27" s="506" t="s">
        <v>74</v>
      </c>
    </row>
    <row r="28" spans="1:14" ht="12.75" customHeight="1">
      <c r="B28" s="9" t="s">
        <v>94</v>
      </c>
      <c r="C28" s="594"/>
      <c r="D28" s="12" t="s">
        <v>95</v>
      </c>
      <c r="E28" s="560">
        <f>-_xlfn.XLOOKUP("Net Financial Cost",'Fin. Data'!A:A,'Fin. Data'!B:B,,0)/AVERAGE(_xlfn.XLOOKUP("Net Debt",'Fin. Data'!A:A,'Fin. Data'!B:D,,0))</f>
        <v>-0.1177872723184169</v>
      </c>
      <c r="F28" s="814" t="str">
        <f>Segments!C21</f>
        <v>Eliminations and Corporate</v>
      </c>
      <c r="G28" s="815"/>
      <c r="H28" s="17">
        <f>Segments!B21</f>
        <v>-6.3517689513277178E-3</v>
      </c>
      <c r="I28" s="818" t="s">
        <v>96</v>
      </c>
      <c r="J28" s="818"/>
      <c r="K28" s="603">
        <f>AVERAGE(_xlfn.XLOOKUP("Net Financial Cost",'Fin. Data'!A:A,'Fin. Data'!B:D,,0))</f>
        <v>-2198.6666666666665</v>
      </c>
      <c r="L28" s="12" t="s">
        <v>97</v>
      </c>
      <c r="M28" s="505">
        <f>-IFERROR(SUM(E51:E53)/(3*C19),"")</f>
        <v>7.1877009146381838E-3</v>
      </c>
    </row>
    <row r="29" spans="1:14" ht="12.6" customHeight="1">
      <c r="B29" s="9" t="s">
        <v>98</v>
      </c>
      <c r="C29" s="593"/>
      <c r="D29" s="137"/>
      <c r="E29" s="139"/>
      <c r="F29" s="887"/>
      <c r="G29" s="888"/>
      <c r="H29" s="19"/>
      <c r="I29" s="137"/>
      <c r="J29" s="138"/>
      <c r="K29" s="138"/>
      <c r="L29" s="12" t="s">
        <v>99</v>
      </c>
      <c r="M29" s="504">
        <f>-IFERROR(L52/C19,"")</f>
        <v>8.392318355417986E-3</v>
      </c>
    </row>
    <row r="30" spans="1:14" ht="18.95" thickBot="1">
      <c r="B30" s="837" t="s">
        <v>100</v>
      </c>
      <c r="C30" s="838"/>
      <c r="D30" s="838"/>
      <c r="E30" s="838"/>
      <c r="F30" s="838"/>
      <c r="G30" s="838"/>
      <c r="H30" s="838"/>
      <c r="I30" s="838"/>
      <c r="J30" s="838"/>
      <c r="K30" s="838"/>
      <c r="L30" s="838"/>
      <c r="M30" s="839"/>
    </row>
    <row r="31" spans="1:14" ht="17.100000000000001" thickBot="1">
      <c r="B31" s="919" t="s">
        <v>101</v>
      </c>
      <c r="C31" s="920"/>
      <c r="D31" s="920"/>
      <c r="E31" s="920"/>
      <c r="F31" s="920"/>
      <c r="G31" s="920"/>
      <c r="H31" s="587" t="s">
        <v>102</v>
      </c>
      <c r="I31" s="928" t="s">
        <v>103</v>
      </c>
      <c r="J31" s="929"/>
      <c r="K31" s="929"/>
      <c r="L31" s="929"/>
      <c r="M31" s="930"/>
      <c r="N31" s="11"/>
    </row>
    <row r="32" spans="1:14" ht="13.35" customHeight="1">
      <c r="A32" s="11"/>
      <c r="B32" s="588" t="s">
        <v>104</v>
      </c>
      <c r="C32" s="936" t="s">
        <v>105</v>
      </c>
      <c r="D32" s="937"/>
      <c r="E32" s="937"/>
      <c r="F32" s="937"/>
      <c r="G32" s="938"/>
      <c r="H32" s="889" t="s">
        <v>106</v>
      </c>
      <c r="I32" s="898" t="s">
        <v>107</v>
      </c>
      <c r="J32" s="899"/>
      <c r="K32" s="899"/>
      <c r="L32" s="899"/>
      <c r="M32" s="900"/>
    </row>
    <row r="33" spans="1:25" ht="30" customHeight="1" thickBot="1">
      <c r="A33" s="11"/>
      <c r="B33" s="589" t="s">
        <v>108</v>
      </c>
      <c r="C33" s="891" t="s">
        <v>109</v>
      </c>
      <c r="D33" s="892"/>
      <c r="E33" s="892"/>
      <c r="F33" s="892"/>
      <c r="G33" s="893"/>
      <c r="H33" s="889"/>
      <c r="I33" s="901"/>
      <c r="J33" s="902"/>
      <c r="K33" s="902"/>
      <c r="L33" s="902"/>
      <c r="M33" s="903"/>
    </row>
    <row r="34" spans="1:25" ht="37.5" customHeight="1">
      <c r="A34" s="11"/>
      <c r="B34" s="589" t="s">
        <v>110</v>
      </c>
      <c r="C34" s="891" t="s">
        <v>111</v>
      </c>
      <c r="D34" s="892"/>
      <c r="E34" s="892"/>
      <c r="F34" s="892"/>
      <c r="G34" s="893"/>
      <c r="H34" s="889"/>
      <c r="I34" s="901"/>
      <c r="J34" s="902"/>
      <c r="K34" s="902"/>
      <c r="L34" s="902"/>
      <c r="M34" s="903"/>
    </row>
    <row r="35" spans="1:25" ht="37.5" customHeight="1">
      <c r="A35" s="11"/>
      <c r="B35" s="589" t="s">
        <v>112</v>
      </c>
      <c r="C35" s="858" t="s">
        <v>113</v>
      </c>
      <c r="D35" s="859"/>
      <c r="E35" s="859"/>
      <c r="F35" s="859"/>
      <c r="G35" s="860"/>
      <c r="H35" s="889"/>
      <c r="I35" s="901"/>
      <c r="J35" s="902"/>
      <c r="K35" s="902"/>
      <c r="L35" s="902"/>
      <c r="M35" s="903"/>
    </row>
    <row r="36" spans="1:25" ht="30" customHeight="1">
      <c r="B36" s="590" t="s">
        <v>114</v>
      </c>
      <c r="C36" s="894" t="s">
        <v>115</v>
      </c>
      <c r="D36" s="895"/>
      <c r="E36" s="895"/>
      <c r="F36" s="895"/>
      <c r="G36" s="896"/>
      <c r="H36" s="890"/>
      <c r="I36" s="904"/>
      <c r="J36" s="905"/>
      <c r="K36" s="905"/>
      <c r="L36" s="905"/>
      <c r="M36" s="906"/>
    </row>
    <row r="37" spans="1:25" ht="15.95">
      <c r="B37" s="931" t="s">
        <v>116</v>
      </c>
      <c r="C37" s="907"/>
      <c r="D37" s="907"/>
      <c r="E37" s="907"/>
      <c r="F37" s="907"/>
      <c r="G37" s="932"/>
      <c r="H37" s="591" t="s">
        <v>117</v>
      </c>
      <c r="I37" s="907" t="s">
        <v>118</v>
      </c>
      <c r="J37" s="907"/>
      <c r="K37" s="907"/>
      <c r="L37" s="907"/>
      <c r="M37" s="908"/>
    </row>
    <row r="38" spans="1:25" ht="13.35" customHeight="1">
      <c r="B38" s="592" t="s">
        <v>119</v>
      </c>
      <c r="C38" s="933" t="s">
        <v>105</v>
      </c>
      <c r="D38" s="934"/>
      <c r="E38" s="934"/>
      <c r="F38" s="934"/>
      <c r="G38" s="935"/>
      <c r="H38" s="843">
        <f>DCF!D75</f>
        <v>13800.24142733352</v>
      </c>
      <c r="I38" s="846" t="s">
        <v>120</v>
      </c>
      <c r="J38" s="849">
        <f>DCF!F50</f>
        <v>9.4859799999999994E-2</v>
      </c>
      <c r="K38" s="849"/>
      <c r="L38" s="852" t="s">
        <v>121</v>
      </c>
      <c r="M38" s="855">
        <f>DCF!D74</f>
        <v>-0.44854180110555364</v>
      </c>
    </row>
    <row r="39" spans="1:25" ht="15" customHeight="1">
      <c r="B39" s="589" t="s">
        <v>122</v>
      </c>
      <c r="C39" s="897" t="s">
        <v>123</v>
      </c>
      <c r="D39" s="892"/>
      <c r="E39" s="892"/>
      <c r="F39" s="892"/>
      <c r="G39" s="893"/>
      <c r="H39" s="844"/>
      <c r="I39" s="847"/>
      <c r="J39" s="850"/>
      <c r="K39" s="850"/>
      <c r="L39" s="853"/>
      <c r="M39" s="856"/>
    </row>
    <row r="40" spans="1:25" ht="30" customHeight="1">
      <c r="B40" s="659" t="s">
        <v>124</v>
      </c>
      <c r="C40" s="925" t="s">
        <v>125</v>
      </c>
      <c r="D40" s="926"/>
      <c r="E40" s="926"/>
      <c r="F40" s="926"/>
      <c r="G40" s="927"/>
      <c r="H40" s="844"/>
      <c r="I40" s="847"/>
      <c r="J40" s="850"/>
      <c r="K40" s="850"/>
      <c r="L40" s="853"/>
      <c r="M40" s="856"/>
    </row>
    <row r="41" spans="1:25" ht="52.5" customHeight="1">
      <c r="B41" s="661" t="s">
        <v>126</v>
      </c>
      <c r="C41" s="922" t="s">
        <v>127</v>
      </c>
      <c r="D41" s="923"/>
      <c r="E41" s="923"/>
      <c r="F41" s="923"/>
      <c r="G41" s="924"/>
      <c r="H41" s="844"/>
      <c r="I41" s="847"/>
      <c r="J41" s="850"/>
      <c r="K41" s="850"/>
      <c r="L41" s="853"/>
      <c r="M41" s="856"/>
    </row>
    <row r="42" spans="1:25" ht="30" customHeight="1">
      <c r="B42" s="662" t="s">
        <v>118</v>
      </c>
      <c r="C42" s="840" t="s">
        <v>128</v>
      </c>
      <c r="D42" s="841"/>
      <c r="E42" s="841"/>
      <c r="F42" s="841"/>
      <c r="G42" s="842"/>
      <c r="H42" s="845"/>
      <c r="I42" s="848"/>
      <c r="J42" s="851"/>
      <c r="K42" s="851"/>
      <c r="L42" s="854"/>
      <c r="M42" s="857"/>
    </row>
    <row r="43" spans="1:25" ht="18">
      <c r="B43" s="837" t="s">
        <v>129</v>
      </c>
      <c r="C43" s="838"/>
      <c r="D43" s="838"/>
      <c r="E43" s="838"/>
      <c r="F43" s="838"/>
      <c r="G43" s="838"/>
      <c r="H43" s="838"/>
      <c r="I43" s="838"/>
      <c r="J43" s="838"/>
      <c r="K43" s="838"/>
      <c r="L43" s="838"/>
      <c r="M43" s="839"/>
      <c r="N43" s="806"/>
      <c r="O43" s="806"/>
      <c r="P43" s="806"/>
      <c r="Q43" s="806"/>
      <c r="R43" s="806"/>
      <c r="S43" s="806"/>
      <c r="T43" s="806"/>
      <c r="U43" s="806"/>
      <c r="V43" s="806"/>
      <c r="W43" s="806"/>
      <c r="X43" s="806"/>
      <c r="Y43" s="806"/>
    </row>
    <row r="44" spans="1:25">
      <c r="B44" s="123" t="s">
        <v>130</v>
      </c>
      <c r="C44" s="124" t="s">
        <v>131</v>
      </c>
      <c r="D44" s="124" t="s">
        <v>132</v>
      </c>
      <c r="E44" s="142" t="s">
        <v>133</v>
      </c>
      <c r="F44" s="124" t="s">
        <v>134</v>
      </c>
      <c r="G44" s="124" t="s">
        <v>75</v>
      </c>
      <c r="H44" s="141" t="s">
        <v>62</v>
      </c>
      <c r="I44" s="141" t="s">
        <v>135</v>
      </c>
      <c r="J44" s="865" t="s">
        <v>136</v>
      </c>
      <c r="K44" s="865"/>
      <c r="L44" s="865"/>
      <c r="M44" s="940"/>
      <c r="N44" s="806"/>
      <c r="O44" s="806"/>
      <c r="P44" s="806"/>
      <c r="Q44" s="806"/>
      <c r="R44" s="806"/>
      <c r="S44" s="806"/>
      <c r="T44" s="806"/>
      <c r="U44" s="806"/>
      <c r="V44" s="806"/>
      <c r="W44" s="806"/>
      <c r="X44" s="806"/>
      <c r="Y44" s="806"/>
    </row>
    <row r="45" spans="1:25">
      <c r="B45" s="115">
        <f t="shared" ref="B45:B51" si="0">B46-1</f>
        <v>2014</v>
      </c>
      <c r="C45" s="634" cm="1">
        <f t="array" ref="C45:C53">_xlfn.SORTBY(TRANSPOSE(_xlfn.XLOOKUP(C$44,'Fin. Data'!$A:$A,'Fin. Data'!$B:$J,,0)),$B$45:$B$53,-1)</f>
        <v>1915013</v>
      </c>
      <c r="D45" s="628" cm="1">
        <f t="array" ref="D45:D53">_xlfn.SORTBY(TRANSPOSE(_xlfn.XLOOKUP(D$44,'Fin. Data'!$A:$A,'Fin. Data'!$B:$J,,0)),$B$45:$B$53,-1)</f>
        <v>9.675704551352915E-2</v>
      </c>
      <c r="E45" s="634" cm="1">
        <f t="array" ref="E45:E53">_xlfn.SORTBY(TRANSPOSE(_xlfn.XLOOKUP(E$44,'Fin. Data'!$A:$A,'Fin. Data'!$B:$J,,0)),$B$45:$B$53,-1)</f>
        <v>-19545</v>
      </c>
      <c r="F45" s="635">
        <f>Inputs!J77</f>
        <v>29656</v>
      </c>
      <c r="G45" s="628" cm="1">
        <f t="array" ref="G45:G53">_xlfn.SORTBY(TRANSPOSE(_xlfn.XLOOKUP(G$44,'Fin. Data'!$A:$A,'Fin. Data'!$B:$J,,0)),$B$45:$B$53,-1)</f>
        <v>0.27535513644280074</v>
      </c>
      <c r="H45" s="634" cm="1">
        <f t="array" ref="H45:H53">_xlfn.SORTBY(TRANSPOSE(_xlfn.XLOOKUP(H$44,'Fin. Data'!$A:$A,'Fin. Data'!$B:$J,,0)),$B$45:$B$53,-1)</f>
        <v>77766</v>
      </c>
      <c r="I45" s="634" cm="1">
        <f t="array" ref="I45:I53">_xlfn.SORTBY(TRANSPOSE(_xlfn.XLOOKUP(I$44,'Fin. Data'!$A:$A,'Fin. Data'!$B:$J,,0)),$B$45:$B$53,-1)</f>
        <v>-72763</v>
      </c>
      <c r="J45" s="421"/>
      <c r="K45" s="137"/>
      <c r="L45" s="116">
        <f>J17</f>
        <v>2022</v>
      </c>
      <c r="M45" s="424">
        <f>L45-1</f>
        <v>2021</v>
      </c>
      <c r="N45" s="806"/>
      <c r="O45" s="806"/>
      <c r="P45" s="806"/>
      <c r="Q45" s="806"/>
      <c r="R45" s="806"/>
      <c r="S45" s="806"/>
      <c r="T45" s="806"/>
      <c r="U45" s="806"/>
      <c r="V45" s="806"/>
      <c r="W45" s="806"/>
      <c r="X45" s="806"/>
      <c r="Y45" s="806"/>
    </row>
    <row r="46" spans="1:25">
      <c r="B46" s="115">
        <f t="shared" si="0"/>
        <v>2015</v>
      </c>
      <c r="C46" s="634">
        <v>2043691</v>
      </c>
      <c r="D46" s="629">
        <v>0.10543961880734416</v>
      </c>
      <c r="E46" s="634">
        <v>-33567</v>
      </c>
      <c r="F46" s="635">
        <f>Inputs!I77</f>
        <v>4255</v>
      </c>
      <c r="G46" s="628">
        <v>0.24464277156959616</v>
      </c>
      <c r="H46" s="634">
        <v>84202</v>
      </c>
      <c r="I46" s="634">
        <v>-102825</v>
      </c>
      <c r="J46" s="877" t="s">
        <v>71</v>
      </c>
      <c r="K46" s="878"/>
      <c r="L46" s="630">
        <f>_xlfn.XLOOKUP($J46,'Fin. Data'!$A:$A,'Fin. Data'!B:B,,0)</f>
        <v>257755</v>
      </c>
      <c r="M46" s="631">
        <f>_xlfn.XLOOKUP($J46,'Fin. Data'!$A:$A,'Fin. Data'!C:C,,0)</f>
        <v>217710</v>
      </c>
      <c r="N46" s="21">
        <f t="shared" ref="N46:N50" si="1">(C46/C45)-1</f>
        <v>6.7194321918441213E-2</v>
      </c>
      <c r="O46" s="21">
        <f t="shared" ref="O46:O53" si="2">(D46/D45)-1</f>
        <v>8.9735824897639871E-2</v>
      </c>
      <c r="P46" s="7"/>
      <c r="Q46" s="20">
        <f>F46/F45-1</f>
        <v>-0.85652144591313728</v>
      </c>
      <c r="R46" s="20">
        <f>H46/H45-1</f>
        <v>8.2761103824293469E-2</v>
      </c>
      <c r="S46" s="20">
        <f>I46/I45-1</f>
        <v>0.41314954028833339</v>
      </c>
      <c r="T46" s="806"/>
      <c r="U46" s="806"/>
      <c r="V46" s="806"/>
      <c r="W46" s="806"/>
      <c r="X46" s="806"/>
      <c r="Y46" s="806"/>
    </row>
    <row r="47" spans="1:25">
      <c r="B47" s="115">
        <f t="shared" si="0"/>
        <v>2016</v>
      </c>
      <c r="C47" s="634">
        <v>2043968</v>
      </c>
      <c r="D47" s="629">
        <v>0.1129239792403795</v>
      </c>
      <c r="E47" s="634">
        <v>-36518</v>
      </c>
      <c r="F47" s="635">
        <f>Inputs!H77</f>
        <v>52888</v>
      </c>
      <c r="G47" s="628">
        <v>0.22589837310729208</v>
      </c>
      <c r="H47" s="634">
        <v>85029</v>
      </c>
      <c r="I47" s="634">
        <v>-120363</v>
      </c>
      <c r="J47" s="877" t="s">
        <v>137</v>
      </c>
      <c r="K47" s="878"/>
      <c r="L47" s="630">
        <f>_xlfn.XLOOKUP($J47,'Fin. Data'!$A:$A,'Fin. Data'!B:B,,0)</f>
        <v>158326</v>
      </c>
      <c r="M47" s="631">
        <f>_xlfn.XLOOKUP($J47,'Fin. Data'!$A:$A,'Fin. Data'!C:C,,0)</f>
        <v>243485</v>
      </c>
      <c r="N47" s="21">
        <f t="shared" si="1"/>
        <v>1.3553908100583101E-4</v>
      </c>
      <c r="O47" s="21">
        <f t="shared" si="2"/>
        <v>7.098243068111354E-2</v>
      </c>
      <c r="P47" s="7"/>
      <c r="Q47" s="20">
        <f t="shared" ref="Q47:Q53" si="3">F47/F46-1</f>
        <v>11.429612220916569</v>
      </c>
      <c r="R47" s="20">
        <f t="shared" ref="R47:S53" si="4">H47/H46-1</f>
        <v>9.8216194389681988E-3</v>
      </c>
      <c r="S47" s="20">
        <f>I47/I46-1</f>
        <v>0.17056163384390954</v>
      </c>
      <c r="T47" s="806"/>
      <c r="U47" s="806"/>
      <c r="V47" s="806"/>
      <c r="W47" s="806"/>
      <c r="X47" s="806"/>
      <c r="Y47" s="806"/>
    </row>
    <row r="48" spans="1:25">
      <c r="B48" s="115">
        <f t="shared" si="0"/>
        <v>2017</v>
      </c>
      <c r="C48" s="634">
        <v>2290560</v>
      </c>
      <c r="D48" s="629">
        <v>0.10949986029617212</v>
      </c>
      <c r="E48" s="634">
        <v>-39473</v>
      </c>
      <c r="F48" s="635">
        <f>Inputs!G77</f>
        <v>12933</v>
      </c>
      <c r="G48" s="628">
        <v>0.19282605218386012</v>
      </c>
      <c r="H48" s="634">
        <v>94833</v>
      </c>
      <c r="I48" s="634">
        <v>-122150</v>
      </c>
      <c r="J48" s="877" t="s">
        <v>138</v>
      </c>
      <c r="K48" s="878"/>
      <c r="L48" s="630">
        <f>_xlfn.XLOOKUP($J48,'Fin. Data'!$A:$A,'Fin. Data'!B:B,,0)</f>
        <v>-229793</v>
      </c>
      <c r="M48" s="631">
        <f>_xlfn.XLOOKUP($J48,'Fin. Data'!$A:$A,'Fin. Data'!C:C,,0)</f>
        <v>-180789</v>
      </c>
      <c r="N48" s="21">
        <f t="shared" si="1"/>
        <v>0.12064376741710237</v>
      </c>
      <c r="O48" s="21">
        <f t="shared" si="2"/>
        <v>-3.0322336914097914E-2</v>
      </c>
      <c r="P48" s="7"/>
      <c r="Q48" s="20">
        <f t="shared" si="3"/>
        <v>-0.7554643775525639</v>
      </c>
      <c r="R48" s="20">
        <f t="shared" si="4"/>
        <v>0.11530183819637996</v>
      </c>
      <c r="S48" s="20">
        <f t="shared" si="4"/>
        <v>1.484675523208967E-2</v>
      </c>
      <c r="T48" s="806"/>
      <c r="U48" s="806"/>
      <c r="V48" s="806"/>
      <c r="W48" s="806"/>
      <c r="X48" s="806"/>
      <c r="Y48" s="806"/>
    </row>
    <row r="49" spans="2:25">
      <c r="B49" s="115">
        <f t="shared" si="0"/>
        <v>2018</v>
      </c>
      <c r="C49" s="634">
        <v>2481109</v>
      </c>
      <c r="D49" s="629">
        <v>0.11094192153589383</v>
      </c>
      <c r="E49" s="634">
        <v>-42407</v>
      </c>
      <c r="F49" s="635">
        <f>Inputs!F77</f>
        <v>10163</v>
      </c>
      <c r="G49" s="628">
        <v>0.1826264675718004</v>
      </c>
      <c r="H49" s="634">
        <v>99315</v>
      </c>
      <c r="I49" s="634">
        <v>-159724</v>
      </c>
      <c r="J49" s="875" t="s">
        <v>139</v>
      </c>
      <c r="K49" s="876"/>
      <c r="L49" s="630">
        <f>_xlfn.XLOOKUP($J49,'Fin. Data'!$A:$A,'Fin. Data'!B:B,,0)</f>
        <v>-175076</v>
      </c>
      <c r="M49" s="631">
        <f>_xlfn.XLOOKUP($J49,'Fin. Data'!$A:$A,'Fin. Data'!C:C,,0)</f>
        <v>-114106</v>
      </c>
      <c r="N49" s="21">
        <f t="shared" si="1"/>
        <v>8.3188827186365E-2</v>
      </c>
      <c r="O49" s="21">
        <f t="shared" si="2"/>
        <v>1.3169525840683871E-2</v>
      </c>
      <c r="P49" s="7"/>
      <c r="Q49" s="20">
        <f t="shared" si="3"/>
        <v>-0.21418077785509937</v>
      </c>
      <c r="R49" s="20">
        <f t="shared" si="4"/>
        <v>4.7262029040523901E-2</v>
      </c>
      <c r="S49" s="20">
        <f t="shared" si="4"/>
        <v>0.30760540319279572</v>
      </c>
      <c r="T49" s="806"/>
      <c r="U49" s="806"/>
      <c r="V49" s="806"/>
      <c r="W49" s="806"/>
      <c r="X49" s="806"/>
      <c r="Y49" s="806"/>
    </row>
    <row r="50" spans="2:25">
      <c r="B50" s="115">
        <f t="shared" si="0"/>
        <v>2019</v>
      </c>
      <c r="C50" s="634">
        <v>2550305</v>
      </c>
      <c r="D50" s="629">
        <v>9.4754941075675267E-2</v>
      </c>
      <c r="E50" s="634">
        <v>-49730</v>
      </c>
      <c r="F50" s="635">
        <f>Inputs!E77</f>
        <v>-46037</v>
      </c>
      <c r="G50" s="628">
        <v>0.16791039740402292</v>
      </c>
      <c r="H50" s="634">
        <v>128485</v>
      </c>
      <c r="I50" s="634">
        <v>-139379</v>
      </c>
      <c r="J50" s="875" t="s">
        <v>140</v>
      </c>
      <c r="K50" s="876"/>
      <c r="L50" s="630">
        <f>_xlfn.XLOOKUP($J50,'Fin. Data'!$A:$A,'Fin. Data'!B:B,,0)</f>
        <v>-34920</v>
      </c>
      <c r="M50" s="631">
        <f>_xlfn.XLOOKUP($J50,'Fin. Data'!$A:$A,'Fin. Data'!C:C,,0)</f>
        <v>-46221</v>
      </c>
      <c r="N50" s="21">
        <f t="shared" si="1"/>
        <v>2.7889141508897763E-2</v>
      </c>
      <c r="O50" s="21">
        <f t="shared" si="2"/>
        <v>-0.14590499457846029</v>
      </c>
      <c r="P50" s="7"/>
      <c r="Q50" s="20">
        <f t="shared" si="3"/>
        <v>-5.5298632293614087</v>
      </c>
      <c r="R50" s="20">
        <f t="shared" si="4"/>
        <v>0.29371192669788049</v>
      </c>
      <c r="S50" s="20">
        <f t="shared" si="4"/>
        <v>-0.12737597355438135</v>
      </c>
      <c r="T50" s="806"/>
      <c r="U50" s="806"/>
      <c r="V50" s="806"/>
      <c r="W50" s="806"/>
      <c r="X50" s="806"/>
      <c r="Y50" s="806"/>
    </row>
    <row r="51" spans="2:25">
      <c r="B51" s="115">
        <f t="shared" si="0"/>
        <v>2020</v>
      </c>
      <c r="C51" s="634">
        <v>2493386</v>
      </c>
      <c r="D51" s="629">
        <v>9.5423251754842606E-2</v>
      </c>
      <c r="E51" s="634">
        <v>-46721</v>
      </c>
      <c r="F51" s="635">
        <f>Inputs!D77</f>
        <v>341116</v>
      </c>
      <c r="G51" s="628">
        <v>0.20833407929592654</v>
      </c>
      <c r="H51" s="634">
        <v>133593</v>
      </c>
      <c r="I51" s="634">
        <v>-148342</v>
      </c>
      <c r="J51" s="877" t="s">
        <v>141</v>
      </c>
      <c r="K51" s="878"/>
      <c r="L51" s="630">
        <f>_xlfn.XLOOKUP($J51,'Fin. Data'!$A:$A,'Fin. Data'!B:B,,0)</f>
        <v>-113088</v>
      </c>
      <c r="M51" s="631">
        <f>_xlfn.XLOOKUP($J51,'Fin. Data'!$A:$A,'Fin. Data'!C:C,,0)</f>
        <v>-48698</v>
      </c>
      <c r="N51" s="21">
        <f>(C51/C50)-1</f>
        <v>-2.2318507002103694E-2</v>
      </c>
      <c r="O51" s="21">
        <f t="shared" si="2"/>
        <v>7.0530430559141433E-3</v>
      </c>
      <c r="P51" s="7"/>
      <c r="Q51" s="20">
        <f t="shared" si="3"/>
        <v>-8.4096053174620415</v>
      </c>
      <c r="R51" s="20">
        <f t="shared" si="4"/>
        <v>3.9755613495738862E-2</v>
      </c>
      <c r="S51" s="20">
        <f t="shared" si="4"/>
        <v>6.4306674606648073E-2</v>
      </c>
      <c r="T51" s="806"/>
      <c r="U51" s="806"/>
      <c r="V51" s="806"/>
      <c r="W51" s="806"/>
      <c r="X51" s="806"/>
      <c r="Y51" s="806"/>
    </row>
    <row r="52" spans="2:25">
      <c r="B52" s="115">
        <f>B53-1</f>
        <v>2021</v>
      </c>
      <c r="C52" s="634">
        <v>3109106</v>
      </c>
      <c r="D52" s="629">
        <v>0.10012588827785222</v>
      </c>
      <c r="E52" s="634">
        <v>-49746</v>
      </c>
      <c r="F52" s="635">
        <f>Inputs!C$77</f>
        <v>55536</v>
      </c>
      <c r="G52" s="628">
        <v>0.12040999854042779</v>
      </c>
      <c r="H52" s="634">
        <v>148062</v>
      </c>
      <c r="I52" s="634">
        <v>-160327</v>
      </c>
      <c r="J52" s="875" t="s">
        <v>142</v>
      </c>
      <c r="K52" s="876"/>
      <c r="L52" s="630">
        <f>_xlfn.XLOOKUP($J52,'Fin. Data'!$A:$A,'Fin. Data'!B:B,,0)</f>
        <v>-61468</v>
      </c>
      <c r="M52" s="631">
        <f>_xlfn.XLOOKUP($J52,'Fin. Data'!$A:$A,'Fin. Data'!C:C,,0)</f>
        <v>-49746</v>
      </c>
      <c r="N52" s="21">
        <f>(C52/C51)-1</f>
        <v>0.2469413079242444</v>
      </c>
      <c r="O52" s="21">
        <f t="shared" si="2"/>
        <v>4.928187246323823E-2</v>
      </c>
      <c r="P52" s="7"/>
      <c r="Q52" s="20">
        <f t="shared" si="3"/>
        <v>-0.83719321286600457</v>
      </c>
      <c r="R52" s="20">
        <f t="shared" si="4"/>
        <v>0.10830657294918145</v>
      </c>
      <c r="S52" s="20">
        <f t="shared" si="4"/>
        <v>8.079303231721302E-2</v>
      </c>
      <c r="T52" s="806"/>
      <c r="U52" s="806"/>
      <c r="V52" s="806"/>
      <c r="W52" s="806"/>
      <c r="X52" s="806"/>
      <c r="Y52" s="806"/>
    </row>
    <row r="53" spans="2:25">
      <c r="B53" s="115">
        <f>J17</f>
        <v>2022</v>
      </c>
      <c r="C53" s="634">
        <v>3981578</v>
      </c>
      <c r="D53" s="629">
        <v>9.1645322532925386E-2</v>
      </c>
      <c r="E53" s="634">
        <v>-61468</v>
      </c>
      <c r="F53" s="635">
        <f>Inputs!B77</f>
        <v>-169559</v>
      </c>
      <c r="G53" s="628">
        <v>0.18908599659547337</v>
      </c>
      <c r="H53" s="634">
        <v>182224</v>
      </c>
      <c r="I53" s="634">
        <v>-209996</v>
      </c>
      <c r="J53" s="875" t="s">
        <v>143</v>
      </c>
      <c r="K53" s="876"/>
      <c r="L53" s="630">
        <f>_xlfn.XLOOKUP($J53,'Fin. Data'!$A:$A,'Fin. Data'!B:B,,0)</f>
        <v>0</v>
      </c>
      <c r="M53" s="631">
        <f>_xlfn.XLOOKUP($J53,'Fin. Data'!$A:$A,'Fin. Data'!C:C,,0)</f>
        <v>0</v>
      </c>
      <c r="N53" s="21">
        <f>(C53/C52)-1</f>
        <v>0.28061828705743719</v>
      </c>
      <c r="O53" s="21">
        <f t="shared" si="2"/>
        <v>-8.4699031297410521E-2</v>
      </c>
      <c r="P53" s="7"/>
      <c r="Q53" s="20">
        <f t="shared" si="3"/>
        <v>-4.0531367041198507</v>
      </c>
      <c r="R53" s="20">
        <f t="shared" si="4"/>
        <v>0.2307276681390229</v>
      </c>
      <c r="S53" s="20">
        <f t="shared" si="4"/>
        <v>0.30979810013285358</v>
      </c>
      <c r="T53" s="806"/>
      <c r="U53" s="806"/>
      <c r="V53" s="806"/>
      <c r="W53" s="806"/>
      <c r="X53" s="806"/>
      <c r="Y53" s="806"/>
    </row>
    <row r="54" spans="2:25">
      <c r="B54" s="118" t="s">
        <v>144</v>
      </c>
      <c r="C54" s="117">
        <f>IFERROR((C53/C45)^(1/8)-1,"")</f>
        <v>9.5810450013837256E-2</v>
      </c>
      <c r="D54" s="117">
        <f>IFERROR((D53/D45)^(1/8)-1,"")</f>
        <v>-6.7616880023273485E-3</v>
      </c>
      <c r="E54" s="136"/>
      <c r="F54" s="117" t="str">
        <f>IFERROR((F53/F45)^(1/8)-1,"")</f>
        <v/>
      </c>
      <c r="G54" s="136"/>
      <c r="H54" s="117">
        <f>IFERROR((H53/H45)^(1/8)-1,"")</f>
        <v>0.11231290733421839</v>
      </c>
      <c r="I54" s="136"/>
      <c r="J54" s="877" t="s">
        <v>145</v>
      </c>
      <c r="K54" s="878"/>
      <c r="L54" s="630">
        <f>_xlfn.XLOOKUP($J54,'Fin. Data'!$A:$A,'Fin. Data'!B:B,,0)</f>
        <v>14996</v>
      </c>
      <c r="M54" s="631">
        <f>_xlfn.XLOOKUP($J54,'Fin. Data'!$A:$A,'Fin. Data'!C:C,,0)</f>
        <v>41538</v>
      </c>
      <c r="N54" s="807"/>
      <c r="O54" s="807"/>
      <c r="P54" s="806"/>
      <c r="Q54" s="808"/>
      <c r="R54" s="808"/>
      <c r="S54" s="808"/>
      <c r="T54" s="806"/>
      <c r="U54" s="806"/>
      <c r="V54" s="806"/>
      <c r="W54" s="806"/>
      <c r="X54" s="806"/>
      <c r="Y54" s="806"/>
    </row>
    <row r="55" spans="2:25">
      <c r="B55" s="118" t="s">
        <v>146</v>
      </c>
      <c r="C55" s="117">
        <f>IFERROR(AVERAGE(N46:N53),"")</f>
        <v>0.10053658563642376</v>
      </c>
      <c r="D55" s="117">
        <f>IFERROR(AVERAGE(O46:O53),"")</f>
        <v>-3.8379582314223837E-3</v>
      </c>
      <c r="E55" s="136"/>
      <c r="F55" s="117">
        <f>IFERROR(AVERAGE(Q46:Q53),"")</f>
        <v>-1.1532941055266921</v>
      </c>
      <c r="G55" s="136"/>
      <c r="H55" s="117">
        <f>IFERROR(AVERAGE(S46:S53),"")</f>
        <v>0.15421064575743271</v>
      </c>
      <c r="I55" s="136"/>
      <c r="J55" s="879" t="s">
        <v>147</v>
      </c>
      <c r="K55" s="880"/>
      <c r="L55" s="632">
        <f>L47-L48+L51-L52-L53</f>
        <v>336499</v>
      </c>
      <c r="M55" s="633">
        <f>M47-M48+M51-M52-M53</f>
        <v>425322</v>
      </c>
      <c r="N55" s="806"/>
      <c r="O55" s="806"/>
      <c r="P55" s="806"/>
      <c r="Q55" s="806"/>
      <c r="R55" s="806"/>
      <c r="S55" s="806"/>
      <c r="T55" s="806"/>
      <c r="U55" s="806"/>
      <c r="V55" s="806"/>
      <c r="W55" s="806"/>
      <c r="X55" s="806"/>
      <c r="Y55" s="806"/>
    </row>
    <row r="56" spans="2:25">
      <c r="B56" s="118" t="s">
        <v>148</v>
      </c>
      <c r="C56" s="117">
        <f>IFERROR(STDEV(C46:C53)/AVERAGE(C46:C53),"")</f>
        <v>0.24551172480819702</v>
      </c>
      <c r="D56" s="117">
        <f>IFERROR(STDEV(D45:D53)/AVERAGE(D45:D53),"")</f>
        <v>7.7649440774780157E-2</v>
      </c>
      <c r="E56" s="136"/>
      <c r="F56" s="117">
        <f>IFERROR(STDEV(F45:F53)/AVERAGE(F45:F53),"")</f>
        <v>4.1626711099027798</v>
      </c>
      <c r="G56" s="136"/>
      <c r="H56" s="117">
        <f>IFERROR(STDEV(H45:H53)/AVERAGE(H45:H53),"")</f>
        <v>0.30827102646942989</v>
      </c>
      <c r="I56" s="136"/>
      <c r="J56" s="881" t="s">
        <v>149</v>
      </c>
      <c r="K56" s="882"/>
      <c r="L56" s="419">
        <f>IFERROR(SUM(I50:I53)/(C53-C49),"")</f>
        <v>-0.43855887725771076</v>
      </c>
      <c r="M56" s="503">
        <f>IFERROR((SUM(I50:I53)-SUM(H50:H53))/(C53-C49),"")</f>
        <v>-0.83334477420059994</v>
      </c>
      <c r="N56" s="806"/>
      <c r="O56" s="806"/>
      <c r="P56" s="806"/>
      <c r="Q56" s="806"/>
      <c r="R56" s="806"/>
      <c r="S56" s="806"/>
      <c r="T56" s="806"/>
      <c r="U56" s="806"/>
      <c r="V56" s="806"/>
      <c r="W56" s="806"/>
      <c r="X56" s="806"/>
      <c r="Y56" s="806"/>
    </row>
    <row r="57" spans="2:25">
      <c r="B57" s="118" t="s">
        <v>150</v>
      </c>
      <c r="C57" s="117">
        <f>IFERROR(C53/C52-1,"")</f>
        <v>0.28061828705743719</v>
      </c>
      <c r="D57" s="117">
        <f>IFERROR(1-(D53/D52),"")</f>
        <v>8.4699031297410521E-2</v>
      </c>
      <c r="E57" s="136"/>
      <c r="F57" s="117">
        <f>IFERROR(1-(F53/F52),"")</f>
        <v>4.0531367041198507</v>
      </c>
      <c r="G57" s="136"/>
      <c r="H57" s="117">
        <f>IFERROR(1-(H53/H52),"")</f>
        <v>-0.2307276681390229</v>
      </c>
      <c r="I57" s="136"/>
      <c r="J57" s="883" t="s">
        <v>151</v>
      </c>
      <c r="K57" s="884"/>
      <c r="L57" s="420">
        <f>IFERROR(L56/E24,"")</f>
        <v>-3.045014747290578</v>
      </c>
      <c r="M57" s="425">
        <f>IFERROR(M56/E24,"")</f>
        <v>-5.7861036649982625</v>
      </c>
      <c r="N57" s="806"/>
      <c r="O57" s="806"/>
      <c r="P57" s="806"/>
      <c r="Q57" s="806"/>
      <c r="R57" s="806"/>
      <c r="S57" s="806"/>
      <c r="T57" s="806"/>
      <c r="U57" s="806"/>
      <c r="V57" s="806"/>
      <c r="W57" s="806"/>
      <c r="X57" s="806"/>
      <c r="Y57" s="806"/>
    </row>
    <row r="58" spans="2:25" ht="18">
      <c r="B58" s="939" t="s">
        <v>152</v>
      </c>
      <c r="C58" s="838"/>
      <c r="D58" s="838"/>
      <c r="E58" s="838"/>
      <c r="F58" s="838"/>
      <c r="G58" s="838"/>
      <c r="H58" s="838"/>
      <c r="I58" s="838"/>
      <c r="J58" s="838"/>
      <c r="K58" s="838"/>
      <c r="L58" s="838"/>
      <c r="M58" s="839"/>
      <c r="N58" s="806"/>
      <c r="O58" s="806"/>
      <c r="P58" s="806"/>
      <c r="Q58" s="806"/>
      <c r="R58" s="806"/>
      <c r="S58" s="806"/>
      <c r="T58" s="806"/>
      <c r="U58" s="806"/>
      <c r="V58" s="806"/>
      <c r="W58" s="806"/>
      <c r="X58" s="806"/>
      <c r="Y58" s="806"/>
    </row>
    <row r="59" spans="2:25" ht="15.95">
      <c r="B59" s="918" t="s">
        <v>153</v>
      </c>
      <c r="C59" s="873"/>
      <c r="D59" s="873"/>
      <c r="E59" s="873"/>
      <c r="F59" s="873"/>
      <c r="G59" s="873"/>
      <c r="H59" s="873"/>
      <c r="I59" s="873"/>
      <c r="J59" s="873" t="s">
        <v>154</v>
      </c>
      <c r="K59" s="873"/>
      <c r="L59" s="873"/>
      <c r="M59" s="874"/>
      <c r="N59" s="806"/>
      <c r="O59" s="806"/>
      <c r="P59" s="806"/>
      <c r="Q59" s="806"/>
      <c r="R59" s="806"/>
      <c r="S59" s="806"/>
      <c r="T59" s="806"/>
      <c r="U59" s="806"/>
      <c r="V59" s="806"/>
      <c r="W59" s="806"/>
      <c r="X59" s="806"/>
      <c r="Y59" s="806"/>
    </row>
    <row r="60" spans="2:25">
      <c r="B60" s="864" t="s">
        <v>155</v>
      </c>
      <c r="C60" s="865"/>
      <c r="D60" s="865"/>
      <c r="E60" s="865" t="s">
        <v>156</v>
      </c>
      <c r="F60" s="865"/>
      <c r="G60" s="865"/>
      <c r="H60" s="865"/>
      <c r="I60" s="865"/>
      <c r="J60" s="865" t="s">
        <v>7</v>
      </c>
      <c r="K60" s="865"/>
      <c r="L60" s="865"/>
      <c r="M60" s="423" t="s">
        <v>157</v>
      </c>
      <c r="N60" s="806"/>
      <c r="O60" s="806"/>
      <c r="P60" s="806"/>
      <c r="Q60" s="806"/>
      <c r="R60" s="806"/>
      <c r="S60" s="806"/>
      <c r="T60" s="806"/>
      <c r="U60" s="806"/>
      <c r="V60" s="806"/>
      <c r="W60" s="806"/>
      <c r="X60" s="806"/>
      <c r="Y60" s="806"/>
    </row>
    <row r="61" spans="2:25" ht="15" customHeight="1">
      <c r="B61" s="866" t="s">
        <v>158</v>
      </c>
      <c r="C61" s="867"/>
      <c r="D61" s="868"/>
      <c r="E61" s="956" t="s">
        <v>159</v>
      </c>
      <c r="F61" s="957"/>
      <c r="G61" s="957"/>
      <c r="H61" s="957"/>
      <c r="I61" s="958"/>
      <c r="J61" s="861" t="s">
        <v>160</v>
      </c>
      <c r="K61" s="862"/>
      <c r="L61" s="863"/>
      <c r="M61" s="426">
        <v>5.8500000000000003E-2</v>
      </c>
      <c r="N61" s="806"/>
      <c r="O61" s="806"/>
      <c r="P61" s="806"/>
      <c r="Q61" s="806"/>
      <c r="R61" s="806"/>
      <c r="S61" s="806"/>
      <c r="T61" s="806"/>
      <c r="U61" s="806"/>
      <c r="V61" s="806"/>
      <c r="W61" s="806"/>
      <c r="X61" s="806"/>
      <c r="Y61" s="806"/>
    </row>
    <row r="62" spans="2:25" ht="15" customHeight="1">
      <c r="B62" s="869"/>
      <c r="C62" s="869"/>
      <c r="D62" s="870"/>
      <c r="E62" s="959"/>
      <c r="F62" s="960"/>
      <c r="G62" s="960"/>
      <c r="H62" s="960"/>
      <c r="I62" s="961"/>
      <c r="J62" s="861" t="s">
        <v>161</v>
      </c>
      <c r="K62" s="862"/>
      <c r="L62" s="863"/>
      <c r="M62" s="426">
        <v>3.0700000000000002E-2</v>
      </c>
      <c r="N62" s="806"/>
      <c r="O62" s="806"/>
      <c r="P62" s="806"/>
      <c r="Q62" s="806"/>
      <c r="R62" s="806"/>
      <c r="S62" s="806"/>
      <c r="T62" s="806"/>
      <c r="U62" s="806"/>
      <c r="V62" s="806"/>
      <c r="W62" s="806"/>
      <c r="X62" s="806"/>
      <c r="Y62" s="806"/>
    </row>
    <row r="63" spans="2:25" ht="15" customHeight="1">
      <c r="B63" s="869"/>
      <c r="C63" s="869"/>
      <c r="D63" s="870"/>
      <c r="E63" s="959"/>
      <c r="F63" s="960"/>
      <c r="G63" s="960"/>
      <c r="H63" s="960"/>
      <c r="I63" s="961"/>
      <c r="J63" s="861" t="s">
        <v>162</v>
      </c>
      <c r="K63" s="862"/>
      <c r="L63" s="863"/>
      <c r="M63" s="426">
        <v>2.8000000000000001E-2</v>
      </c>
      <c r="N63" s="806"/>
      <c r="O63" s="806"/>
      <c r="P63" s="806"/>
      <c r="Q63" s="806"/>
      <c r="R63" s="806"/>
      <c r="S63" s="806"/>
      <c r="T63" s="806"/>
      <c r="U63" s="806"/>
      <c r="V63" s="806"/>
      <c r="W63" s="806"/>
      <c r="X63" s="806"/>
      <c r="Y63" s="806"/>
    </row>
    <row r="64" spans="2:25" ht="15" customHeight="1">
      <c r="B64" s="869"/>
      <c r="C64" s="869"/>
      <c r="D64" s="870"/>
      <c r="E64" s="959"/>
      <c r="F64" s="960"/>
      <c r="G64" s="960"/>
      <c r="H64" s="960"/>
      <c r="I64" s="961"/>
      <c r="J64" s="861" t="s">
        <v>163</v>
      </c>
      <c r="K64" s="862"/>
      <c r="L64" s="863"/>
      <c r="M64" s="426">
        <v>2.75E-2</v>
      </c>
      <c r="N64" s="806"/>
      <c r="O64" s="806"/>
      <c r="P64" s="806"/>
      <c r="Q64" s="806"/>
      <c r="R64" s="806"/>
      <c r="S64" s="806"/>
      <c r="T64" s="806"/>
      <c r="U64" s="806"/>
      <c r="V64" s="806"/>
      <c r="W64" s="806"/>
      <c r="X64" s="806"/>
      <c r="Y64" s="806"/>
    </row>
    <row r="65" spans="2:25">
      <c r="B65" s="869"/>
      <c r="C65" s="869"/>
      <c r="D65" s="870"/>
      <c r="E65" s="959"/>
      <c r="F65" s="960"/>
      <c r="G65" s="960"/>
      <c r="H65" s="960"/>
      <c r="I65" s="961"/>
      <c r="J65" s="861" t="s">
        <v>164</v>
      </c>
      <c r="K65" s="862"/>
      <c r="L65" s="863"/>
      <c r="M65" s="426">
        <v>2.47E-2</v>
      </c>
      <c r="N65" s="806"/>
      <c r="O65" s="806"/>
      <c r="P65" s="806"/>
      <c r="Q65" s="806"/>
      <c r="R65" s="806"/>
      <c r="S65" s="806"/>
      <c r="T65" s="806"/>
      <c r="U65" s="806"/>
      <c r="V65" s="806"/>
      <c r="W65" s="806"/>
      <c r="X65" s="806"/>
      <c r="Y65" s="806"/>
    </row>
    <row r="66" spans="2:25">
      <c r="B66" s="869"/>
      <c r="C66" s="869"/>
      <c r="D66" s="870"/>
      <c r="E66" s="959"/>
      <c r="F66" s="960"/>
      <c r="G66" s="960"/>
      <c r="H66" s="960"/>
      <c r="I66" s="961"/>
      <c r="J66" s="861" t="s">
        <v>165</v>
      </c>
      <c r="K66" s="862"/>
      <c r="L66" s="863"/>
      <c r="M66" s="426">
        <v>2.47E-2</v>
      </c>
      <c r="N66" s="806"/>
      <c r="O66" s="806"/>
      <c r="P66" s="806"/>
      <c r="Q66" s="806"/>
      <c r="R66" s="806"/>
      <c r="S66" s="806"/>
      <c r="T66" s="806"/>
      <c r="U66" s="806"/>
      <c r="V66" s="806"/>
      <c r="W66" s="806"/>
      <c r="X66" s="806"/>
      <c r="Y66" s="806"/>
    </row>
    <row r="67" spans="2:25">
      <c r="B67" s="869"/>
      <c r="C67" s="869"/>
      <c r="D67" s="870"/>
      <c r="E67" s="959"/>
      <c r="F67" s="960"/>
      <c r="G67" s="960"/>
      <c r="H67" s="960"/>
      <c r="I67" s="961"/>
      <c r="J67" s="861" t="s">
        <v>166</v>
      </c>
      <c r="K67" s="862"/>
      <c r="L67" s="863"/>
      <c r="M67" s="426">
        <v>2.0500000000000001E-2</v>
      </c>
      <c r="N67" s="806"/>
      <c r="O67" s="806"/>
      <c r="P67" s="806"/>
      <c r="Q67" s="806"/>
      <c r="R67" s="806"/>
      <c r="S67" s="806"/>
      <c r="T67" s="806"/>
      <c r="U67" s="806"/>
      <c r="V67" s="806"/>
      <c r="W67" s="806"/>
      <c r="X67" s="806"/>
      <c r="Y67" s="806"/>
    </row>
    <row r="68" spans="2:25">
      <c r="B68" s="869"/>
      <c r="C68" s="869"/>
      <c r="D68" s="870"/>
      <c r="E68" s="959"/>
      <c r="F68" s="960"/>
      <c r="G68" s="960"/>
      <c r="H68" s="960"/>
      <c r="I68" s="961"/>
      <c r="J68" s="861" t="s">
        <v>167</v>
      </c>
      <c r="K68" s="862"/>
      <c r="L68" s="863"/>
      <c r="M68" s="426">
        <v>1.8100000000000002E-2</v>
      </c>
      <c r="N68" s="806"/>
      <c r="O68" s="806"/>
      <c r="P68" s="806"/>
      <c r="Q68" s="806"/>
      <c r="R68" s="806"/>
      <c r="S68" s="806"/>
      <c r="T68" s="806"/>
      <c r="U68" s="806"/>
      <c r="V68" s="806"/>
      <c r="W68" s="806"/>
      <c r="X68" s="806"/>
      <c r="Y68" s="806"/>
    </row>
    <row r="69" spans="2:25">
      <c r="B69" s="869"/>
      <c r="C69" s="869"/>
      <c r="D69" s="870"/>
      <c r="E69" s="959"/>
      <c r="F69" s="960"/>
      <c r="G69" s="960"/>
      <c r="H69" s="960"/>
      <c r="I69" s="961"/>
      <c r="J69" s="861" t="s">
        <v>168</v>
      </c>
      <c r="K69" s="862"/>
      <c r="L69" s="863"/>
      <c r="M69" s="426">
        <v>1.5800000000000002E-2</v>
      </c>
      <c r="N69" s="806"/>
      <c r="O69" s="806"/>
      <c r="P69" s="806"/>
      <c r="Q69" s="806"/>
      <c r="R69" s="806"/>
      <c r="S69" s="806"/>
      <c r="T69" s="806"/>
      <c r="U69" s="806"/>
      <c r="V69" s="806"/>
      <c r="W69" s="806"/>
      <c r="X69" s="806"/>
      <c r="Y69" s="806"/>
    </row>
    <row r="70" spans="2:25" ht="48" customHeight="1">
      <c r="B70" s="871"/>
      <c r="C70" s="871"/>
      <c r="D70" s="872"/>
      <c r="E70" s="962"/>
      <c r="F70" s="963"/>
      <c r="G70" s="963"/>
      <c r="H70" s="963"/>
      <c r="I70" s="964"/>
      <c r="J70" s="861" t="s">
        <v>169</v>
      </c>
      <c r="K70" s="862"/>
      <c r="L70" s="863"/>
      <c r="M70" s="426">
        <v>1.55E-2</v>
      </c>
      <c r="N70" s="806"/>
      <c r="O70" s="806"/>
      <c r="P70" s="806"/>
      <c r="Q70" s="806"/>
      <c r="R70" s="806"/>
      <c r="S70" s="806"/>
      <c r="T70" s="806"/>
      <c r="U70" s="806"/>
      <c r="V70" s="806"/>
      <c r="W70" s="806"/>
      <c r="X70" s="806"/>
      <c r="Y70" s="806"/>
    </row>
    <row r="71" spans="2:25">
      <c r="B71" s="864" t="s">
        <v>170</v>
      </c>
      <c r="C71" s="865"/>
      <c r="D71" s="865"/>
      <c r="E71" s="865" t="s">
        <v>171</v>
      </c>
      <c r="F71" s="865"/>
      <c r="G71" s="865"/>
      <c r="H71" s="865"/>
      <c r="I71" s="865"/>
      <c r="J71" s="861" t="s">
        <v>172</v>
      </c>
      <c r="K71" s="862"/>
      <c r="L71" s="863"/>
      <c r="M71" s="426">
        <v>1.5299999999999999E-2</v>
      </c>
      <c r="N71" s="806"/>
      <c r="O71" s="806"/>
      <c r="P71" s="806"/>
      <c r="Q71" s="806"/>
      <c r="R71" s="806"/>
      <c r="S71" s="806"/>
      <c r="T71" s="806"/>
      <c r="U71" s="806"/>
      <c r="V71" s="806"/>
      <c r="W71" s="806"/>
      <c r="X71" s="806"/>
      <c r="Y71" s="806"/>
    </row>
    <row r="72" spans="2:25" ht="15" customHeight="1">
      <c r="B72" s="965" t="s">
        <v>173</v>
      </c>
      <c r="C72" s="966"/>
      <c r="D72" s="967"/>
      <c r="E72" s="947" t="s">
        <v>174</v>
      </c>
      <c r="F72" s="948"/>
      <c r="G72" s="948"/>
      <c r="H72" s="948"/>
      <c r="I72" s="949"/>
      <c r="J72" s="861" t="s">
        <v>175</v>
      </c>
      <c r="K72" s="862"/>
      <c r="L72" s="863"/>
      <c r="M72" s="426">
        <v>1.47E-2</v>
      </c>
      <c r="N72" s="806"/>
      <c r="O72" s="806"/>
      <c r="P72" s="806"/>
      <c r="Q72" s="806"/>
      <c r="R72" s="806"/>
      <c r="S72" s="806"/>
      <c r="T72" s="806"/>
      <c r="U72" s="806"/>
      <c r="V72" s="806"/>
      <c r="W72" s="806"/>
      <c r="X72" s="806"/>
      <c r="Y72" s="806"/>
    </row>
    <row r="73" spans="2:25" ht="15" customHeight="1">
      <c r="B73" s="968"/>
      <c r="C73" s="968"/>
      <c r="D73" s="969"/>
      <c r="E73" s="950"/>
      <c r="F73" s="951"/>
      <c r="G73" s="951"/>
      <c r="H73" s="951"/>
      <c r="I73" s="952"/>
      <c r="J73" s="861" t="s">
        <v>176</v>
      </c>
      <c r="K73" s="862"/>
      <c r="L73" s="863"/>
      <c r="M73" s="426">
        <v>1.23E-2</v>
      </c>
      <c r="N73" s="806"/>
      <c r="O73" s="806"/>
      <c r="P73" s="806"/>
      <c r="Q73" s="806"/>
      <c r="R73" s="806"/>
      <c r="S73" s="806"/>
      <c r="T73" s="806"/>
      <c r="U73" s="806"/>
      <c r="V73" s="806"/>
      <c r="W73" s="806"/>
      <c r="X73" s="806"/>
      <c r="Y73" s="806"/>
    </row>
    <row r="74" spans="2:25" ht="15" customHeight="1">
      <c r="B74" s="968"/>
      <c r="C74" s="968"/>
      <c r="D74" s="969"/>
      <c r="E74" s="950"/>
      <c r="F74" s="951"/>
      <c r="G74" s="951"/>
      <c r="H74" s="951"/>
      <c r="I74" s="952"/>
      <c r="J74" s="861" t="s">
        <v>177</v>
      </c>
      <c r="K74" s="862"/>
      <c r="L74" s="863"/>
      <c r="M74" s="426">
        <v>1.23E-2</v>
      </c>
      <c r="N74" s="806"/>
      <c r="O74" s="806"/>
      <c r="P74" s="806"/>
      <c r="Q74" s="806"/>
      <c r="R74" s="806"/>
      <c r="S74" s="806"/>
      <c r="T74" s="806"/>
      <c r="U74" s="806"/>
      <c r="V74" s="806"/>
      <c r="W74" s="806"/>
      <c r="X74" s="806"/>
      <c r="Y74" s="806"/>
    </row>
    <row r="75" spans="2:25" ht="15" customHeight="1">
      <c r="B75" s="968"/>
      <c r="C75" s="968"/>
      <c r="D75" s="969"/>
      <c r="E75" s="950"/>
      <c r="F75" s="951"/>
      <c r="G75" s="951"/>
      <c r="H75" s="951"/>
      <c r="I75" s="952"/>
      <c r="J75" s="861" t="s">
        <v>178</v>
      </c>
      <c r="K75" s="862"/>
      <c r="L75" s="863"/>
      <c r="M75" s="426">
        <v>1.21E-2</v>
      </c>
    </row>
    <row r="76" spans="2:25">
      <c r="B76" s="968"/>
      <c r="C76" s="968"/>
      <c r="D76" s="969"/>
      <c r="E76" s="950"/>
      <c r="F76" s="951"/>
      <c r="G76" s="951"/>
      <c r="H76" s="951"/>
      <c r="I76" s="952"/>
      <c r="J76" s="861" t="s">
        <v>179</v>
      </c>
      <c r="K76" s="862"/>
      <c r="L76" s="863"/>
      <c r="M76" s="426">
        <v>1.1599999999999999E-2</v>
      </c>
    </row>
    <row r="77" spans="2:25">
      <c r="B77" s="968"/>
      <c r="C77" s="968"/>
      <c r="D77" s="969"/>
      <c r="E77" s="950"/>
      <c r="F77" s="951"/>
      <c r="G77" s="951"/>
      <c r="H77" s="951"/>
      <c r="I77" s="952"/>
      <c r="J77" s="861" t="s">
        <v>180</v>
      </c>
      <c r="K77" s="862"/>
      <c r="L77" s="863"/>
      <c r="M77" s="426">
        <v>1.14E-2</v>
      </c>
    </row>
    <row r="78" spans="2:25">
      <c r="B78" s="968"/>
      <c r="C78" s="968"/>
      <c r="D78" s="969"/>
      <c r="E78" s="950"/>
      <c r="F78" s="951"/>
      <c r="G78" s="951"/>
      <c r="H78" s="951"/>
      <c r="I78" s="952"/>
      <c r="J78" s="861" t="s">
        <v>181</v>
      </c>
      <c r="K78" s="862"/>
      <c r="L78" s="863"/>
      <c r="M78" s="426">
        <v>7.0000000000000001E-3</v>
      </c>
    </row>
    <row r="79" spans="2:25">
      <c r="B79" s="968"/>
      <c r="C79" s="968"/>
      <c r="D79" s="969"/>
      <c r="E79" s="950"/>
      <c r="F79" s="951"/>
      <c r="G79" s="951"/>
      <c r="H79" s="951"/>
      <c r="I79" s="952"/>
      <c r="J79" s="861" t="s">
        <v>182</v>
      </c>
      <c r="K79" s="862"/>
      <c r="L79" s="863"/>
      <c r="M79" s="426">
        <v>6.4999999999999997E-3</v>
      </c>
    </row>
    <row r="80" spans="2:25" ht="61.5" customHeight="1">
      <c r="B80" s="970"/>
      <c r="C80" s="970"/>
      <c r="D80" s="971"/>
      <c r="E80" s="953"/>
      <c r="F80" s="954"/>
      <c r="G80" s="954"/>
      <c r="H80" s="954"/>
      <c r="I80" s="955"/>
      <c r="J80" s="861" t="s">
        <v>183</v>
      </c>
      <c r="K80" s="862"/>
      <c r="L80" s="863"/>
      <c r="M80" s="426">
        <v>5.7999999999999996E-3</v>
      </c>
    </row>
    <row r="81" spans="2:13" ht="15.95">
      <c r="B81" s="941" t="s">
        <v>184</v>
      </c>
      <c r="C81" s="942"/>
      <c r="D81" s="942"/>
      <c r="E81" s="942"/>
      <c r="F81" s="942"/>
      <c r="G81" s="873" t="s">
        <v>185</v>
      </c>
      <c r="H81" s="873"/>
      <c r="I81" s="873"/>
      <c r="J81" s="873"/>
      <c r="K81" s="873"/>
      <c r="L81" s="873"/>
      <c r="M81" s="874"/>
    </row>
    <row r="82" spans="2:13" s="11" customFormat="1">
      <c r="B82" s="909" t="s">
        <v>186</v>
      </c>
      <c r="C82" s="910"/>
      <c r="D82" s="910"/>
      <c r="E82" s="910"/>
      <c r="F82" s="911"/>
      <c r="G82"/>
      <c r="H82"/>
      <c r="I82"/>
      <c r="J82"/>
      <c r="K82"/>
      <c r="L82"/>
      <c r="M82" s="50"/>
    </row>
    <row r="83" spans="2:13">
      <c r="B83" s="912"/>
      <c r="C83" s="913"/>
      <c r="D83" s="913"/>
      <c r="E83" s="913"/>
      <c r="F83" s="914"/>
      <c r="M83" s="50"/>
    </row>
    <row r="84" spans="2:13">
      <c r="B84" s="912"/>
      <c r="C84" s="913"/>
      <c r="D84" s="913"/>
      <c r="E84" s="913"/>
      <c r="F84" s="914"/>
      <c r="M84" s="50"/>
    </row>
    <row r="85" spans="2:13">
      <c r="B85" s="912"/>
      <c r="C85" s="913"/>
      <c r="D85" s="913"/>
      <c r="E85" s="913"/>
      <c r="F85" s="914"/>
      <c r="M85" s="50"/>
    </row>
    <row r="86" spans="2:13">
      <c r="B86" s="912"/>
      <c r="C86" s="913"/>
      <c r="D86" s="913"/>
      <c r="E86" s="913"/>
      <c r="F86" s="914"/>
      <c r="M86" s="50"/>
    </row>
    <row r="87" spans="2:13">
      <c r="B87" s="912"/>
      <c r="C87" s="913"/>
      <c r="D87" s="913"/>
      <c r="E87" s="913"/>
      <c r="F87" s="914"/>
      <c r="M87" s="50"/>
    </row>
    <row r="88" spans="2:13">
      <c r="B88" s="912"/>
      <c r="C88" s="913"/>
      <c r="D88" s="913"/>
      <c r="E88" s="913"/>
      <c r="F88" s="914"/>
      <c r="M88" s="50"/>
    </row>
    <row r="89" spans="2:13">
      <c r="B89" s="912"/>
      <c r="C89" s="913"/>
      <c r="D89" s="913"/>
      <c r="E89" s="913"/>
      <c r="F89" s="914"/>
      <c r="M89" s="50"/>
    </row>
    <row r="90" spans="2:13">
      <c r="B90" s="912"/>
      <c r="C90" s="913"/>
      <c r="D90" s="913"/>
      <c r="E90" s="913"/>
      <c r="F90" s="914"/>
      <c r="M90" s="50"/>
    </row>
    <row r="91" spans="2:13">
      <c r="B91" s="912"/>
      <c r="C91" s="913"/>
      <c r="D91" s="913"/>
      <c r="E91" s="913"/>
      <c r="F91" s="914"/>
      <c r="M91" s="50"/>
    </row>
    <row r="92" spans="2:13">
      <c r="B92" s="912"/>
      <c r="C92" s="913"/>
      <c r="D92" s="913"/>
      <c r="E92" s="913"/>
      <c r="F92" s="914"/>
      <c r="M92" s="50"/>
    </row>
    <row r="93" spans="2:13">
      <c r="B93" s="912"/>
      <c r="C93" s="913"/>
      <c r="D93" s="913"/>
      <c r="E93" s="913"/>
      <c r="F93" s="914"/>
      <c r="M93" s="50"/>
    </row>
    <row r="94" spans="2:13">
      <c r="B94" s="912"/>
      <c r="C94" s="913"/>
      <c r="D94" s="913"/>
      <c r="E94" s="913"/>
      <c r="F94" s="914"/>
      <c r="M94" s="50"/>
    </row>
    <row r="95" spans="2:13">
      <c r="B95" s="912"/>
      <c r="C95" s="913"/>
      <c r="D95" s="913"/>
      <c r="E95" s="913"/>
      <c r="F95" s="914"/>
      <c r="M95" s="50"/>
    </row>
    <row r="96" spans="2:13">
      <c r="B96" s="912"/>
      <c r="C96" s="913"/>
      <c r="D96" s="913"/>
      <c r="E96" s="913"/>
      <c r="F96" s="914"/>
      <c r="M96" s="50"/>
    </row>
    <row r="97" spans="2:13">
      <c r="B97" s="912"/>
      <c r="C97" s="913"/>
      <c r="D97" s="913"/>
      <c r="E97" s="913"/>
      <c r="F97" s="914"/>
      <c r="M97" s="50"/>
    </row>
    <row r="98" spans="2:13">
      <c r="B98" s="912"/>
      <c r="C98" s="913"/>
      <c r="D98" s="913"/>
      <c r="E98" s="913"/>
      <c r="F98" s="914"/>
      <c r="M98" s="50"/>
    </row>
    <row r="99" spans="2:13">
      <c r="B99" s="912"/>
      <c r="C99" s="913"/>
      <c r="D99" s="913"/>
      <c r="E99" s="913"/>
      <c r="F99" s="914"/>
      <c r="M99" s="50"/>
    </row>
    <row r="100" spans="2:13">
      <c r="B100" s="912"/>
      <c r="C100" s="913"/>
      <c r="D100" s="913"/>
      <c r="E100" s="913"/>
      <c r="F100" s="914"/>
      <c r="M100" s="50"/>
    </row>
    <row r="101" spans="2:13">
      <c r="B101" s="912"/>
      <c r="C101" s="913"/>
      <c r="D101" s="913"/>
      <c r="E101" s="913"/>
      <c r="F101" s="914"/>
      <c r="M101" s="50"/>
    </row>
    <row r="102" spans="2:13">
      <c r="B102" s="912"/>
      <c r="C102" s="913"/>
      <c r="D102" s="913"/>
      <c r="E102" s="913"/>
      <c r="F102" s="914"/>
      <c r="M102" s="50"/>
    </row>
    <row r="103" spans="2:13">
      <c r="B103" s="912"/>
      <c r="C103" s="913"/>
      <c r="D103" s="913"/>
      <c r="E103" s="913"/>
      <c r="F103" s="914"/>
      <c r="M103" s="50"/>
    </row>
    <row r="104" spans="2:13">
      <c r="B104" s="912"/>
      <c r="C104" s="913"/>
      <c r="D104" s="913"/>
      <c r="E104" s="913"/>
      <c r="F104" s="914"/>
      <c r="M104" s="50"/>
    </row>
    <row r="105" spans="2:13">
      <c r="B105" s="912"/>
      <c r="C105" s="913"/>
      <c r="D105" s="913"/>
      <c r="E105" s="913"/>
      <c r="F105" s="914"/>
      <c r="M105" s="50"/>
    </row>
    <row r="106" spans="2:13" ht="68.849999999999994" customHeight="1" thickBot="1">
      <c r="B106" s="915"/>
      <c r="C106" s="916"/>
      <c r="D106" s="916"/>
      <c r="E106" s="916"/>
      <c r="F106" s="917"/>
      <c r="G106" s="945" t="str">
        <f>E2</f>
        <v>Daikin Industries,Ltd. (6367.T)</v>
      </c>
      <c r="H106" s="946"/>
      <c r="I106" s="725" t="e" vm="1">
        <f>Peers!D7</f>
        <v>#VALUE!</v>
      </c>
      <c r="J106" s="726" t="e" vm="2">
        <f>Peers!E7</f>
        <v>#VALUE!</v>
      </c>
      <c r="K106" s="727" t="e" vm="3">
        <f>Peers!F7</f>
        <v>#VALUE!</v>
      </c>
      <c r="L106" s="943" t="e" vm="4">
        <f>Peers!G7</f>
        <v>#VALUE!</v>
      </c>
      <c r="M106" s="944"/>
    </row>
    <row r="109" spans="2:13">
      <c r="C109" s="7"/>
      <c r="D109" s="781" t="s">
        <v>187</v>
      </c>
      <c r="E109" s="7" t="s">
        <v>188</v>
      </c>
      <c r="F109" s="7"/>
      <c r="G109" s="7"/>
      <c r="H109" s="7"/>
    </row>
    <row r="110" spans="2:13">
      <c r="C110" s="7"/>
      <c r="D110" s="7"/>
      <c r="E110" s="7"/>
      <c r="F110" s="7"/>
      <c r="G110" s="7"/>
      <c r="H110" s="7"/>
    </row>
    <row r="111" spans="2:13">
      <c r="C111" s="7"/>
      <c r="D111" s="781" t="s">
        <v>189</v>
      </c>
      <c r="E111" s="7"/>
      <c r="F111" s="7" t="s">
        <v>190</v>
      </c>
      <c r="G111" s="7"/>
      <c r="H111" s="7"/>
    </row>
  </sheetData>
  <mergeCells count="111">
    <mergeCell ref="L106:M106"/>
    <mergeCell ref="J62:L62"/>
    <mergeCell ref="G106:H106"/>
    <mergeCell ref="G81:M81"/>
    <mergeCell ref="E72:I80"/>
    <mergeCell ref="E61:I70"/>
    <mergeCell ref="J60:L60"/>
    <mergeCell ref="E71:I71"/>
    <mergeCell ref="B72:D80"/>
    <mergeCell ref="J63:L63"/>
    <mergeCell ref="J64:L64"/>
    <mergeCell ref="J65:L65"/>
    <mergeCell ref="J66:L66"/>
    <mergeCell ref="J67:L67"/>
    <mergeCell ref="J68:L68"/>
    <mergeCell ref="J69:L69"/>
    <mergeCell ref="J61:L61"/>
    <mergeCell ref="E60:I60"/>
    <mergeCell ref="J74:L74"/>
    <mergeCell ref="J76:L76"/>
    <mergeCell ref="J77:L77"/>
    <mergeCell ref="J78:L78"/>
    <mergeCell ref="J80:L80"/>
    <mergeCell ref="J79:L79"/>
    <mergeCell ref="B82:F106"/>
    <mergeCell ref="B59:I59"/>
    <mergeCell ref="B31:G31"/>
    <mergeCell ref="I16:K16"/>
    <mergeCell ref="C41:G41"/>
    <mergeCell ref="C40:G40"/>
    <mergeCell ref="I26:J26"/>
    <mergeCell ref="I27:J27"/>
    <mergeCell ref="I28:J28"/>
    <mergeCell ref="I31:M31"/>
    <mergeCell ref="B37:G37"/>
    <mergeCell ref="C38:G38"/>
    <mergeCell ref="C32:G32"/>
    <mergeCell ref="B58:M58"/>
    <mergeCell ref="C33:G33"/>
    <mergeCell ref="J44:M44"/>
    <mergeCell ref="B43:M43"/>
    <mergeCell ref="B81:F81"/>
    <mergeCell ref="J46:K46"/>
    <mergeCell ref="J47:K47"/>
    <mergeCell ref="J48:K48"/>
    <mergeCell ref="J49:K49"/>
    <mergeCell ref="J50:K50"/>
    <mergeCell ref="J51:K51"/>
    <mergeCell ref="J52:K52"/>
    <mergeCell ref="J53:K53"/>
    <mergeCell ref="J54:K54"/>
    <mergeCell ref="J55:K55"/>
    <mergeCell ref="J56:K56"/>
    <mergeCell ref="J57:K57"/>
    <mergeCell ref="B30:M30"/>
    <mergeCell ref="J17:K17"/>
    <mergeCell ref="F29:G29"/>
    <mergeCell ref="F28:G28"/>
    <mergeCell ref="F26:G26"/>
    <mergeCell ref="F27:G27"/>
    <mergeCell ref="H32:H36"/>
    <mergeCell ref="C34:G34"/>
    <mergeCell ref="C36:G36"/>
    <mergeCell ref="C39:G39"/>
    <mergeCell ref="I32:M36"/>
    <mergeCell ref="I37:M37"/>
    <mergeCell ref="F21:G21"/>
    <mergeCell ref="F22:G22"/>
    <mergeCell ref="F18:G18"/>
    <mergeCell ref="F19:G19"/>
    <mergeCell ref="F20:G20"/>
    <mergeCell ref="J75:L75"/>
    <mergeCell ref="J70:L70"/>
    <mergeCell ref="J71:L71"/>
    <mergeCell ref="J72:L72"/>
    <mergeCell ref="J73:L73"/>
    <mergeCell ref="B60:D60"/>
    <mergeCell ref="B71:D71"/>
    <mergeCell ref="B61:D70"/>
    <mergeCell ref="J59:M59"/>
    <mergeCell ref="B14:C14"/>
    <mergeCell ref="B3:C13"/>
    <mergeCell ref="L16:M16"/>
    <mergeCell ref="B16:C16"/>
    <mergeCell ref="B26:C26"/>
    <mergeCell ref="D16:E16"/>
    <mergeCell ref="B15:M15"/>
    <mergeCell ref="C42:G42"/>
    <mergeCell ref="H38:H42"/>
    <mergeCell ref="I38:I42"/>
    <mergeCell ref="J38:K42"/>
    <mergeCell ref="L38:L42"/>
    <mergeCell ref="M38:M42"/>
    <mergeCell ref="C35:G35"/>
    <mergeCell ref="E2:K2"/>
    <mergeCell ref="F17:G17"/>
    <mergeCell ref="F25:G25"/>
    <mergeCell ref="F23:G23"/>
    <mergeCell ref="J18:K18"/>
    <mergeCell ref="I19:J19"/>
    <mergeCell ref="I20:J20"/>
    <mergeCell ref="I21:J21"/>
    <mergeCell ref="I22:J22"/>
    <mergeCell ref="I23:J23"/>
    <mergeCell ref="I24:J24"/>
    <mergeCell ref="I25:J25"/>
    <mergeCell ref="F24:G24"/>
    <mergeCell ref="D4:G14"/>
    <mergeCell ref="D3:G3"/>
    <mergeCell ref="H3:M3"/>
    <mergeCell ref="F16:H16"/>
  </mergeCells>
  <phoneticPr fontId="0" type="noConversion"/>
  <conditionalFormatting sqref="C45:C53 D45:E45 E45:E53">
    <cfRule type="dataBar" priority="6">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5:D53">
    <cfRule type="dataBar" priority="5">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6:D53">
    <cfRule type="dataBar" priority="12">
      <dataBar>
        <cfvo type="min"/>
        <cfvo type="max"/>
        <color rgb="FF638EC6"/>
      </dataBar>
      <extLst>
        <ext xmlns:x14="http://schemas.microsoft.com/office/spreadsheetml/2009/9/main" uri="{B025F937-C7B1-47D3-B67F-A62EFF666E3E}">
          <x14:id>{8F05AC94-FB75-41DC-A030-BD50695363B2}</x14:id>
        </ext>
      </extLst>
    </cfRule>
    <cfRule type="dataBar" priority="14">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5:E53">
    <cfRule type="dataBar" priority="4">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6:E53">
    <cfRule type="dataBar" priority="7">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4:E57 G54:G57 I54:I57">
    <cfRule type="dataBar" priority="10">
      <dataBar>
        <cfvo type="min"/>
        <cfvo type="max"/>
        <color rgb="FF63C384"/>
      </dataBar>
      <extLst>
        <ext xmlns:x14="http://schemas.microsoft.com/office/spreadsheetml/2009/9/main" uri="{B025F937-C7B1-47D3-B67F-A62EFF666E3E}">
          <x14:id>{CA48BEF9-536B-483E-93D1-1D70FAC05115}</x14:id>
        </ext>
      </extLst>
    </cfRule>
    <cfRule type="dataBar" priority="9">
      <dataBar>
        <cfvo type="min"/>
        <cfvo type="max"/>
        <color rgb="FF638EC6"/>
      </dataBar>
      <extLst>
        <ext xmlns:x14="http://schemas.microsoft.com/office/spreadsheetml/2009/9/main" uri="{B025F937-C7B1-47D3-B67F-A62EFF666E3E}">
          <x14:id>{4382A5A4-8938-4754-913D-04C8EB3E9944}</x14:id>
        </ext>
      </extLst>
    </cfRule>
  </conditionalFormatting>
  <conditionalFormatting sqref="F45:F53">
    <cfRule type="dataBar" priority="11">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5:G53">
    <cfRule type="dataBar" priority="13">
      <dataBar>
        <cfvo type="min"/>
        <cfvo type="max"/>
        <color rgb="FF63C384"/>
      </dataBar>
      <extLst>
        <ext xmlns:x14="http://schemas.microsoft.com/office/spreadsheetml/2009/9/main" uri="{B025F937-C7B1-47D3-B67F-A62EFF666E3E}">
          <x14:id>{ADD19CCF-E818-42F8-BF99-60EF2D3A801A}</x14:id>
        </ext>
      </extLst>
    </cfRule>
  </conditionalFormatting>
  <conditionalFormatting sqref="H18:H23">
    <cfRule type="dataBar" priority="3">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5:H28">
    <cfRule type="dataBar" priority="2">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5:H53">
    <cfRule type="dataBar" priority="16">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5:I53">
    <cfRule type="dataBar" priority="8">
      <dataBar>
        <cfvo type="min"/>
        <cfvo type="max"/>
        <color rgb="FF63C384"/>
      </dataBar>
      <extLst>
        <ext xmlns:x14="http://schemas.microsoft.com/office/spreadsheetml/2009/9/main" uri="{B025F937-C7B1-47D3-B67F-A62EFF666E3E}">
          <x14:id>{60823727-C433-4BFE-A422-F2DB16A0B39B}</x14:id>
        </ext>
      </extLst>
    </cfRule>
  </conditionalFormatting>
  <hyperlinks>
    <hyperlink ref="D109" r:id="rId1" display="https://pages.stern.nyu.edu/~adamodar/New_Home_Page/datafile/margin.html" xr:uid="{CE6963F3-0F8F-41EE-AE9B-255577A736AF}"/>
    <hyperlink ref="D111" r:id="rId2" display="https://www.dividend.com/how-to-invest/comparing-dividend-stock-sectors-by-yield/" xr:uid="{A4C3C668-7F31-48FB-BE9E-F250A4CF0D52}"/>
  </hyperlinks>
  <printOptions horizontalCentered="1" verticalCentered="1"/>
  <pageMargins left="0" right="0" top="0.19685039370078741" bottom="0.19685039370078741" header="0" footer="0"/>
  <pageSetup paperSize="134" scale="64" orientation="landscape" r:id="rId3"/>
  <headerFooter alignWithMargins="0"/>
  <ignoredErrors>
    <ignoredError sqref="N55:S56 N46:N51 P47:S51 N52:N53 P52:S53 P54:S54 P46" evalError="1"/>
  </ignoredErrors>
  <drawing r:id="rId4"/>
  <legacyDrawing r:id="rId5"/>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C45:C53 D45:E45 E45:E53</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D45:D53</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D46:D53</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E45:E53</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E46:E53</xm:sqref>
        </x14:conditionalFormatting>
        <x14:conditionalFormatting xmlns:xm="http://schemas.microsoft.com/office/excel/2006/main">
          <x14:cfRule type="dataBar" id="{CA48BEF9-536B-483E-93D1-1D70FAC05115}">
            <x14:dataBar minLength="0" maxLength="100" gradient="0">
              <x14:cfvo type="autoMin"/>
              <x14:cfvo type="autoMax"/>
              <x14:negativeFillColor rgb="FFFF0000"/>
              <x14:axisColor rgb="FF000000"/>
            </x14:dataBar>
          </x14:cfRule>
          <x14:cfRule type="dataBar" id="{4382A5A4-8938-4754-913D-04C8EB3E9944}">
            <x14:dataBar minLength="0" maxLength="100" gradient="0">
              <x14:cfvo type="autoMin"/>
              <x14:cfvo type="autoMax"/>
              <x14:negativeFillColor rgb="FFFF0000"/>
              <x14:axisColor rgb="FF000000"/>
            </x14:dataBar>
          </x14:cfRule>
          <xm:sqref>E54:E57 G54:G57 I54:I57</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F45:F53</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G45:G53</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H18:H23</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H25:H28</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H45:H53</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I45:I53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1:Y73"/>
  <sheetViews>
    <sheetView showGridLines="0" zoomScaleNormal="100" workbookViewId="0">
      <selection activeCell="E9" sqref="E9"/>
    </sheetView>
  </sheetViews>
  <sheetFormatPr defaultColWidth="11.42578125" defaultRowHeight="12.95"/>
  <cols>
    <col min="1" max="1" width="2.42578125" customWidth="1"/>
    <col min="2" max="2" width="11.42578125" customWidth="1"/>
    <col min="3" max="3" width="45.42578125" customWidth="1"/>
    <col min="4" max="4" width="15.42578125" style="2" customWidth="1"/>
    <col min="5" max="9" width="15.42578125" customWidth="1"/>
    <col min="10" max="10" width="14.42578125" bestFit="1" customWidth="1"/>
    <col min="11" max="11" width="11.42578125" bestFit="1" customWidth="1"/>
    <col min="17" max="17" width="23.42578125" customWidth="1"/>
  </cols>
  <sheetData>
    <row r="1" spans="2:25" ht="7.5" customHeight="1"/>
    <row r="2" spans="2:25" ht="20.100000000000001">
      <c r="B2" s="1001" t="str">
        <f>"Regions "&amp;"("&amp;OP!$J$17&amp;")"</f>
        <v>Regions (2022)</v>
      </c>
      <c r="C2" s="1002"/>
      <c r="D2" s="1002"/>
      <c r="E2" s="1002"/>
      <c r="F2" s="1002"/>
      <c r="G2" s="1002"/>
      <c r="H2" s="1002"/>
      <c r="I2" s="1002"/>
      <c r="J2" s="1002"/>
      <c r="K2" s="1002"/>
      <c r="L2" s="1002"/>
      <c r="M2" s="1002"/>
      <c r="N2" s="1002"/>
      <c r="O2" s="1002"/>
      <c r="P2" s="1002"/>
      <c r="Q2" s="997" t="s">
        <v>191</v>
      </c>
      <c r="R2" s="998"/>
      <c r="S2" s="998"/>
      <c r="T2" s="998"/>
      <c r="U2" s="998"/>
      <c r="V2" s="998"/>
      <c r="W2" s="998"/>
      <c r="X2" s="998"/>
      <c r="Y2" s="999"/>
    </row>
    <row r="3" spans="2:25" ht="18.95" thickBot="1">
      <c r="B3" s="170"/>
      <c r="C3" s="171"/>
      <c r="D3" s="1005" t="s">
        <v>192</v>
      </c>
      <c r="E3" s="1005"/>
      <c r="F3" s="1005"/>
      <c r="G3" s="1005"/>
      <c r="H3" s="1005"/>
      <c r="I3" s="1006"/>
      <c r="J3" s="152"/>
      <c r="K3" s="1000" t="s">
        <v>193</v>
      </c>
      <c r="L3" s="1000"/>
      <c r="M3" s="1000"/>
      <c r="N3" s="1000"/>
      <c r="O3" s="1000"/>
      <c r="P3" s="1000"/>
      <c r="Q3" s="144"/>
      <c r="Y3" s="164"/>
    </row>
    <row r="4" spans="2:25" ht="14.1" thickBot="1">
      <c r="B4" s="159" t="s">
        <v>194</v>
      </c>
      <c r="C4" s="160" t="s">
        <v>195</v>
      </c>
      <c r="D4" s="161">
        <f>OP!J17</f>
        <v>2022</v>
      </c>
      <c r="E4" s="161">
        <f>D4-1</f>
        <v>2021</v>
      </c>
      <c r="F4" s="161">
        <f>E4-1</f>
        <v>2020</v>
      </c>
      <c r="G4" s="161">
        <f>F4-1</f>
        <v>2019</v>
      </c>
      <c r="H4" s="161">
        <f>G4-1</f>
        <v>2018</v>
      </c>
      <c r="I4" s="161">
        <f>H4-1</f>
        <v>2017</v>
      </c>
      <c r="J4" s="153"/>
      <c r="K4" s="161">
        <f>OP!J17</f>
        <v>2022</v>
      </c>
      <c r="L4" s="161">
        <f t="shared" ref="L4:P4" si="0">K4-1</f>
        <v>2021</v>
      </c>
      <c r="M4" s="161">
        <f t="shared" si="0"/>
        <v>2020</v>
      </c>
      <c r="N4" s="161">
        <f t="shared" si="0"/>
        <v>2019</v>
      </c>
      <c r="O4" s="161">
        <f t="shared" si="0"/>
        <v>2018</v>
      </c>
      <c r="P4" s="172">
        <f t="shared" si="0"/>
        <v>2017</v>
      </c>
      <c r="Q4" s="144"/>
      <c r="Y4" s="164"/>
    </row>
    <row r="5" spans="2:25">
      <c r="B5" s="157">
        <f>IFERROR(D5/$D$13,"")</f>
        <v>0.17182366982320568</v>
      </c>
      <c r="C5" s="158" t="s">
        <v>196</v>
      </c>
      <c r="D5" s="636">
        <v>684129</v>
      </c>
      <c r="E5" s="636">
        <v>638447</v>
      </c>
      <c r="F5" s="636">
        <v>585573</v>
      </c>
      <c r="G5" s="636">
        <v>596978</v>
      </c>
      <c r="H5" s="636">
        <v>585106</v>
      </c>
      <c r="I5" s="636">
        <v>542725</v>
      </c>
      <c r="J5" s="154"/>
      <c r="K5" s="298">
        <f t="shared" ref="K5:O12" si="1">(D5-E5)/E5</f>
        <v>7.1551749792856723E-2</v>
      </c>
      <c r="L5" s="298">
        <f t="shared" si="1"/>
        <v>9.0294463713320117E-2</v>
      </c>
      <c r="M5" s="298">
        <f t="shared" si="1"/>
        <v>-1.9104556616826751E-2</v>
      </c>
      <c r="N5" s="298">
        <f t="shared" si="1"/>
        <v>2.0290340553677455E-2</v>
      </c>
      <c r="O5" s="298">
        <f t="shared" si="1"/>
        <v>7.8089271730618637E-2</v>
      </c>
      <c r="P5" s="298">
        <f>(I5-518453)/518453</f>
        <v>4.6816201275718339E-2</v>
      </c>
      <c r="Q5" s="144"/>
      <c r="Y5" s="164"/>
    </row>
    <row r="6" spans="2:25">
      <c r="B6" s="148">
        <f t="shared" ref="B6:B9" si="2">IFERROR(D6/$D$13,"")</f>
        <v>0.32022947697092807</v>
      </c>
      <c r="C6" s="158" t="s">
        <v>197</v>
      </c>
      <c r="D6" s="636">
        <v>1275018</v>
      </c>
      <c r="E6" s="636">
        <v>840455</v>
      </c>
      <c r="F6" s="636">
        <v>641295</v>
      </c>
      <c r="G6" s="636">
        <v>666305</v>
      </c>
      <c r="H6" s="636">
        <v>625041</v>
      </c>
      <c r="I6" s="636">
        <v>551819</v>
      </c>
      <c r="J6" s="154"/>
      <c r="K6" s="298">
        <f t="shared" si="1"/>
        <v>0.51705683231106958</v>
      </c>
      <c r="L6" s="298">
        <f t="shared" si="1"/>
        <v>0.31055910306489215</v>
      </c>
      <c r="M6" s="298">
        <f t="shared" si="1"/>
        <v>-3.7535362934391907E-2</v>
      </c>
      <c r="N6" s="298">
        <f t="shared" si="1"/>
        <v>6.6018069214659525E-2</v>
      </c>
      <c r="O6" s="298">
        <f t="shared" si="1"/>
        <v>0.13269206025888924</v>
      </c>
      <c r="P6" s="298">
        <f>(I6-503489)/503489</f>
        <v>9.5990180520329149E-2</v>
      </c>
      <c r="Q6" s="144"/>
      <c r="Y6" s="164"/>
    </row>
    <row r="7" spans="2:25" hidden="1">
      <c r="B7" s="148">
        <f t="shared" si="2"/>
        <v>0</v>
      </c>
      <c r="C7" s="158"/>
      <c r="D7" s="636"/>
      <c r="E7" s="636"/>
      <c r="F7" s="636"/>
      <c r="G7" s="636"/>
      <c r="H7" s="636"/>
      <c r="I7" s="636"/>
      <c r="J7" s="154"/>
      <c r="K7" s="298" t="e">
        <f t="shared" si="1"/>
        <v>#DIV/0!</v>
      </c>
      <c r="L7" s="298" t="e">
        <f t="shared" si="1"/>
        <v>#DIV/0!</v>
      </c>
      <c r="M7" s="298" t="e">
        <f t="shared" si="1"/>
        <v>#DIV/0!</v>
      </c>
      <c r="N7" s="298" t="e">
        <f t="shared" si="1"/>
        <v>#DIV/0!</v>
      </c>
      <c r="O7" s="298" t="e">
        <f t="shared" si="1"/>
        <v>#DIV/0!</v>
      </c>
      <c r="P7" s="298"/>
      <c r="Q7" s="144"/>
      <c r="Y7" s="164"/>
    </row>
    <row r="8" spans="2:25" hidden="1">
      <c r="B8" s="148">
        <f t="shared" si="2"/>
        <v>0</v>
      </c>
      <c r="C8" s="158"/>
      <c r="D8" s="636"/>
      <c r="E8" s="636"/>
      <c r="F8" s="636"/>
      <c r="G8" s="636"/>
      <c r="H8" s="636"/>
      <c r="I8" s="636"/>
      <c r="J8" s="154"/>
      <c r="K8" s="298" t="e">
        <f t="shared" si="1"/>
        <v>#DIV/0!</v>
      </c>
      <c r="L8" s="298" t="e">
        <f t="shared" si="1"/>
        <v>#DIV/0!</v>
      </c>
      <c r="M8" s="298" t="e">
        <f t="shared" si="1"/>
        <v>#DIV/0!</v>
      </c>
      <c r="N8" s="298" t="e">
        <f t="shared" si="1"/>
        <v>#DIV/0!</v>
      </c>
      <c r="O8" s="298" t="e">
        <f t="shared" si="1"/>
        <v>#DIV/0!</v>
      </c>
      <c r="P8" s="298"/>
      <c r="Q8" s="144"/>
      <c r="Y8" s="164"/>
    </row>
    <row r="9" spans="2:25">
      <c r="B9" s="148">
        <f t="shared" si="2"/>
        <v>0.17800765325087353</v>
      </c>
      <c r="C9" s="158" t="s">
        <v>198</v>
      </c>
      <c r="D9" s="636">
        <v>708751</v>
      </c>
      <c r="E9" s="636">
        <v>553214</v>
      </c>
      <c r="F9" s="636">
        <v>417225</v>
      </c>
      <c r="G9" s="636">
        <v>405610</v>
      </c>
      <c r="H9" s="636">
        <v>366670</v>
      </c>
      <c r="I9" s="636">
        <v>332955</v>
      </c>
      <c r="J9" s="154"/>
      <c r="K9" s="298">
        <f t="shared" si="1"/>
        <v>0.28115159775421444</v>
      </c>
      <c r="L9" s="298">
        <f t="shared" si="1"/>
        <v>0.32593684462819822</v>
      </c>
      <c r="M9" s="298">
        <f t="shared" si="1"/>
        <v>2.8635881758339293E-2</v>
      </c>
      <c r="N9" s="298">
        <f t="shared" si="1"/>
        <v>0.10619903455423133</v>
      </c>
      <c r="O9" s="298">
        <f t="shared" si="1"/>
        <v>0.10125993002057335</v>
      </c>
      <c r="P9" s="298">
        <f>(I9-274054)/274054</f>
        <v>0.21492479584315499</v>
      </c>
      <c r="Q9" s="144"/>
      <c r="Y9" s="164"/>
    </row>
    <row r="10" spans="2:25">
      <c r="B10" s="148">
        <f>IFERROR(D10/$D$13,"")</f>
        <v>0.14577092086148802</v>
      </c>
      <c r="C10" s="147" t="s">
        <v>199</v>
      </c>
      <c r="D10" s="636">
        <v>580398</v>
      </c>
      <c r="E10" s="636">
        <v>426107</v>
      </c>
      <c r="F10" s="636">
        <v>351044</v>
      </c>
      <c r="G10" s="636">
        <v>395461</v>
      </c>
      <c r="H10" s="636">
        <v>387092</v>
      </c>
      <c r="I10" s="636">
        <v>349189</v>
      </c>
      <c r="J10" s="154"/>
      <c r="K10" s="298">
        <f t="shared" si="1"/>
        <v>0.36209449739150024</v>
      </c>
      <c r="L10" s="298">
        <f t="shared" si="1"/>
        <v>0.21382789621813789</v>
      </c>
      <c r="M10" s="298">
        <f t="shared" si="1"/>
        <v>-0.11231701735442939</v>
      </c>
      <c r="N10" s="298">
        <f t="shared" si="1"/>
        <v>2.1620183315594226E-2</v>
      </c>
      <c r="O10" s="298">
        <f t="shared" si="1"/>
        <v>0.10854580184370069</v>
      </c>
      <c r="P10" s="298">
        <f>(I10-303416)/303416</f>
        <v>0.15085888680886966</v>
      </c>
      <c r="Q10" s="144"/>
      <c r="Y10" s="164"/>
    </row>
    <row r="11" spans="2:25">
      <c r="B11" s="148">
        <f>IFERROR(D11/$D$13,"")</f>
        <v>0.12269915229547294</v>
      </c>
      <c r="C11" s="147" t="s">
        <v>200</v>
      </c>
      <c r="D11" s="636">
        <v>488536</v>
      </c>
      <c r="E11" s="636">
        <v>478121</v>
      </c>
      <c r="F11" s="636">
        <v>369818</v>
      </c>
      <c r="G11" s="636">
        <v>341284</v>
      </c>
      <c r="H11" s="636">
        <v>379628</v>
      </c>
      <c r="I11" s="636">
        <v>381665</v>
      </c>
      <c r="J11" s="154"/>
      <c r="K11" s="298">
        <f t="shared" si="1"/>
        <v>2.1783188774389745E-2</v>
      </c>
      <c r="L11" s="298">
        <f t="shared" si="1"/>
        <v>0.2928548637437875</v>
      </c>
      <c r="M11" s="298">
        <f t="shared" si="1"/>
        <v>8.3607787062973948E-2</v>
      </c>
      <c r="N11" s="298">
        <f t="shared" si="1"/>
        <v>-0.10100414089582434</v>
      </c>
      <c r="O11" s="298">
        <f t="shared" si="1"/>
        <v>-5.3371412102236251E-3</v>
      </c>
      <c r="P11" s="298">
        <f>(I11-329247)/329247</f>
        <v>0.15920570270951595</v>
      </c>
      <c r="Q11" s="144"/>
      <c r="S11" s="303"/>
      <c r="Y11" s="164"/>
    </row>
    <row r="12" spans="2:25" ht="14.1" thickBot="1">
      <c r="B12" s="149">
        <f>IFERROR(D12/$D$13,"")</f>
        <v>6.1469126798031737E-2</v>
      </c>
      <c r="C12" s="162" t="s">
        <v>201</v>
      </c>
      <c r="D12" s="636">
        <v>244744</v>
      </c>
      <c r="E12" s="636">
        <v>172758</v>
      </c>
      <c r="F12" s="636">
        <v>128429</v>
      </c>
      <c r="G12" s="636">
        <v>144665</v>
      </c>
      <c r="H12" s="636">
        <v>137570</v>
      </c>
      <c r="I12" s="636">
        <v>132204</v>
      </c>
      <c r="J12" s="154"/>
      <c r="K12" s="298">
        <f t="shared" si="1"/>
        <v>0.41668692622049341</v>
      </c>
      <c r="L12" s="298">
        <f t="shared" si="1"/>
        <v>0.34516347553901378</v>
      </c>
      <c r="M12" s="298">
        <f t="shared" si="1"/>
        <v>-0.11223170773856841</v>
      </c>
      <c r="N12" s="298">
        <f t="shared" si="1"/>
        <v>5.1573744275641493E-2</v>
      </c>
      <c r="O12" s="298">
        <f t="shared" si="1"/>
        <v>4.0588787026111163E-2</v>
      </c>
      <c r="P12" s="298">
        <f>(I12-115307)/115307</f>
        <v>0.14653923872791766</v>
      </c>
      <c r="Q12" s="144"/>
      <c r="Y12" s="164"/>
    </row>
    <row r="13" spans="2:25" ht="14.1" thickBot="1">
      <c r="B13" s="151">
        <f>SUM(B5:B12)</f>
        <v>0.99999999999999989</v>
      </c>
      <c r="C13" s="582" t="s">
        <v>202</v>
      </c>
      <c r="D13" s="637">
        <f t="shared" ref="D13:I13" si="3">SUM(D5:D12)</f>
        <v>3981576</v>
      </c>
      <c r="E13" s="638">
        <f t="shared" si="3"/>
        <v>3109102</v>
      </c>
      <c r="F13" s="638">
        <f t="shared" si="3"/>
        <v>2493384</v>
      </c>
      <c r="G13" s="638">
        <f t="shared" si="3"/>
        <v>2550303</v>
      </c>
      <c r="H13" s="638">
        <f t="shared" si="3"/>
        <v>2481107</v>
      </c>
      <c r="I13" s="638">
        <f t="shared" si="3"/>
        <v>2290557</v>
      </c>
      <c r="J13" s="155"/>
      <c r="K13" s="300">
        <f>(D13-E13)/E13</f>
        <v>0.28061929135808344</v>
      </c>
      <c r="L13" s="300">
        <f>(E13-F13)/F13</f>
        <v>0.2469407038787447</v>
      </c>
      <c r="M13" s="300">
        <f>(F13-G13)/G13</f>
        <v>-2.2318524504735319E-2</v>
      </c>
      <c r="N13" s="300">
        <f t="shared" ref="N13:O13" si="4">(G13-H13)/H13</f>
        <v>2.788916399010603E-2</v>
      </c>
      <c r="O13" s="300">
        <f t="shared" si="4"/>
        <v>8.3189372715893994E-2</v>
      </c>
      <c r="P13" s="300">
        <v>3.6999999999999998E-2</v>
      </c>
      <c r="Q13" s="144"/>
      <c r="Y13" s="164"/>
    </row>
    <row r="14" spans="2:25">
      <c r="B14" s="168"/>
      <c r="C14" s="6"/>
      <c r="D14" s="15"/>
      <c r="E14" s="15"/>
      <c r="F14" s="15"/>
      <c r="G14" s="15"/>
      <c r="H14" s="15"/>
      <c r="I14" s="15"/>
      <c r="J14" s="15"/>
      <c r="K14" s="15"/>
      <c r="L14" s="15"/>
      <c r="M14" s="15"/>
      <c r="N14" s="15"/>
      <c r="O14" s="15"/>
      <c r="P14" s="15"/>
      <c r="Q14" s="144"/>
      <c r="Y14" s="164"/>
    </row>
    <row r="15" spans="2:25" ht="21" thickBot="1">
      <c r="B15" s="1001" t="str">
        <f>"Categories "&amp;"("&amp;OP!$J$17&amp;")"</f>
        <v>Categories (2022)</v>
      </c>
      <c r="C15" s="1002"/>
      <c r="D15" s="1002"/>
      <c r="E15" s="1002"/>
      <c r="F15" s="1002"/>
      <c r="G15" s="1002"/>
      <c r="H15" s="1002"/>
      <c r="I15" s="1002"/>
      <c r="J15" s="1002"/>
      <c r="K15" s="1002"/>
      <c r="L15" s="1002"/>
      <c r="M15" s="1002"/>
      <c r="N15" s="1002"/>
      <c r="O15" s="1002"/>
      <c r="P15" s="1002"/>
      <c r="Q15" s="144"/>
      <c r="Y15" s="164"/>
    </row>
    <row r="16" spans="2:25" ht="21" thickBot="1">
      <c r="B16" s="170"/>
      <c r="C16" s="171"/>
      <c r="D16" s="992" t="s">
        <v>192</v>
      </c>
      <c r="E16" s="993"/>
      <c r="F16" s="993"/>
      <c r="G16" s="993"/>
      <c r="H16" s="993"/>
      <c r="I16" s="994"/>
      <c r="J16" s="152"/>
      <c r="K16" s="1003" t="s">
        <v>193</v>
      </c>
      <c r="L16" s="1004"/>
      <c r="M16" s="1004"/>
      <c r="N16" s="1004"/>
      <c r="O16" s="1004"/>
      <c r="P16" s="1004"/>
      <c r="Q16" s="144"/>
      <c r="Y16" s="164"/>
    </row>
    <row r="17" spans="2:25" ht="14.1" thickBot="1">
      <c r="B17" s="169" t="s">
        <v>194</v>
      </c>
      <c r="C17" s="143" t="s">
        <v>203</v>
      </c>
      <c r="D17" s="150">
        <f>OP!J17</f>
        <v>2022</v>
      </c>
      <c r="E17" s="150">
        <f>D17-1</f>
        <v>2021</v>
      </c>
      <c r="F17" s="150">
        <f>E17-1</f>
        <v>2020</v>
      </c>
      <c r="G17" s="150">
        <f>F17-1</f>
        <v>2019</v>
      </c>
      <c r="H17" s="150">
        <f>G17-1</f>
        <v>2018</v>
      </c>
      <c r="I17" s="150">
        <f>H17-1</f>
        <v>2017</v>
      </c>
      <c r="J17" s="153"/>
      <c r="K17" s="156">
        <f>OP!J17</f>
        <v>2022</v>
      </c>
      <c r="L17" s="156">
        <f t="shared" ref="L17:P17" si="5">K17-1</f>
        <v>2021</v>
      </c>
      <c r="M17" s="156">
        <f t="shared" si="5"/>
        <v>2020</v>
      </c>
      <c r="N17" s="156">
        <f t="shared" si="5"/>
        <v>2019</v>
      </c>
      <c r="O17" s="156">
        <f t="shared" si="5"/>
        <v>2018</v>
      </c>
      <c r="P17" s="173">
        <f t="shared" si="5"/>
        <v>2017</v>
      </c>
      <c r="Q17" s="144"/>
      <c r="Y17" s="164"/>
    </row>
    <row r="18" spans="2:25">
      <c r="B18" s="157">
        <f>IFERROR(D18/$D$22,"")</f>
        <v>0.91218283851989967</v>
      </c>
      <c r="C18" s="146" t="s">
        <v>204</v>
      </c>
      <c r="D18" s="636">
        <v>3631918</v>
      </c>
      <c r="E18" s="636">
        <v>2830662</v>
      </c>
      <c r="F18" s="636">
        <v>2275497</v>
      </c>
      <c r="G18" s="636">
        <v>2309986</v>
      </c>
      <c r="H18" s="636">
        <v>2222886</v>
      </c>
      <c r="I18" s="636">
        <v>2053469</v>
      </c>
      <c r="J18" s="154"/>
      <c r="K18" s="301">
        <f>(D18-E18)/E18</f>
        <v>0.28306311385817168</v>
      </c>
      <c r="L18" s="301">
        <f t="shared" ref="L18:O22" si="6">(E18-F18)/F18</f>
        <v>0.24397527221525672</v>
      </c>
      <c r="M18" s="301">
        <f t="shared" si="6"/>
        <v>-1.493039351753647E-2</v>
      </c>
      <c r="N18" s="301">
        <f t="shared" si="6"/>
        <v>3.9183295949499881E-2</v>
      </c>
      <c r="O18" s="301">
        <f t="shared" si="6"/>
        <v>8.2502828141062759E-2</v>
      </c>
      <c r="P18" s="301">
        <f>(I18-1835764)/1835764</f>
        <v>0.11859095177811527</v>
      </c>
      <c r="Q18" s="144"/>
      <c r="Y18" s="164"/>
    </row>
    <row r="19" spans="2:25">
      <c r="B19" s="157">
        <f>IFERROR(D19/$D$22,"")</f>
        <v>7.1565775091622194E-2</v>
      </c>
      <c r="C19" s="147" t="s">
        <v>205</v>
      </c>
      <c r="D19" s="636">
        <v>284944</v>
      </c>
      <c r="E19" s="636">
        <v>224643</v>
      </c>
      <c r="F19" s="636">
        <v>173782</v>
      </c>
      <c r="G19" s="636">
        <v>193733</v>
      </c>
      <c r="H19" s="636">
        <v>218913</v>
      </c>
      <c r="I19" s="636">
        <v>198535</v>
      </c>
      <c r="J19" s="154"/>
      <c r="K19" s="302">
        <f t="shared" ref="K19:K21" si="7">(D19-E19)/E19</f>
        <v>0.26843035393936154</v>
      </c>
      <c r="L19" s="302">
        <f t="shared" si="6"/>
        <v>0.2926712778078282</v>
      </c>
      <c r="M19" s="302">
        <f t="shared" si="6"/>
        <v>-0.10298193906045949</v>
      </c>
      <c r="N19" s="302">
        <f t="shared" si="6"/>
        <v>-0.11502286296382581</v>
      </c>
      <c r="O19" s="302">
        <f t="shared" si="6"/>
        <v>0.10264185156269676</v>
      </c>
      <c r="P19" s="302">
        <f>(I19-169019)/169019</f>
        <v>0.17463125447434905</v>
      </c>
      <c r="Q19" s="144"/>
      <c r="Y19" s="164"/>
    </row>
    <row r="20" spans="2:25">
      <c r="B20" s="157">
        <f>IFERROR(D20/$D$22,"")</f>
        <v>2.2603155339805826E-2</v>
      </c>
      <c r="C20" s="147" t="s">
        <v>206</v>
      </c>
      <c r="D20" s="636">
        <v>89996</v>
      </c>
      <c r="E20" s="636">
        <v>69357</v>
      </c>
      <c r="F20" s="636">
        <v>56281</v>
      </c>
      <c r="G20" s="636">
        <v>62002</v>
      </c>
      <c r="H20" s="636">
        <v>58791</v>
      </c>
      <c r="I20" s="636">
        <v>54957</v>
      </c>
      <c r="J20" s="154"/>
      <c r="K20" s="302">
        <f>(D20-E20)/E20</f>
        <v>0.2975763080871433</v>
      </c>
      <c r="L20" s="302">
        <f>(E20-F20)/F20</f>
        <v>0.23233418027398234</v>
      </c>
      <c r="M20" s="302">
        <f>(F20-G20)/G20</f>
        <v>-9.2271217057514274E-2</v>
      </c>
      <c r="N20" s="302">
        <f>(G20-H20)/H20</f>
        <v>5.4617203313432325E-2</v>
      </c>
      <c r="O20" s="302">
        <f>(H20-I20)/I20</f>
        <v>6.9763633386101864E-2</v>
      </c>
      <c r="P20" s="302">
        <f>(I20-52357)/52357</f>
        <v>4.965907137536528E-2</v>
      </c>
      <c r="Q20" s="144"/>
      <c r="Y20" s="164"/>
    </row>
    <row r="21" spans="2:25" ht="14.1" thickBot="1">
      <c r="B21" s="157">
        <f>IFERROR(D21/$D$22,"")</f>
        <v>-6.3517689513277178E-3</v>
      </c>
      <c r="C21" s="147" t="s">
        <v>207</v>
      </c>
      <c r="D21" s="636">
        <v>-25290</v>
      </c>
      <c r="E21" s="636">
        <v>-15566</v>
      </c>
      <c r="F21" s="636">
        <v>-12175</v>
      </c>
      <c r="G21" s="636">
        <v>-15418</v>
      </c>
      <c r="H21" s="636">
        <v>-19483</v>
      </c>
      <c r="I21" s="636">
        <v>-16401</v>
      </c>
      <c r="J21" s="154"/>
      <c r="K21" s="302">
        <f t="shared" si="7"/>
        <v>0.62469484774508544</v>
      </c>
      <c r="L21" s="302">
        <f t="shared" si="6"/>
        <v>0.27852156057494865</v>
      </c>
      <c r="M21" s="302">
        <f t="shared" si="6"/>
        <v>-0.21033856531327019</v>
      </c>
      <c r="N21" s="302">
        <f t="shared" si="6"/>
        <v>-0.20864343273623159</v>
      </c>
      <c r="O21" s="302">
        <f t="shared" si="6"/>
        <v>0.18791537101396255</v>
      </c>
      <c r="P21" s="302">
        <f>(I21--13173)/-13173</f>
        <v>0.2450466864040082</v>
      </c>
      <c r="Q21" s="144"/>
      <c r="Y21" s="164"/>
    </row>
    <row r="22" spans="2:25" ht="15" customHeight="1" thickBot="1">
      <c r="B22" s="151">
        <f>SUM(B18:B21)</f>
        <v>1</v>
      </c>
      <c r="C22" s="163" t="s">
        <v>202</v>
      </c>
      <c r="D22" s="637">
        <f t="shared" ref="D22:I22" si="8">SUM(D18:D21)</f>
        <v>3981568</v>
      </c>
      <c r="E22" s="638">
        <f t="shared" si="8"/>
        <v>3109096</v>
      </c>
      <c r="F22" s="638">
        <f t="shared" si="8"/>
        <v>2493385</v>
      </c>
      <c r="G22" s="638">
        <f t="shared" si="8"/>
        <v>2550303</v>
      </c>
      <c r="H22" s="638">
        <f t="shared" si="8"/>
        <v>2481107</v>
      </c>
      <c r="I22" s="638">
        <f t="shared" si="8"/>
        <v>2290560</v>
      </c>
      <c r="J22" s="155"/>
      <c r="K22" s="299">
        <f>(D22-E22)/E22</f>
        <v>0.28061918962939708</v>
      </c>
      <c r="L22" s="300">
        <f t="shared" si="6"/>
        <v>0.24693779741195201</v>
      </c>
      <c r="M22" s="300">
        <f t="shared" ref="M22" si="9">(F22-G22)/G22</f>
        <v>-2.23181323944645E-2</v>
      </c>
      <c r="N22" s="300">
        <f t="shared" ref="N22" si="10">(G22-H22)/H22</f>
        <v>2.788916399010603E-2</v>
      </c>
      <c r="O22" s="300">
        <f t="shared" ref="O22" si="11">(H22-I22)/I22</f>
        <v>8.3187954037440628E-2</v>
      </c>
      <c r="P22" s="300">
        <v>3.6999999999999998E-2</v>
      </c>
      <c r="Q22" s="144"/>
      <c r="Y22" s="164"/>
    </row>
    <row r="23" spans="2:25" ht="26.25" customHeight="1" thickBot="1">
      <c r="C23" s="14"/>
      <c r="D23" s="15"/>
      <c r="E23" s="16"/>
      <c r="F23" s="15"/>
      <c r="G23" s="16"/>
      <c r="H23" s="15"/>
      <c r="I23" s="16"/>
      <c r="J23" s="584"/>
      <c r="Q23" s="144"/>
      <c r="Y23" s="164"/>
    </row>
    <row r="24" spans="2:25" ht="28.35" customHeight="1" thickBot="1">
      <c r="B24" s="983" t="s">
        <v>80</v>
      </c>
      <c r="C24" s="987"/>
      <c r="D24" s="983" t="s">
        <v>208</v>
      </c>
      <c r="E24" s="984"/>
      <c r="F24" s="984"/>
      <c r="G24" s="984"/>
      <c r="H24" s="984"/>
      <c r="I24" s="983" t="s">
        <v>209</v>
      </c>
      <c r="J24" s="984"/>
      <c r="K24" s="984"/>
      <c r="L24" s="984"/>
      <c r="M24" s="984"/>
      <c r="N24" s="984"/>
      <c r="O24" s="984"/>
      <c r="P24" s="984"/>
      <c r="Q24" s="144"/>
      <c r="Y24" s="164"/>
    </row>
    <row r="25" spans="2:25" ht="30.6" customHeight="1" thickBot="1">
      <c r="B25" s="985" t="s">
        <v>204</v>
      </c>
      <c r="C25" s="985"/>
      <c r="D25" s="988" t="s">
        <v>210</v>
      </c>
      <c r="E25" s="988"/>
      <c r="F25" s="988"/>
      <c r="G25" s="988"/>
      <c r="H25" s="988"/>
      <c r="Q25" s="144"/>
      <c r="Y25" s="164"/>
    </row>
    <row r="26" spans="2:25" ht="41.25" customHeight="1" thickBot="1">
      <c r="B26" s="985" t="s">
        <v>205</v>
      </c>
      <c r="C26" s="986"/>
      <c r="D26" s="989" t="s">
        <v>211</v>
      </c>
      <c r="E26" s="989"/>
      <c r="F26" s="989"/>
      <c r="G26" s="989"/>
      <c r="H26" s="989"/>
      <c r="Q26" s="144"/>
      <c r="Y26" s="164"/>
    </row>
    <row r="27" spans="2:25" ht="28.35" hidden="1" customHeight="1">
      <c r="B27" s="985"/>
      <c r="C27" s="985"/>
      <c r="D27" s="990"/>
      <c r="E27" s="991"/>
      <c r="F27" s="991"/>
      <c r="G27" s="991"/>
      <c r="H27" s="991"/>
      <c r="Q27" s="144"/>
      <c r="Y27" s="164"/>
    </row>
    <row r="28" spans="2:25" ht="44.25" customHeight="1" thickBot="1">
      <c r="B28" s="985" t="s">
        <v>206</v>
      </c>
      <c r="C28" s="985"/>
      <c r="D28" s="990" t="s">
        <v>212</v>
      </c>
      <c r="E28" s="991"/>
      <c r="F28" s="991"/>
      <c r="G28" s="991"/>
      <c r="H28" s="991"/>
      <c r="Q28" s="144"/>
      <c r="Y28" s="164"/>
    </row>
    <row r="29" spans="2:25" ht="12" customHeight="1">
      <c r="B29" s="1034" t="s">
        <v>207</v>
      </c>
      <c r="C29" s="1034"/>
      <c r="D29" s="1036" t="s">
        <v>213</v>
      </c>
      <c r="E29" s="1036"/>
      <c r="F29" s="1036"/>
      <c r="G29" s="1036"/>
      <c r="H29" s="1036"/>
      <c r="Q29" s="144"/>
      <c r="Y29" s="164"/>
    </row>
    <row r="30" spans="2:25" ht="16.350000000000001" customHeight="1" thickBot="1">
      <c r="B30" s="1035"/>
      <c r="C30" s="1035"/>
      <c r="D30" s="1037"/>
      <c r="E30" s="1037"/>
      <c r="F30" s="1037"/>
      <c r="G30" s="1037"/>
      <c r="H30" s="1037"/>
      <c r="Q30" s="144"/>
      <c r="Y30" s="164"/>
    </row>
    <row r="31" spans="2:25" ht="6.75" customHeight="1" thickBot="1">
      <c r="D31" s="166"/>
      <c r="E31" s="165"/>
      <c r="F31" s="165"/>
      <c r="G31" s="165"/>
      <c r="H31" s="165"/>
      <c r="I31" s="165"/>
      <c r="J31" s="165"/>
      <c r="K31" s="165"/>
      <c r="L31" s="165"/>
      <c r="M31" s="165"/>
      <c r="N31" s="165"/>
      <c r="O31" s="165"/>
      <c r="P31" s="165"/>
      <c r="Q31" s="145"/>
      <c r="R31" s="165"/>
      <c r="S31" s="165"/>
      <c r="T31" s="165"/>
      <c r="U31" s="165"/>
      <c r="V31" s="165"/>
      <c r="W31" s="165"/>
      <c r="X31" s="165"/>
      <c r="Y31" s="167"/>
    </row>
    <row r="32" spans="2:25" ht="21" thickBot="1">
      <c r="B32" s="992" t="s">
        <v>214</v>
      </c>
      <c r="C32" s="993"/>
      <c r="D32" s="993"/>
      <c r="E32" s="993"/>
      <c r="F32" s="993"/>
      <c r="G32" s="993"/>
      <c r="H32" s="993"/>
      <c r="I32" s="994"/>
      <c r="J32" s="1031" t="s">
        <v>215</v>
      </c>
      <c r="K32" s="1032"/>
      <c r="L32" s="1032"/>
      <c r="M32" s="1032"/>
      <c r="N32" s="1032"/>
      <c r="O32" s="1032"/>
      <c r="P32" s="1032"/>
      <c r="Q32" s="1033"/>
    </row>
    <row r="33" spans="2:25" ht="14.1" thickBot="1">
      <c r="B33" s="995" t="s">
        <v>216</v>
      </c>
      <c r="C33" s="996"/>
      <c r="D33" s="995" t="s">
        <v>208</v>
      </c>
      <c r="E33" s="1007"/>
      <c r="F33" s="1007"/>
      <c r="G33" s="1007"/>
      <c r="H33" s="1007"/>
      <c r="I33" s="996"/>
      <c r="J33" s="1044" t="s">
        <v>217</v>
      </c>
      <c r="K33" s="1045"/>
      <c r="L33" s="1045"/>
      <c r="M33" s="1045"/>
      <c r="N33" s="1045"/>
      <c r="O33" s="1045"/>
      <c r="P33" s="1045"/>
      <c r="Q33" s="1046"/>
    </row>
    <row r="34" spans="2:25" ht="27.75" customHeight="1">
      <c r="B34" s="1029" t="s">
        <v>218</v>
      </c>
      <c r="C34" s="1030"/>
      <c r="D34" s="1015" t="s">
        <v>219</v>
      </c>
      <c r="E34" s="1016"/>
      <c r="F34" s="1016"/>
      <c r="G34" s="1016"/>
      <c r="H34" s="1016"/>
      <c r="I34" s="1017"/>
      <c r="J34" s="1047"/>
      <c r="K34" s="1048"/>
      <c r="L34" s="1048"/>
      <c r="M34" s="1048"/>
      <c r="N34" s="1048"/>
      <c r="O34" s="1048"/>
      <c r="P34" s="1048"/>
      <c r="Q34" s="1049"/>
    </row>
    <row r="35" spans="2:25" ht="42" customHeight="1">
      <c r="B35" s="1024" t="s">
        <v>220</v>
      </c>
      <c r="C35" s="1025"/>
      <c r="D35" s="1026" t="s">
        <v>221</v>
      </c>
      <c r="E35" s="1027"/>
      <c r="F35" s="1027"/>
      <c r="G35" s="1027"/>
      <c r="H35" s="1027"/>
      <c r="I35" s="1028"/>
      <c r="J35" s="144"/>
      <c r="Q35" s="164"/>
    </row>
    <row r="36" spans="2:25" ht="43.5" customHeight="1" thickBot="1">
      <c r="B36" s="1011" t="s">
        <v>222</v>
      </c>
      <c r="C36" s="1012"/>
      <c r="D36" s="1018" t="s">
        <v>223</v>
      </c>
      <c r="E36" s="1018"/>
      <c r="F36" s="1018"/>
      <c r="G36" s="1018"/>
      <c r="H36" s="1018"/>
      <c r="I36" s="1019"/>
      <c r="J36" s="144"/>
      <c r="Q36" s="164"/>
    </row>
    <row r="37" spans="2:25" ht="14.1" thickBot="1">
      <c r="B37" s="1020" t="s">
        <v>224</v>
      </c>
      <c r="C37" s="1021"/>
      <c r="D37" s="1007"/>
      <c r="E37" s="1007"/>
      <c r="F37" s="1007"/>
      <c r="G37" s="1007"/>
      <c r="H37" s="1007"/>
      <c r="I37" s="996"/>
      <c r="J37" s="144"/>
      <c r="Q37" s="164"/>
      <c r="T37" s="11"/>
      <c r="U37" s="11"/>
    </row>
    <row r="38" spans="2:25">
      <c r="B38" s="1022" t="s">
        <v>225</v>
      </c>
      <c r="C38" s="1023"/>
      <c r="D38" s="1008" t="s">
        <v>226</v>
      </c>
      <c r="E38" s="1009"/>
      <c r="F38" s="1010"/>
      <c r="G38" s="1008" t="s">
        <v>227</v>
      </c>
      <c r="H38" s="1009"/>
      <c r="I38" s="1010"/>
      <c r="J38" s="144"/>
      <c r="Q38" s="164"/>
      <c r="T38" s="11"/>
      <c r="U38" s="11"/>
    </row>
    <row r="39" spans="2:25">
      <c r="B39" s="1013" t="s">
        <v>228</v>
      </c>
      <c r="C39" s="1014"/>
      <c r="D39" s="1038">
        <v>3.0800000000000001E-2</v>
      </c>
      <c r="E39" s="1039"/>
      <c r="F39" s="1040"/>
      <c r="G39" s="1041" t="s">
        <v>229</v>
      </c>
      <c r="H39" s="1042"/>
      <c r="I39" s="1043"/>
      <c r="J39" s="144"/>
      <c r="Q39" s="164"/>
      <c r="T39" s="11"/>
      <c r="U39" s="11"/>
    </row>
    <row r="40" spans="2:25">
      <c r="B40" s="1013" t="s">
        <v>230</v>
      </c>
      <c r="C40" s="1014"/>
      <c r="D40" s="1053">
        <v>6.2E-2</v>
      </c>
      <c r="E40" s="1054"/>
      <c r="F40" s="1055"/>
      <c r="G40" s="1041" t="s">
        <v>231</v>
      </c>
      <c r="H40" s="1042"/>
      <c r="I40" s="1043"/>
      <c r="J40" s="144"/>
      <c r="Q40" s="164"/>
      <c r="T40" s="11"/>
      <c r="U40" s="11"/>
    </row>
    <row r="41" spans="2:25">
      <c r="B41" s="1013" t="s">
        <v>232</v>
      </c>
      <c r="C41" s="1014"/>
      <c r="D41" s="1053">
        <v>6.08E-2</v>
      </c>
      <c r="E41" s="1054"/>
      <c r="F41" s="1055"/>
      <c r="G41" s="1041" t="s">
        <v>229</v>
      </c>
      <c r="H41" s="1042"/>
      <c r="I41" s="1043"/>
      <c r="J41" s="144"/>
      <c r="Q41" s="164"/>
      <c r="T41" s="11"/>
      <c r="U41" s="11"/>
    </row>
    <row r="42" spans="2:25" ht="12.75" customHeight="1" thickBot="1">
      <c r="B42" s="1013" t="s">
        <v>233</v>
      </c>
      <c r="C42" s="1014"/>
      <c r="D42" s="1053">
        <v>0.06</v>
      </c>
      <c r="E42" s="1054"/>
      <c r="F42" s="1055"/>
      <c r="G42" s="1041" t="s">
        <v>234</v>
      </c>
      <c r="H42" s="1042"/>
      <c r="I42" s="1043"/>
      <c r="J42" s="144"/>
      <c r="Q42" s="164"/>
      <c r="T42" s="11"/>
      <c r="U42" s="11"/>
    </row>
    <row r="43" spans="2:25" ht="21" thickBot="1">
      <c r="B43" s="992" t="s">
        <v>235</v>
      </c>
      <c r="C43" s="993"/>
      <c r="D43" s="993"/>
      <c r="E43" s="993"/>
      <c r="F43" s="993"/>
      <c r="G43" s="993"/>
      <c r="H43" s="993"/>
      <c r="I43" s="994"/>
      <c r="J43" s="144"/>
      <c r="Q43" s="164"/>
      <c r="T43" s="11"/>
      <c r="U43" s="11"/>
    </row>
    <row r="44" spans="2:25">
      <c r="B44" s="977" t="s">
        <v>236</v>
      </c>
      <c r="C44" s="978"/>
      <c r="D44" s="978"/>
      <c r="E44" s="978"/>
      <c r="F44" s="978"/>
      <c r="G44" s="978"/>
      <c r="H44" s="978"/>
      <c r="I44" s="979"/>
      <c r="J44" s="144"/>
      <c r="Q44" s="164"/>
      <c r="T44" s="11"/>
      <c r="U44" s="11"/>
    </row>
    <row r="45" spans="2:25">
      <c r="B45" s="980"/>
      <c r="C45" s="981"/>
      <c r="D45" s="981"/>
      <c r="E45" s="981"/>
      <c r="F45" s="981"/>
      <c r="G45" s="981"/>
      <c r="H45" s="981"/>
      <c r="I45" s="982"/>
      <c r="J45" s="144"/>
      <c r="Q45" s="164"/>
      <c r="T45" s="11"/>
      <c r="U45" s="11"/>
    </row>
    <row r="46" spans="2:25">
      <c r="B46" s="1050"/>
      <c r="C46" s="1051"/>
      <c r="D46" s="1051"/>
      <c r="E46" s="1051"/>
      <c r="F46" s="1051"/>
      <c r="G46" s="1051"/>
      <c r="H46" s="1051"/>
      <c r="I46" s="1052"/>
      <c r="J46" s="144"/>
      <c r="Q46" s="164"/>
      <c r="T46" s="11"/>
      <c r="U46" s="11"/>
    </row>
    <row r="47" spans="2:25">
      <c r="B47" s="1050"/>
      <c r="C47" s="1051"/>
      <c r="D47" s="1051"/>
      <c r="E47" s="1051"/>
      <c r="F47" s="1051"/>
      <c r="G47" s="1051"/>
      <c r="H47" s="1051"/>
      <c r="I47" s="1052"/>
      <c r="J47" s="144"/>
      <c r="Q47" s="164"/>
      <c r="T47" s="11"/>
      <c r="U47" s="11"/>
    </row>
    <row r="48" spans="2:25" ht="14.1">
      <c r="B48" s="1050"/>
      <c r="C48" s="1051"/>
      <c r="D48" s="1051"/>
      <c r="E48" s="1051"/>
      <c r="F48" s="1051"/>
      <c r="G48" s="1051"/>
      <c r="H48" s="1051"/>
      <c r="I48" s="1052"/>
      <c r="J48" s="144"/>
      <c r="Q48" s="164"/>
      <c r="S48" s="972" t="s">
        <v>237</v>
      </c>
      <c r="T48" s="973"/>
      <c r="U48" s="973"/>
      <c r="V48" s="973"/>
      <c r="W48" s="973"/>
      <c r="X48" s="973"/>
      <c r="Y48" s="973"/>
    </row>
    <row r="49" spans="2:25" ht="27.95">
      <c r="B49" s="1050"/>
      <c r="C49" s="1051"/>
      <c r="D49" s="1051"/>
      <c r="E49" s="1051"/>
      <c r="F49" s="1051"/>
      <c r="G49" s="1051"/>
      <c r="H49" s="1051"/>
      <c r="I49" s="1052"/>
      <c r="J49" s="144"/>
      <c r="Q49" s="164"/>
      <c r="S49" s="782"/>
      <c r="T49" s="783" t="s">
        <v>196</v>
      </c>
      <c r="U49" s="783" t="s">
        <v>197</v>
      </c>
      <c r="V49" s="783" t="s">
        <v>198</v>
      </c>
      <c r="W49" s="788" t="s">
        <v>238</v>
      </c>
      <c r="X49" s="803" t="s">
        <v>200</v>
      </c>
      <c r="Y49" s="783" t="s">
        <v>239</v>
      </c>
    </row>
    <row r="50" spans="2:25">
      <c r="B50" s="1050"/>
      <c r="C50" s="1051"/>
      <c r="D50" s="1051"/>
      <c r="E50" s="1051"/>
      <c r="F50" s="1051"/>
      <c r="G50" s="1051"/>
      <c r="H50" s="1051"/>
      <c r="I50" s="1052"/>
      <c r="J50" s="144"/>
      <c r="Q50" s="164"/>
      <c r="S50" s="804" t="s">
        <v>240</v>
      </c>
      <c r="T50" s="784">
        <f>B5</f>
        <v>0.17182366982320568</v>
      </c>
      <c r="U50" s="784">
        <f>B6</f>
        <v>0.32022947697092807</v>
      </c>
      <c r="V50" s="785">
        <f>B9</f>
        <v>0.17800765325087353</v>
      </c>
      <c r="W50" s="785">
        <f>B10</f>
        <v>0.14577092086148802</v>
      </c>
      <c r="X50" s="789">
        <f>B11</f>
        <v>0.12269915229547294</v>
      </c>
      <c r="Y50" s="785">
        <f>SUM(T50:X50)</f>
        <v>0.93853087320196815</v>
      </c>
    </row>
    <row r="51" spans="2:25">
      <c r="B51" s="1050"/>
      <c r="C51" s="1051"/>
      <c r="D51" s="1051"/>
      <c r="E51" s="1051"/>
      <c r="F51" s="1051"/>
      <c r="G51" s="1051"/>
      <c r="H51" s="1051"/>
      <c r="I51" s="1052"/>
      <c r="J51" s="144"/>
      <c r="Q51" s="164"/>
      <c r="S51" s="800" t="s">
        <v>241</v>
      </c>
      <c r="T51" s="786">
        <f>1-T52</f>
        <v>0.7</v>
      </c>
      <c r="U51" s="786">
        <f>1-U52</f>
        <v>0.44999999999999996</v>
      </c>
      <c r="V51" s="787">
        <f>1-V52</f>
        <v>0.6</v>
      </c>
      <c r="W51" s="787">
        <f>1-W52</f>
        <v>0.4</v>
      </c>
      <c r="X51" s="790">
        <f>1-X52</f>
        <v>0.44999999999999996</v>
      </c>
      <c r="Y51" s="317"/>
    </row>
    <row r="52" spans="2:25">
      <c r="B52" s="1050"/>
      <c r="C52" s="1051"/>
      <c r="D52" s="1051"/>
      <c r="E52" s="1051"/>
      <c r="F52" s="1051"/>
      <c r="G52" s="1051"/>
      <c r="H52" s="1051"/>
      <c r="I52" s="1052"/>
      <c r="J52" s="144"/>
      <c r="Q52" s="164"/>
      <c r="S52" s="801" t="s">
        <v>242</v>
      </c>
      <c r="T52" s="792">
        <v>0.3</v>
      </c>
      <c r="U52" s="792">
        <v>0.55000000000000004</v>
      </c>
      <c r="V52" s="793">
        <v>0.4</v>
      </c>
      <c r="W52" s="793">
        <v>0.6</v>
      </c>
      <c r="X52" s="794">
        <v>0.55000000000000004</v>
      </c>
      <c r="Y52" s="317"/>
    </row>
    <row r="53" spans="2:25">
      <c r="B53" s="1050"/>
      <c r="C53" s="1051"/>
      <c r="D53" s="1051"/>
      <c r="E53" s="1051"/>
      <c r="F53" s="1051"/>
      <c r="G53" s="1051"/>
      <c r="H53" s="1051"/>
      <c r="I53" s="1052"/>
      <c r="J53" s="144"/>
      <c r="Q53" s="164"/>
      <c r="S53" s="802" t="s">
        <v>243</v>
      </c>
      <c r="T53" s="784">
        <f>T50*T51</f>
        <v>0.12027656887624397</v>
      </c>
      <c r="U53" s="785">
        <f>U50*U51</f>
        <v>0.14410326463691761</v>
      </c>
      <c r="V53" s="785">
        <f>V50*V51</f>
        <v>0.10680459195052412</v>
      </c>
      <c r="W53" s="785">
        <f>W50*W51</f>
        <v>5.8308368344595213E-2</v>
      </c>
      <c r="X53" s="785">
        <f>X50*X51</f>
        <v>5.521461853296282E-2</v>
      </c>
      <c r="Y53" s="791">
        <f>SUM(T53:X53)</f>
        <v>0.4847074123412437</v>
      </c>
    </row>
    <row r="54" spans="2:25">
      <c r="B54" s="1050"/>
      <c r="C54" s="1051"/>
      <c r="D54" s="1051"/>
      <c r="E54" s="1051"/>
      <c r="F54" s="1051"/>
      <c r="G54" s="1051"/>
      <c r="H54" s="1051"/>
      <c r="I54" s="1052"/>
      <c r="J54" s="144"/>
      <c r="Q54" s="164"/>
      <c r="S54" s="802" t="s">
        <v>244</v>
      </c>
      <c r="T54" s="784">
        <f>T52*T50</f>
        <v>5.1547100946961702E-2</v>
      </c>
      <c r="U54" s="785">
        <f>U52*U50</f>
        <v>0.17612621233401046</v>
      </c>
      <c r="V54" s="785">
        <f>V52*V50</f>
        <v>7.120306130034941E-2</v>
      </c>
      <c r="W54" s="785">
        <f>W52*W50</f>
        <v>8.7462552516892805E-2</v>
      </c>
      <c r="X54" s="785">
        <f>X52*X50</f>
        <v>6.7484533762510124E-2</v>
      </c>
      <c r="Y54" s="791">
        <f>SUM(T54:X54)</f>
        <v>0.4538234608607245</v>
      </c>
    </row>
    <row r="55" spans="2:25">
      <c r="B55" s="566"/>
      <c r="C55" s="567"/>
      <c r="D55" s="567"/>
      <c r="E55" s="567"/>
      <c r="F55" s="567"/>
      <c r="G55" s="567"/>
      <c r="H55" s="567"/>
      <c r="I55" s="568"/>
      <c r="J55" s="144"/>
      <c r="Q55" s="164"/>
      <c r="T55" s="11"/>
      <c r="U55" s="11"/>
    </row>
    <row r="56" spans="2:25">
      <c r="B56" s="566"/>
      <c r="C56" s="567"/>
      <c r="D56" s="567"/>
      <c r="E56" s="567"/>
      <c r="F56" s="567"/>
      <c r="G56" s="567"/>
      <c r="H56" s="567"/>
      <c r="I56" s="568"/>
      <c r="J56" s="144"/>
      <c r="Q56" s="164"/>
      <c r="T56" s="11"/>
      <c r="U56" s="11"/>
    </row>
    <row r="57" spans="2:25" ht="111.75" customHeight="1">
      <c r="B57" s="144"/>
      <c r="I57" s="164"/>
      <c r="J57" s="144"/>
      <c r="K57" s="1113"/>
      <c r="L57" s="1113"/>
      <c r="M57" s="1113"/>
      <c r="N57" s="1113"/>
      <c r="O57" s="1113"/>
      <c r="P57" s="1113"/>
      <c r="Q57" s="583"/>
      <c r="T57" s="11"/>
      <c r="U57" s="11"/>
    </row>
    <row r="58" spans="2:25" ht="15.95">
      <c r="B58" s="144"/>
      <c r="I58" s="164"/>
      <c r="J58" s="974" t="s">
        <v>245</v>
      </c>
      <c r="K58" s="975"/>
      <c r="L58" s="975"/>
      <c r="M58" s="975"/>
      <c r="N58" s="975"/>
      <c r="O58" s="975"/>
      <c r="P58" s="975"/>
      <c r="Q58" s="976"/>
      <c r="T58" s="11"/>
      <c r="U58" s="11"/>
    </row>
    <row r="59" spans="2:25">
      <c r="B59" s="144"/>
      <c r="I59" s="164"/>
      <c r="J59" s="144"/>
      <c r="Q59" s="164"/>
      <c r="T59" s="11"/>
      <c r="U59" s="11"/>
    </row>
    <row r="60" spans="2:25" ht="14.1" thickBot="1">
      <c r="B60" s="145"/>
      <c r="C60" s="165"/>
      <c r="D60" s="166"/>
      <c r="E60" s="165"/>
      <c r="F60" s="165"/>
      <c r="G60" s="165"/>
      <c r="H60" s="165"/>
      <c r="I60" s="167"/>
      <c r="J60" s="145"/>
      <c r="K60" s="165"/>
      <c r="L60" s="165"/>
      <c r="M60" s="165"/>
      <c r="N60" s="165"/>
      <c r="O60" s="165"/>
      <c r="P60" s="165"/>
      <c r="Q60" s="167"/>
      <c r="T60" s="11"/>
      <c r="U60" s="11"/>
    </row>
    <row r="61" spans="2:25">
      <c r="T61" s="11"/>
      <c r="U61" s="11"/>
    </row>
    <row r="62" spans="2:25">
      <c r="T62" s="11"/>
      <c r="U62" s="11"/>
    </row>
    <row r="63" spans="2:25">
      <c r="T63" s="11"/>
      <c r="U63" s="11"/>
    </row>
    <row r="64" spans="2:25">
      <c r="T64" s="11"/>
      <c r="U64" s="11"/>
    </row>
    <row r="65" spans="2:21">
      <c r="O65" s="304"/>
      <c r="T65" s="11"/>
      <c r="U65" s="11"/>
    </row>
    <row r="66" spans="2:21">
      <c r="O66" s="304"/>
      <c r="T66" s="11"/>
      <c r="U66" s="11"/>
    </row>
    <row r="67" spans="2:21">
      <c r="O67" s="304"/>
      <c r="T67" s="11"/>
      <c r="U67" s="11"/>
    </row>
    <row r="68" spans="2:21">
      <c r="T68" s="11"/>
      <c r="U68" s="11"/>
    </row>
    <row r="69" spans="2:21">
      <c r="T69" s="11"/>
      <c r="U69" s="11"/>
    </row>
    <row r="70" spans="2:21">
      <c r="B70" s="304">
        <f>AVERAGE(D39:F42)</f>
        <v>5.3399999999999996E-2</v>
      </c>
      <c r="T70" s="11"/>
      <c r="U70" s="11"/>
    </row>
    <row r="71" spans="2:21">
      <c r="T71" s="11"/>
      <c r="U71" s="11"/>
    </row>
    <row r="72" spans="2:21">
      <c r="T72" s="11"/>
      <c r="U72" s="11"/>
    </row>
    <row r="73" spans="2:21">
      <c r="T73" s="11"/>
      <c r="U73" s="11"/>
    </row>
  </sheetData>
  <mergeCells count="53">
    <mergeCell ref="K57:P57"/>
    <mergeCell ref="J32:Q32"/>
    <mergeCell ref="B29:C30"/>
    <mergeCell ref="D29:H30"/>
    <mergeCell ref="B39:C39"/>
    <mergeCell ref="D39:F39"/>
    <mergeCell ref="G39:I39"/>
    <mergeCell ref="J33:Q34"/>
    <mergeCell ref="B46:I54"/>
    <mergeCell ref="G41:I41"/>
    <mergeCell ref="G42:I42"/>
    <mergeCell ref="D40:F40"/>
    <mergeCell ref="D41:F41"/>
    <mergeCell ref="D42:F42"/>
    <mergeCell ref="B40:C40"/>
    <mergeCell ref="G40:I40"/>
    <mergeCell ref="B43:I43"/>
    <mergeCell ref="D33:I33"/>
    <mergeCell ref="D38:F38"/>
    <mergeCell ref="G38:I38"/>
    <mergeCell ref="B36:C36"/>
    <mergeCell ref="B41:C41"/>
    <mergeCell ref="B42:C42"/>
    <mergeCell ref="D34:I34"/>
    <mergeCell ref="D36:I36"/>
    <mergeCell ref="B37:I37"/>
    <mergeCell ref="B38:C38"/>
    <mergeCell ref="B35:C35"/>
    <mergeCell ref="D35:I35"/>
    <mergeCell ref="B34:C34"/>
    <mergeCell ref="Q2:Y2"/>
    <mergeCell ref="K3:P3"/>
    <mergeCell ref="B2:P2"/>
    <mergeCell ref="K16:P16"/>
    <mergeCell ref="B15:P15"/>
    <mergeCell ref="D16:I16"/>
    <mergeCell ref="D3:I3"/>
    <mergeCell ref="S48:Y48"/>
    <mergeCell ref="J58:Q58"/>
    <mergeCell ref="B44:I45"/>
    <mergeCell ref="I24:P24"/>
    <mergeCell ref="B26:C26"/>
    <mergeCell ref="B25:C25"/>
    <mergeCell ref="B28:C28"/>
    <mergeCell ref="B24:C24"/>
    <mergeCell ref="B27:C27"/>
    <mergeCell ref="D24:H24"/>
    <mergeCell ref="D25:H25"/>
    <mergeCell ref="D26:H26"/>
    <mergeCell ref="D27:H27"/>
    <mergeCell ref="D28:H28"/>
    <mergeCell ref="B32:I32"/>
    <mergeCell ref="B33:C33"/>
  </mergeCells>
  <phoneticPr fontId="0" type="noConversion"/>
  <conditionalFormatting sqref="B5:B12">
    <cfRule type="dataBar" priority="150">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8:B21">
    <cfRule type="dataBar" priority="198">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I12">
    <cfRule type="dataBar" priority="1">
      <dataBar>
        <cfvo type="min"/>
        <cfvo type="max"/>
        <color rgb="FF63C384"/>
      </dataBar>
      <extLst>
        <ext xmlns:x14="http://schemas.microsoft.com/office/spreadsheetml/2009/9/main" uri="{B025F937-C7B1-47D3-B67F-A62EFF666E3E}">
          <x14:id>{6157D23E-06C1-4C01-A842-2300FCC1D342}</x14:id>
        </ext>
      </extLst>
    </cfRule>
    <cfRule type="dataBar" priority="2">
      <dataBar>
        <cfvo type="min"/>
        <cfvo type="max"/>
        <color rgb="FF63C384"/>
      </dataBar>
      <extLst>
        <ext xmlns:x14="http://schemas.microsoft.com/office/spreadsheetml/2009/9/main" uri="{B025F937-C7B1-47D3-B67F-A62EFF666E3E}">
          <x14:id>{2B738827-5C9E-41BF-A8AA-A258604D8ABA}</x14:id>
        </ext>
      </extLst>
    </cfRule>
  </conditionalFormatting>
  <conditionalFormatting sqref="D18:I21">
    <cfRule type="dataBar" priority="10">
      <dataBar>
        <cfvo type="min"/>
        <cfvo type="max"/>
        <color rgb="FF63C384"/>
      </dataBar>
      <extLst>
        <ext xmlns:x14="http://schemas.microsoft.com/office/spreadsheetml/2009/9/main" uri="{B025F937-C7B1-47D3-B67F-A62EFF666E3E}">
          <x14:id>{84716613-B426-47D8-B625-8ECB865D3AFD}</x14:id>
        </ext>
      </extLst>
    </cfRule>
    <cfRule type="dataBar" priority="9">
      <dataBar>
        <cfvo type="min"/>
        <cfvo type="max"/>
        <color rgb="FF63C384"/>
      </dataBar>
      <extLst>
        <ext xmlns:x14="http://schemas.microsoft.com/office/spreadsheetml/2009/9/main" uri="{B025F937-C7B1-47D3-B67F-A62EFF666E3E}">
          <x14:id>{39485C2A-9CC8-472E-AE59-C676F2F1C301}</x14:id>
        </ext>
      </extLst>
    </cfRule>
  </conditionalFormatting>
  <conditionalFormatting sqref="D21:I21">
    <cfRule type="dataBar" priority="8">
      <dataBar>
        <cfvo type="min"/>
        <cfvo type="max"/>
        <color rgb="FF63C384"/>
      </dataBar>
      <extLst>
        <ext xmlns:x14="http://schemas.microsoft.com/office/spreadsheetml/2009/9/main" uri="{B025F937-C7B1-47D3-B67F-A62EFF666E3E}">
          <x14:id>{CBED72E0-D0F8-45BD-B296-A5D533218420}</x14:id>
        </ext>
      </extLst>
    </cfRule>
  </conditionalFormatting>
  <conditionalFormatting sqref="E5:E12">
    <cfRule type="dataBar" priority="3">
      <dataBar>
        <cfvo type="min"/>
        <cfvo type="max"/>
        <color rgb="FF63C384"/>
      </dataBar>
      <extLst>
        <ext xmlns:x14="http://schemas.microsoft.com/office/spreadsheetml/2009/9/main" uri="{B025F937-C7B1-47D3-B67F-A62EFF666E3E}">
          <x14:id>{8D448DDE-EAB5-4993-A990-5724B023A063}</x14:id>
        </ext>
      </extLst>
    </cfRule>
  </conditionalFormatting>
  <conditionalFormatting sqref="E18:E21">
    <cfRule type="dataBar" priority="11">
      <dataBar>
        <cfvo type="min"/>
        <cfvo type="max"/>
        <color rgb="FF63C384"/>
      </dataBar>
      <extLst>
        <ext xmlns:x14="http://schemas.microsoft.com/office/spreadsheetml/2009/9/main" uri="{B025F937-C7B1-47D3-B67F-A62EFF666E3E}">
          <x14:id>{1E158F4A-7033-4668-B9BD-4D29B94AFB6C}</x14:id>
        </ext>
      </extLst>
    </cfRule>
  </conditionalFormatting>
  <conditionalFormatting sqref="F5:F12">
    <cfRule type="dataBar" priority="4">
      <dataBar>
        <cfvo type="min"/>
        <cfvo type="max"/>
        <color rgb="FF63C384"/>
      </dataBar>
      <extLst>
        <ext xmlns:x14="http://schemas.microsoft.com/office/spreadsheetml/2009/9/main" uri="{B025F937-C7B1-47D3-B67F-A62EFF666E3E}">
          <x14:id>{48F4EEEB-A658-4C63-8CA7-26BEBAC34E42}</x14:id>
        </ext>
      </extLst>
    </cfRule>
  </conditionalFormatting>
  <conditionalFormatting sqref="F18:F21">
    <cfRule type="dataBar" priority="12">
      <dataBar>
        <cfvo type="min"/>
        <cfvo type="max"/>
        <color rgb="FF63C384"/>
      </dataBar>
      <extLst>
        <ext xmlns:x14="http://schemas.microsoft.com/office/spreadsheetml/2009/9/main" uri="{B025F937-C7B1-47D3-B67F-A62EFF666E3E}">
          <x14:id>{4A600440-0DCA-41AB-BF6D-CDE28EB01595}</x14:id>
        </ext>
      </extLst>
    </cfRule>
  </conditionalFormatting>
  <conditionalFormatting sqref="G5:G12">
    <cfRule type="dataBar" priority="5">
      <dataBar>
        <cfvo type="min"/>
        <cfvo type="max"/>
        <color rgb="FF63C384"/>
      </dataBar>
      <extLst>
        <ext xmlns:x14="http://schemas.microsoft.com/office/spreadsheetml/2009/9/main" uri="{B025F937-C7B1-47D3-B67F-A62EFF666E3E}">
          <x14:id>{54794B0F-9072-4AB3-B2BC-E27147CF23E4}</x14:id>
        </ext>
      </extLst>
    </cfRule>
  </conditionalFormatting>
  <conditionalFormatting sqref="G18:G21">
    <cfRule type="dataBar" priority="13">
      <dataBar>
        <cfvo type="min"/>
        <cfvo type="max"/>
        <color rgb="FF63C384"/>
      </dataBar>
      <extLst>
        <ext xmlns:x14="http://schemas.microsoft.com/office/spreadsheetml/2009/9/main" uri="{B025F937-C7B1-47D3-B67F-A62EFF666E3E}">
          <x14:id>{41BC6755-EA85-4CCA-8D52-44E177917F15}</x14:id>
        </ext>
      </extLst>
    </cfRule>
  </conditionalFormatting>
  <conditionalFormatting sqref="H5:H12">
    <cfRule type="dataBar" priority="6">
      <dataBar>
        <cfvo type="min"/>
        <cfvo type="max"/>
        <color rgb="FF63C384"/>
      </dataBar>
      <extLst>
        <ext xmlns:x14="http://schemas.microsoft.com/office/spreadsheetml/2009/9/main" uri="{B025F937-C7B1-47D3-B67F-A62EFF666E3E}">
          <x14:id>{06BEE98C-B00F-4EC7-9167-13B82D0691A7}</x14:id>
        </ext>
      </extLst>
    </cfRule>
  </conditionalFormatting>
  <conditionalFormatting sqref="H18:H21">
    <cfRule type="dataBar" priority="14">
      <dataBar>
        <cfvo type="min"/>
        <cfvo type="max"/>
        <color rgb="FF63C384"/>
      </dataBar>
      <extLst>
        <ext xmlns:x14="http://schemas.microsoft.com/office/spreadsheetml/2009/9/main" uri="{B025F937-C7B1-47D3-B67F-A62EFF666E3E}">
          <x14:id>{B6C63FA1-E454-4246-8B5B-D656B5C2F3B9}</x14:id>
        </ext>
      </extLst>
    </cfRule>
  </conditionalFormatting>
  <conditionalFormatting sqref="I5:I12">
    <cfRule type="dataBar" priority="7">
      <dataBar>
        <cfvo type="min"/>
        <cfvo type="max"/>
        <color rgb="FF63C384"/>
      </dataBar>
      <extLst>
        <ext xmlns:x14="http://schemas.microsoft.com/office/spreadsheetml/2009/9/main" uri="{B025F937-C7B1-47D3-B67F-A62EFF666E3E}">
          <x14:id>{99798073-3BD0-47D0-8804-F632275DC5AB}</x14:id>
        </ext>
      </extLst>
    </cfRule>
  </conditionalFormatting>
  <conditionalFormatting sqref="I18:I21">
    <cfRule type="dataBar" priority="15">
      <dataBar>
        <cfvo type="min"/>
        <cfvo type="max"/>
        <color rgb="FF63C384"/>
      </dataBar>
      <extLst>
        <ext xmlns:x14="http://schemas.microsoft.com/office/spreadsheetml/2009/9/main" uri="{B025F937-C7B1-47D3-B67F-A62EFF666E3E}">
          <x14:id>{0431AD55-35D0-41E6-86EB-144CF0525E55}</x14:id>
        </ext>
      </extLst>
    </cfRule>
  </conditionalFormatting>
  <conditionalFormatting sqref="K5:K12">
    <cfRule type="dataBar" priority="166">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8:K21">
    <cfRule type="dataBar" priority="216">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8:O21">
    <cfRule type="dataBar" priority="220">
      <dataBar>
        <cfvo type="min"/>
        <cfvo type="max"/>
        <color rgb="FF63C384"/>
      </dataBar>
      <extLst>
        <ext xmlns:x14="http://schemas.microsoft.com/office/spreadsheetml/2009/9/main" uri="{B025F937-C7B1-47D3-B67F-A62EFF666E3E}">
          <x14:id>{589E11FE-E342-4D21-9EB3-CB0F15AE87A6}</x14:id>
        </ext>
      </extLst>
    </cfRule>
    <cfRule type="dataBar" priority="218">
      <dataBar>
        <cfvo type="min"/>
        <cfvo type="max"/>
        <color rgb="FF63C384"/>
      </dataBar>
      <extLst>
        <ext xmlns:x14="http://schemas.microsoft.com/office/spreadsheetml/2009/9/main" uri="{B025F937-C7B1-47D3-B67F-A62EFF666E3E}">
          <x14:id>{BE9D279A-ADD8-46F4-B26E-577DEFFA037B}</x14:id>
        </ext>
      </extLst>
    </cfRule>
    <cfRule type="dataBar" priority="219">
      <dataBar>
        <cfvo type="min"/>
        <cfvo type="max"/>
        <color rgb="FF63C384"/>
      </dataBar>
      <extLst>
        <ext xmlns:x14="http://schemas.microsoft.com/office/spreadsheetml/2009/9/main" uri="{B025F937-C7B1-47D3-B67F-A62EFF666E3E}">
          <x14:id>{CBC457F7-3DB8-46A0-988B-11CCF8FF31E5}</x14:id>
        </ext>
      </extLst>
    </cfRule>
  </conditionalFormatting>
  <conditionalFormatting sqref="K5:P5 K11:K12 K6:L10 L6:P12">
    <cfRule type="dataBar" priority="169">
      <dataBar>
        <cfvo type="min"/>
        <cfvo type="max"/>
        <color rgb="FF63C384"/>
      </dataBar>
      <extLst>
        <ext xmlns:x14="http://schemas.microsoft.com/office/spreadsheetml/2009/9/main" uri="{B025F937-C7B1-47D3-B67F-A62EFF666E3E}">
          <x14:id>{5832A442-CC22-41FC-AD17-86122538435B}</x14:id>
        </ext>
      </extLst>
    </cfRule>
    <cfRule type="dataBar" priority="168">
      <dataBar>
        <cfvo type="min"/>
        <cfvo type="max"/>
        <color rgb="FF63C384"/>
      </dataBar>
      <extLst>
        <ext xmlns:x14="http://schemas.microsoft.com/office/spreadsheetml/2009/9/main" uri="{B025F937-C7B1-47D3-B67F-A62EFF666E3E}">
          <x14:id>{1642E512-5328-4DB9-81F4-5A67EFFA2D7A}</x14:id>
        </ext>
      </extLst>
    </cfRule>
  </conditionalFormatting>
  <conditionalFormatting sqref="K18:P21">
    <cfRule type="dataBar" priority="227">
      <dataBar>
        <cfvo type="min"/>
        <cfvo type="max"/>
        <color rgb="FF63C384"/>
      </dataBar>
      <extLst>
        <ext xmlns:x14="http://schemas.microsoft.com/office/spreadsheetml/2009/9/main" uri="{B025F937-C7B1-47D3-B67F-A62EFF666E3E}">
          <x14:id>{00030478-9DDE-4C48-B970-8BFEEA7887D7}</x14:id>
        </ext>
      </extLst>
    </cfRule>
    <cfRule type="dataBar" priority="228">
      <dataBar>
        <cfvo type="min"/>
        <cfvo type="max"/>
        <color rgb="FF63C384"/>
      </dataBar>
      <extLst>
        <ext xmlns:x14="http://schemas.microsoft.com/office/spreadsheetml/2009/9/main" uri="{B025F937-C7B1-47D3-B67F-A62EFF666E3E}">
          <x14:id>{EC7F1560-4E75-4756-AE37-09B82982D1AB}</x14:id>
        </ext>
      </extLst>
    </cfRule>
    <cfRule type="dataBar" priority="224">
      <dataBar>
        <cfvo type="min"/>
        <cfvo type="max"/>
        <color rgb="FF63C384"/>
      </dataBar>
      <extLst>
        <ext xmlns:x14="http://schemas.microsoft.com/office/spreadsheetml/2009/9/main" uri="{B025F937-C7B1-47D3-B67F-A62EFF666E3E}">
          <x14:id>{A85696C3-3FD4-4347-BBC8-6CEF041D9BC2}</x14:id>
        </ext>
      </extLst>
    </cfRule>
    <cfRule type="dataBar" priority="225">
      <dataBar>
        <cfvo type="min"/>
        <cfvo type="max"/>
        <color rgb="FF63C384"/>
      </dataBar>
      <extLst>
        <ext xmlns:x14="http://schemas.microsoft.com/office/spreadsheetml/2009/9/main" uri="{B025F937-C7B1-47D3-B67F-A62EFF666E3E}">
          <x14:id>{4CBCF4A4-EFBB-41F0-984E-0C4EF2D8C81C}</x14:id>
        </ext>
      </extLst>
    </cfRule>
    <cfRule type="dataBar" priority="226">
      <dataBar>
        <cfvo type="min"/>
        <cfvo type="max"/>
        <color rgb="FF63C384"/>
      </dataBar>
      <extLst>
        <ext xmlns:x14="http://schemas.microsoft.com/office/spreadsheetml/2009/9/main" uri="{B025F937-C7B1-47D3-B67F-A62EFF666E3E}">
          <x14:id>{9095667E-69EE-4811-BEDE-AFA010708C3B}</x14:id>
        </ext>
      </extLst>
    </cfRule>
  </conditionalFormatting>
  <conditionalFormatting sqref="L5:L12">
    <cfRule type="dataBar" priority="172">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8:L21">
    <cfRule type="dataBar" priority="234">
      <dataBar>
        <cfvo type="min"/>
        <cfvo type="max"/>
        <color rgb="FF63C384"/>
      </dataBar>
      <extLst>
        <ext xmlns:x14="http://schemas.microsoft.com/office/spreadsheetml/2009/9/main" uri="{B025F937-C7B1-47D3-B67F-A62EFF666E3E}">
          <x14:id>{4BEF7755-0998-42F9-BE2B-3DDE71DD6879}</x14:id>
        </ext>
      </extLst>
    </cfRule>
  </conditionalFormatting>
  <conditionalFormatting sqref="M19:M21">
    <cfRule type="dataBar" priority="236">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12">
    <cfRule type="dataBar" priority="174">
      <dataBar>
        <cfvo type="min"/>
        <cfvo type="max"/>
        <color rgb="FF63C384"/>
      </dataBar>
      <extLst>
        <ext xmlns:x14="http://schemas.microsoft.com/office/spreadsheetml/2009/9/main" uri="{B025F937-C7B1-47D3-B67F-A62EFF666E3E}">
          <x14:id>{418255D3-2B96-41A9-9582-87939D7FAE81}</x14:id>
        </ext>
      </extLst>
    </cfRule>
  </conditionalFormatting>
  <conditionalFormatting sqref="N18:N21">
    <cfRule type="dataBar" priority="238">
      <dataBar>
        <cfvo type="min"/>
        <cfvo type="max"/>
        <color rgb="FF63C384"/>
      </dataBar>
      <extLst>
        <ext xmlns:x14="http://schemas.microsoft.com/office/spreadsheetml/2009/9/main" uri="{B025F937-C7B1-47D3-B67F-A62EFF666E3E}">
          <x14:id>{E359D2BF-B4C7-4D3A-9103-4CBEE70A31B4}</x14:id>
        </ext>
      </extLst>
    </cfRule>
  </conditionalFormatting>
  <conditionalFormatting sqref="O18:O21">
    <cfRule type="dataBar" priority="240">
      <dataBar>
        <cfvo type="min"/>
        <cfvo type="max"/>
        <color rgb="FF63C384"/>
      </dataBar>
      <extLst>
        <ext xmlns:x14="http://schemas.microsoft.com/office/spreadsheetml/2009/9/main" uri="{B025F937-C7B1-47D3-B67F-A62EFF666E3E}">
          <x14:id>{26AC0999-7FF4-4431-B91F-7A7C0E85B670}</x14:id>
        </ext>
      </extLst>
    </cfRule>
  </conditionalFormatting>
  <conditionalFormatting sqref="P18:P21">
    <cfRule type="dataBar" priority="242">
      <dataBar>
        <cfvo type="min"/>
        <cfvo type="max"/>
        <color rgb="FF63C384"/>
      </dataBar>
      <extLst>
        <ext xmlns:x14="http://schemas.microsoft.com/office/spreadsheetml/2009/9/main" uri="{B025F937-C7B1-47D3-B67F-A62EFF666E3E}">
          <x14:id>{00154FAC-2C70-4EF2-A308-BA8404420986}</x14:id>
        </ext>
      </extLst>
    </cfRule>
  </conditionalFormatting>
  <pageMargins left="0.75" right="0.75" top="1" bottom="1" header="0" footer="0"/>
  <pageSetup orientation="landscape" r:id="rId1"/>
  <headerFooter alignWithMargins="0"/>
  <drawing r:id="rId2"/>
  <legacyDrawing r:id="rId3"/>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B5:B12</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B18:B21</xm:sqref>
        </x14:conditionalFormatting>
        <x14:conditionalFormatting xmlns:xm="http://schemas.microsoft.com/office/excel/2006/main">
          <x14:cfRule type="dataBar" id="{6157D23E-06C1-4C01-A842-2300FCC1D342}">
            <x14:dataBar minLength="0" maxLength="100" gradient="0">
              <x14:cfvo type="autoMin"/>
              <x14:cfvo type="autoMax"/>
              <x14:negativeFillColor rgb="FFFF0000"/>
              <x14:axisColor rgb="FF000000"/>
            </x14:dataBar>
          </x14:cfRule>
          <x14:cfRule type="dataBar" id="{2B738827-5C9E-41BF-A8AA-A258604D8ABA}">
            <x14:dataBar minLength="0" maxLength="100" gradient="0">
              <x14:cfvo type="autoMin"/>
              <x14:cfvo type="autoMax"/>
              <x14:negativeFillColor rgb="FFFF0000"/>
              <x14:axisColor rgb="FF000000"/>
            </x14:dataBar>
          </x14:cfRule>
          <xm:sqref>D5:I12</xm:sqref>
        </x14:conditionalFormatting>
        <x14:conditionalFormatting xmlns:xm="http://schemas.microsoft.com/office/excel/2006/main">
          <x14:cfRule type="dataBar" id="{84716613-B426-47D8-B625-8ECB865D3AFD}">
            <x14:dataBar minLength="0" maxLength="100" gradient="0">
              <x14:cfvo type="autoMin"/>
              <x14:cfvo type="autoMax"/>
              <x14:negativeFillColor rgb="FFFF0000"/>
              <x14:axisColor rgb="FF000000"/>
            </x14:dataBar>
          </x14:cfRule>
          <x14:cfRule type="dataBar" id="{39485C2A-9CC8-472E-AE59-C676F2F1C301}">
            <x14:dataBar minLength="0" maxLength="100" gradient="0">
              <x14:cfvo type="autoMin"/>
              <x14:cfvo type="autoMax"/>
              <x14:negativeFillColor rgb="FFFF0000"/>
              <x14:axisColor rgb="FF000000"/>
            </x14:dataBar>
          </x14:cfRule>
          <xm:sqref>D18:I21</xm:sqref>
        </x14:conditionalFormatting>
        <x14:conditionalFormatting xmlns:xm="http://schemas.microsoft.com/office/excel/2006/main">
          <x14:cfRule type="dataBar" id="{CBED72E0-D0F8-45BD-B296-A5D533218420}">
            <x14:dataBar minLength="0" maxLength="100" gradient="0">
              <x14:cfvo type="autoMin"/>
              <x14:cfvo type="autoMax"/>
              <x14:negativeFillColor rgb="FFFF0000"/>
              <x14:axisColor rgb="FF000000"/>
            </x14:dataBar>
          </x14:cfRule>
          <xm:sqref>D21:I21</xm:sqref>
        </x14:conditionalFormatting>
        <x14:conditionalFormatting xmlns:xm="http://schemas.microsoft.com/office/excel/2006/main">
          <x14:cfRule type="dataBar" id="{8D448DDE-EAB5-4993-A990-5724B023A063}">
            <x14:dataBar minLength="0" maxLength="100" gradient="0">
              <x14:cfvo type="autoMin"/>
              <x14:cfvo type="autoMax"/>
              <x14:negativeFillColor rgb="FFFF0000"/>
              <x14:axisColor rgb="FF000000"/>
            </x14:dataBar>
          </x14:cfRule>
          <xm:sqref>E5:E12</xm:sqref>
        </x14:conditionalFormatting>
        <x14:conditionalFormatting xmlns:xm="http://schemas.microsoft.com/office/excel/2006/main">
          <x14:cfRule type="dataBar" id="{1E158F4A-7033-4668-B9BD-4D29B94AFB6C}">
            <x14:dataBar minLength="0" maxLength="100" gradient="0">
              <x14:cfvo type="autoMin"/>
              <x14:cfvo type="autoMax"/>
              <x14:negativeFillColor rgb="FFFF0000"/>
              <x14:axisColor rgb="FF000000"/>
            </x14:dataBar>
          </x14:cfRule>
          <xm:sqref>E18:E21</xm:sqref>
        </x14:conditionalFormatting>
        <x14:conditionalFormatting xmlns:xm="http://schemas.microsoft.com/office/excel/2006/main">
          <x14:cfRule type="dataBar" id="{48F4EEEB-A658-4C63-8CA7-26BEBAC34E42}">
            <x14:dataBar minLength="0" maxLength="100" gradient="0">
              <x14:cfvo type="autoMin"/>
              <x14:cfvo type="autoMax"/>
              <x14:negativeFillColor rgb="FFFF0000"/>
              <x14:axisColor rgb="FF000000"/>
            </x14:dataBar>
          </x14:cfRule>
          <xm:sqref>F5:F12</xm:sqref>
        </x14:conditionalFormatting>
        <x14:conditionalFormatting xmlns:xm="http://schemas.microsoft.com/office/excel/2006/main">
          <x14:cfRule type="dataBar" id="{4A600440-0DCA-41AB-BF6D-CDE28EB01595}">
            <x14:dataBar minLength="0" maxLength="100" gradient="0">
              <x14:cfvo type="autoMin"/>
              <x14:cfvo type="autoMax"/>
              <x14:negativeFillColor rgb="FFFF0000"/>
              <x14:axisColor rgb="FF000000"/>
            </x14:dataBar>
          </x14:cfRule>
          <xm:sqref>F18:F21</xm:sqref>
        </x14:conditionalFormatting>
        <x14:conditionalFormatting xmlns:xm="http://schemas.microsoft.com/office/excel/2006/main">
          <x14:cfRule type="dataBar" id="{54794B0F-9072-4AB3-B2BC-E27147CF23E4}">
            <x14:dataBar minLength="0" maxLength="100" gradient="0">
              <x14:cfvo type="autoMin"/>
              <x14:cfvo type="autoMax"/>
              <x14:negativeFillColor rgb="FFFF0000"/>
              <x14:axisColor rgb="FF000000"/>
            </x14:dataBar>
          </x14:cfRule>
          <xm:sqref>G5:G12</xm:sqref>
        </x14:conditionalFormatting>
        <x14:conditionalFormatting xmlns:xm="http://schemas.microsoft.com/office/excel/2006/main">
          <x14:cfRule type="dataBar" id="{41BC6755-EA85-4CCA-8D52-44E177917F15}">
            <x14:dataBar minLength="0" maxLength="100" gradient="0">
              <x14:cfvo type="autoMin"/>
              <x14:cfvo type="autoMax"/>
              <x14:negativeFillColor rgb="FFFF0000"/>
              <x14:axisColor rgb="FF000000"/>
            </x14:dataBar>
          </x14:cfRule>
          <xm:sqref>G18:G21</xm:sqref>
        </x14:conditionalFormatting>
        <x14:conditionalFormatting xmlns:xm="http://schemas.microsoft.com/office/excel/2006/main">
          <x14:cfRule type="dataBar" id="{06BEE98C-B00F-4EC7-9167-13B82D0691A7}">
            <x14:dataBar minLength="0" maxLength="100" gradient="0">
              <x14:cfvo type="autoMin"/>
              <x14:cfvo type="autoMax"/>
              <x14:negativeFillColor rgb="FFFF0000"/>
              <x14:axisColor rgb="FF000000"/>
            </x14:dataBar>
          </x14:cfRule>
          <xm:sqref>H5:H12</xm:sqref>
        </x14:conditionalFormatting>
        <x14:conditionalFormatting xmlns:xm="http://schemas.microsoft.com/office/excel/2006/main">
          <x14:cfRule type="dataBar" id="{B6C63FA1-E454-4246-8B5B-D656B5C2F3B9}">
            <x14:dataBar minLength="0" maxLength="100" gradient="0">
              <x14:cfvo type="autoMin"/>
              <x14:cfvo type="autoMax"/>
              <x14:negativeFillColor rgb="FFFF0000"/>
              <x14:axisColor rgb="FF000000"/>
            </x14:dataBar>
          </x14:cfRule>
          <xm:sqref>H18:H21</xm:sqref>
        </x14:conditionalFormatting>
        <x14:conditionalFormatting xmlns:xm="http://schemas.microsoft.com/office/excel/2006/main">
          <x14:cfRule type="dataBar" id="{99798073-3BD0-47D0-8804-F632275DC5AB}">
            <x14:dataBar minLength="0" maxLength="100" gradient="0">
              <x14:cfvo type="autoMin"/>
              <x14:cfvo type="autoMax"/>
              <x14:negativeFillColor rgb="FFFF0000"/>
              <x14:axisColor rgb="FF000000"/>
            </x14:dataBar>
          </x14:cfRule>
          <xm:sqref>I5:I12</xm:sqref>
        </x14:conditionalFormatting>
        <x14:conditionalFormatting xmlns:xm="http://schemas.microsoft.com/office/excel/2006/main">
          <x14:cfRule type="dataBar" id="{0431AD55-35D0-41E6-86EB-144CF0525E55}">
            <x14:dataBar minLength="0" maxLength="100" gradient="0">
              <x14:cfvo type="autoMin"/>
              <x14:cfvo type="autoMax"/>
              <x14:negativeFillColor rgb="FFFF0000"/>
              <x14:axisColor rgb="FF000000"/>
            </x14:dataBar>
          </x14:cfRule>
          <xm:sqref>I18:I21</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K5:K12</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K18:K21</xm:sqref>
        </x14:conditionalFormatting>
        <x14:conditionalFormatting xmlns:xm="http://schemas.microsoft.com/office/excel/2006/main">
          <x14:cfRule type="dataBar" id="{589E11FE-E342-4D21-9EB3-CB0F15AE87A6}">
            <x14:dataBar minLength="0" maxLength="100" gradient="0">
              <x14:cfvo type="autoMin"/>
              <x14:cfvo type="autoMax"/>
              <x14:negativeFillColor rgb="FFFF0000"/>
              <x14:axisColor rgb="FF000000"/>
            </x14:dataBar>
          </x14:cfRule>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m:sqref>K18:O21</xm:sqref>
        </x14:conditionalFormatting>
        <x14:conditionalFormatting xmlns:xm="http://schemas.microsoft.com/office/excel/2006/main">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642E512-5328-4DB9-81F4-5A67EFFA2D7A}">
            <x14:dataBar minLength="0" maxLength="100" gradient="0">
              <x14:cfvo type="autoMin"/>
              <x14:cfvo type="autoMax"/>
              <x14:negativeFillColor rgb="FFFF0000"/>
              <x14:axisColor rgb="FF000000"/>
            </x14:dataBar>
          </x14:cfRule>
          <xm:sqref>K5:P5 K11:K12 K6:L10 L6:P12</xm:sqref>
        </x14:conditionalFormatting>
        <x14:conditionalFormatting xmlns:xm="http://schemas.microsoft.com/office/excel/2006/main">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14:cfRule type="dataBar" id="{A85696C3-3FD4-4347-BBC8-6CEF041D9BC2}">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m:sqref>K18:P21</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L5:L12</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L18:L21</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M19:M21</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M5:P12</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N18:N21</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O18:O21</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P18:P21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95"/>
  <cols>
    <col min="1" max="1" width="27.42578125" bestFit="1" customWidth="1"/>
  </cols>
  <sheetData>
    <row r="1" spans="1:1">
      <c r="A1" t="s">
        <v>246</v>
      </c>
    </row>
    <row r="2" spans="1:1">
      <c r="A2" t="s">
        <v>247</v>
      </c>
    </row>
    <row r="3" spans="1:1">
      <c r="A3" t="s">
        <v>248</v>
      </c>
    </row>
    <row r="4" spans="1:1">
      <c r="A4" t="s">
        <v>249</v>
      </c>
    </row>
    <row r="5" spans="1:1">
      <c r="A5" t="s">
        <v>250</v>
      </c>
    </row>
    <row r="6" spans="1:1">
      <c r="A6" s="11" t="s">
        <v>251</v>
      </c>
    </row>
  </sheetData>
  <phoneticPr fontId="10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L75"/>
  <sheetViews>
    <sheetView showGridLines="0" topLeftCell="A28" zoomScaleNormal="100" workbookViewId="0">
      <selection activeCell="C56" sqref="C56"/>
    </sheetView>
  </sheetViews>
  <sheetFormatPr defaultColWidth="11.42578125" defaultRowHeight="12.95"/>
  <cols>
    <col min="1" max="1" width="0.42578125" customWidth="1"/>
    <col min="2" max="2" width="31.42578125" bestFit="1" customWidth="1"/>
    <col min="3" max="4" width="32.42578125" customWidth="1"/>
    <col min="5" max="6" width="33.42578125" customWidth="1"/>
    <col min="7" max="7" width="32.42578125" customWidth="1"/>
    <col min="8" max="8" width="46.42578125" customWidth="1"/>
    <col min="9" max="9" width="15.42578125" customWidth="1"/>
  </cols>
  <sheetData>
    <row r="1" spans="2:12" ht="14.1">
      <c r="B1" s="606" t="s">
        <v>252</v>
      </c>
      <c r="C1" s="763" t="s">
        <v>253</v>
      </c>
      <c r="D1" s="1060" t="s">
        <v>208</v>
      </c>
      <c r="E1" s="1060"/>
      <c r="F1" s="1060"/>
      <c r="G1" s="1060"/>
      <c r="H1" s="1060"/>
    </row>
    <row r="2" spans="2:12" ht="92.25" customHeight="1">
      <c r="B2" s="317"/>
      <c r="C2" s="605" t="e" vm="1">
        <f>D7</f>
        <v>#VALUE!</v>
      </c>
      <c r="D2" s="1057" t="str" cm="1">
        <f t="array" aca="1" ref="D2" ca="1">_FV(C2,"Description")</f>
        <v>Johnson Controls International plc offers smart, healthy and sustainable buildings, serving a range of customers. It operates through four segments: Building Solutions North America, Building Solutions EMEA/LA, Building Solutions Asia Pacific, and Global Products. Its Building Solutions North America, Building Solutions EMEA/LA, and Building Solutions Asia Pacific segments design, sell, install, and services heating, ventilation and air conditioning (HVAC), controls, building management, refrigeration, integrated electronic security, integrated fire detection and suppression systems, and provides technical services. Its Global Products segment designs, manufactures and sells HVAC equipment, controls software and software services for residential and commercial applications to commercial, industrial, retail, residential, small business, institutional and governmental customers worldwide. Global Products segment also designs, manufactures and sells refrigeration equipment and controls.</v>
      </c>
      <c r="E2" s="1058"/>
      <c r="F2" s="1058"/>
      <c r="G2" s="1058"/>
      <c r="H2" s="1059"/>
    </row>
    <row r="3" spans="2:12" ht="91.5" customHeight="1">
      <c r="B3" s="317"/>
      <c r="C3" s="604" t="e" vm="2">
        <f>E7</f>
        <v>#VALUE!</v>
      </c>
      <c r="D3" s="1057" t="str" cm="1">
        <f t="array" aca="1" ref="D3" ca="1">_FV(C3,"Description")</f>
        <v>Carrier Global Corporation is engaged in offering intelligent climate and energy solutions with a focus on providing differentiated, digitally enabled lifecycle solutions. The Company operates through three segments: HVAC, Refrigeration, and Fire &amp; Security. Its HVAC segment provides products, controls, services and solutions to meet the heating, cooling and ventilation needs of residential and commercial customers. Its Refrigeration segment includes transport refrigeration and monitoring products, services and digital solutions for trucks, trailers, shipping containers, and intermodal and rail. Its Fire &amp; Security segment provides a range of residential, commercial and industrial technologies designed to help protect people and property. This segment offers products, such as fire, flame, gas, smoke and carbon monoxide detection, portable fire extinguishers, and others. The Company's portfolio includes brands, such as Carrier, Carrier Transicold, Viessmann, and others.</v>
      </c>
      <c r="E3" s="1058"/>
      <c r="F3" s="1058"/>
      <c r="G3" s="1058"/>
      <c r="H3" s="1059"/>
    </row>
    <row r="4" spans="2:12" ht="90.75" customHeight="1">
      <c r="B4" s="317"/>
      <c r="C4" s="607" t="e" vm="3">
        <f>F7</f>
        <v>#VALUE!</v>
      </c>
      <c r="D4" s="1057" t="str" cm="1">
        <f t="array" aca="1" ref="D4" ca="1">_FV(C4,"Description")</f>
        <v>Trane Technologies PLC is a global climate innovator. Through its brands, such as Trane and Thermo King, and its portfolio of products and services, it brings climate solutions to buildings, homes, and transportation. Its segments include the Americas, EMEA and Asia Pacific. Its Americas segment serves customers in North America and Latin America and includes commercial heating and cooling systems, building controls, and energy services and solutions; residential heating and cooling; and transport refrigeration systems and solutions. Its EMEA segment serves customers in the Europe, Middle East and Africa region and includes heating and cooling systems, services and solutions for commercial buildings, and transport refrigeration systems and solutions. Its Asia Pacific segment serves customers throughout the Asia Pacific region and includes heating and cooling systems and solutions. It also offers cloud-based connected workplace and enterprise asset management products and solutions.</v>
      </c>
      <c r="E4" s="1058"/>
      <c r="F4" s="1058"/>
      <c r="G4" s="1058"/>
      <c r="H4" s="1059"/>
    </row>
    <row r="5" spans="2:12" ht="105.75" customHeight="1">
      <c r="C5" s="414" t="e" vm="4">
        <f>G7</f>
        <v>#VALUE!</v>
      </c>
      <c r="D5" s="1057" t="str" cm="1">
        <f t="array" aca="1" ref="D5" ca="1">_FV(C5,"Description")</f>
        <v>Lennox International Inc. is a provider of climate control solutions. The Company designs, manufactures and markets a range of products for the heating, ventilation, air conditioning and refrigeration (HVACR) markets. It operates through three segments: Home Comfort Solutions, Building Climate Solutions, and Corporate and Other. Home Comfort Solutions segment manufacture and market a broad range of furnaces, air conditioners, heat pumps, packaged heating and cooling systems, indoor air quality equipment, comfort control products, replacement parts and supplies and related products. Building Climate Solutions segment manufacture and sell unitary heating and air conditioning equipment, applied systems, controls, installation and service of commercial heating and cooling equipment, variable refrigerant flow commercial products, curb, curb adapters, drop box diffusers, HVAC recycling and salvage service, condensing units, unit coolers, fluid coolers, air cooled condensers, and others.</v>
      </c>
      <c r="E5" s="1058"/>
      <c r="F5" s="1058"/>
      <c r="G5" s="1058"/>
      <c r="H5" s="1059"/>
    </row>
    <row r="6" spans="2:12" ht="14.1" thickBot="1">
      <c r="B6" s="11"/>
    </row>
    <row r="7" spans="2:12" ht="36" customHeight="1">
      <c r="B7" s="202" t="s">
        <v>254</v>
      </c>
      <c r="C7" s="409" t="str">
        <f>OP!E2</f>
        <v>Daikin Industries,Ltd. (6367.T)</v>
      </c>
      <c r="D7" s="410" t="e" vm="1">
        <v>#VALUE!</v>
      </c>
      <c r="E7" s="411" t="e" vm="2">
        <v>#VALUE!</v>
      </c>
      <c r="F7" s="412" t="e" vm="3">
        <v>#VALUE!</v>
      </c>
      <c r="G7" s="413" t="e" vm="4">
        <v>#VALUE!</v>
      </c>
      <c r="H7" s="187" t="s">
        <v>255</v>
      </c>
    </row>
    <row r="8" spans="2:12" ht="16.5" customHeight="1" thickBot="1">
      <c r="B8" s="185" t="s">
        <v>256</v>
      </c>
      <c r="C8" s="174"/>
      <c r="D8" s="175"/>
      <c r="E8" s="175"/>
      <c r="F8" s="175"/>
      <c r="G8" s="175"/>
      <c r="H8" s="176" t="str">
        <f t="shared" ref="H8:H21" si="0">IFERROR(AVERAGE(C8:G8),"")</f>
        <v/>
      </c>
    </row>
    <row r="9" spans="2:12" ht="13.5" customHeight="1" thickBot="1">
      <c r="B9" s="177" t="s">
        <v>257</v>
      </c>
      <c r="C9" s="620">
        <f>OP!C19</f>
        <v>7324317</v>
      </c>
      <c r="D9" s="621">
        <v>6697803.4000000004</v>
      </c>
      <c r="E9" s="621">
        <v>6971591.5</v>
      </c>
      <c r="F9" s="621">
        <v>6388924.2000000002</v>
      </c>
      <c r="G9" s="621">
        <v>1978040</v>
      </c>
      <c r="H9" s="192">
        <f t="shared" si="0"/>
        <v>5872135.2199999997</v>
      </c>
      <c r="K9" s="1051"/>
      <c r="L9" s="1051"/>
    </row>
    <row r="10" spans="2:12" ht="14.1" thickBot="1">
      <c r="B10" s="177" t="s">
        <v>258</v>
      </c>
      <c r="C10" s="674">
        <f>C54</f>
        <v>3981578</v>
      </c>
      <c r="D10" s="674">
        <f>D54</f>
        <v>3464289.3</v>
      </c>
      <c r="E10" s="675">
        <f>E54</f>
        <v>3148268.4</v>
      </c>
      <c r="F10" s="675">
        <f>F54</f>
        <v>2164367.6</v>
      </c>
      <c r="G10" s="675">
        <f>G54</f>
        <v>692443</v>
      </c>
      <c r="H10" s="193">
        <f t="shared" si="0"/>
        <v>2690189.26</v>
      </c>
      <c r="K10" s="1051"/>
      <c r="L10" s="1051"/>
    </row>
    <row r="11" spans="2:12" ht="16.5" customHeight="1" thickBot="1">
      <c r="B11" s="185" t="s">
        <v>259</v>
      </c>
      <c r="C11" s="191"/>
      <c r="D11" s="191"/>
      <c r="E11" s="191"/>
      <c r="F11" s="191"/>
      <c r="G11" s="191"/>
      <c r="H11" s="194" t="str">
        <f t="shared" si="0"/>
        <v/>
      </c>
      <c r="K11" s="1056"/>
      <c r="L11" s="1056"/>
    </row>
    <row r="12" spans="2:12" ht="14.1" thickBot="1">
      <c r="B12" s="177" t="s">
        <v>260</v>
      </c>
      <c r="C12" s="672">
        <f>C54/C53-1</f>
        <v>0.28061828705743719</v>
      </c>
      <c r="D12" s="614">
        <f>D54/D53-1</f>
        <v>-5.3866832499254502E-2</v>
      </c>
      <c r="E12" s="614">
        <f>E54/E53-1</f>
        <v>0.17451625937718873</v>
      </c>
      <c r="F12" s="614">
        <f>F54/F53-1</f>
        <v>3.1099766493662973E-2</v>
      </c>
      <c r="G12" s="614">
        <f>G54/G53-1</f>
        <v>0.11803190810878017</v>
      </c>
      <c r="H12" s="195">
        <f t="shared" si="0"/>
        <v>0.11007987770756292</v>
      </c>
      <c r="K12" s="1056"/>
      <c r="L12" s="1056"/>
    </row>
    <row r="13" spans="2:12" ht="14.1" thickBot="1">
      <c r="B13" s="177" t="s">
        <v>261</v>
      </c>
      <c r="C13" s="690">
        <f>C54/C52-1</f>
        <v>0.56121640352820545</v>
      </c>
      <c r="D13" s="673">
        <f>D54/D52-1</f>
        <v>0.47156480966788306</v>
      </c>
      <c r="E13" s="673">
        <f>E54/E52-1</f>
        <v>0.74663966966247886</v>
      </c>
      <c r="F13" s="673">
        <f>F54/F52-1</f>
        <v>0.68296098573038622</v>
      </c>
      <c r="G13" s="673">
        <f>G54/G52-1</f>
        <v>0.84528939450871299</v>
      </c>
      <c r="H13" s="196">
        <f t="shared" si="0"/>
        <v>0.66153425261953325</v>
      </c>
      <c r="K13" s="554"/>
      <c r="L13" s="554"/>
    </row>
    <row r="14" spans="2:12" ht="15" thickBot="1">
      <c r="B14" s="177" t="s">
        <v>132</v>
      </c>
      <c r="C14" s="795">
        <f>C57/C54</f>
        <v>9.1645322532925386E-2</v>
      </c>
      <c r="D14" s="615">
        <f>D57/D54</f>
        <v>9.6424337309242616E-2</v>
      </c>
      <c r="E14" s="615">
        <f>E57/E54</f>
        <v>9.7383247247915708E-2</v>
      </c>
      <c r="F14" s="615">
        <f>F57/F54</f>
        <v>0.15012884132991086</v>
      </c>
      <c r="G14" s="615">
        <f>G57/G54</f>
        <v>0.15147730571325005</v>
      </c>
      <c r="H14" s="196">
        <f t="shared" si="0"/>
        <v>0.11741181082664891</v>
      </c>
      <c r="J14" s="691"/>
      <c r="K14" s="692" t="s">
        <v>262</v>
      </c>
      <c r="L14" s="554"/>
    </row>
    <row r="15" spans="2:12" ht="14.1" thickBot="1">
      <c r="B15" s="177" t="s">
        <v>263</v>
      </c>
      <c r="C15" s="685">
        <f>C60/C54</f>
        <v>6.4736895773484779E-2</v>
      </c>
      <c r="D15" s="673">
        <f>D60/D54</f>
        <v>5.330931801798424E-2</v>
      </c>
      <c r="E15" s="673">
        <f>E60/E54</f>
        <v>9.8712263541443926E-2</v>
      </c>
      <c r="F15" s="673">
        <f>F60/F54</f>
        <v>0.11062446139001526</v>
      </c>
      <c r="G15" s="673">
        <f>G60/G54</f>
        <v>0.11491025254064234</v>
      </c>
      <c r="H15" s="196">
        <f t="shared" si="0"/>
        <v>8.8458638252714106E-2</v>
      </c>
      <c r="J15" s="797"/>
      <c r="K15" s="317"/>
    </row>
    <row r="16" spans="2:12" ht="14.1" thickBot="1">
      <c r="B16" s="177" t="s">
        <v>264</v>
      </c>
      <c r="C16" s="685">
        <f>C60/C71</f>
        <v>0.1173106147321069</v>
      </c>
      <c r="D16" s="615">
        <f>D60/D71</f>
        <v>8.1449820736997372E-2</v>
      </c>
      <c r="E16" s="615">
        <f>E60/E71</f>
        <v>0.25989385230142509</v>
      </c>
      <c r="F16" s="615">
        <f>F60/F71</f>
        <v>0.29787094282836568</v>
      </c>
      <c r="G16" s="615">
        <f>G60/G71</f>
        <v>8.8099471860225638</v>
      </c>
      <c r="H16" s="196">
        <f t="shared" si="0"/>
        <v>1.9132944833242918</v>
      </c>
      <c r="J16" s="693"/>
      <c r="K16" s="317"/>
    </row>
    <row r="17" spans="1:11" ht="14.1" thickBot="1">
      <c r="B17" s="177" t="s">
        <v>265</v>
      </c>
      <c r="C17" s="685">
        <f>(C60+C59)/(C70+C71)</f>
        <v>4.9756108253594278E-2</v>
      </c>
      <c r="D17" s="676">
        <f>(D60+D59)/(D70+D71)</f>
        <v>5.0868575700992263E-2</v>
      </c>
      <c r="E17" s="676">
        <f>(E60+E59)/(E70+E71)</f>
        <v>9.1447457402493895E-2</v>
      </c>
      <c r="F17" s="676">
        <f>(F60+F59)/(F70+F71)</f>
        <v>0.13003931729884335</v>
      </c>
      <c r="G17" s="676">
        <f>(G60+G59)/(G70+G71)</f>
        <v>0.22527380200007435</v>
      </c>
      <c r="H17" s="197">
        <f t="shared" si="0"/>
        <v>0.10947705213119963</v>
      </c>
      <c r="J17" s="694"/>
      <c r="K17" s="317" t="s">
        <v>266</v>
      </c>
    </row>
    <row r="18" spans="1:11" ht="17.100000000000001" thickBot="1">
      <c r="B18" s="185" t="s">
        <v>267</v>
      </c>
      <c r="C18" s="191"/>
      <c r="D18" s="191"/>
      <c r="E18" s="191"/>
      <c r="F18" s="191"/>
      <c r="G18" s="191"/>
      <c r="H18" s="198" t="str">
        <f t="shared" si="0"/>
        <v/>
      </c>
    </row>
    <row r="19" spans="1:11" ht="14.1" thickBot="1">
      <c r="B19" s="177" t="s">
        <v>75</v>
      </c>
      <c r="C19" s="688">
        <f>C70/C67</f>
        <v>0.18908599659547337</v>
      </c>
      <c r="D19" s="616">
        <f>D70/D67</f>
        <v>0.27222477615698087</v>
      </c>
      <c r="E19" s="616">
        <f>E70/E67</f>
        <v>0.35283822613012727</v>
      </c>
      <c r="F19" s="616">
        <f>F70/F67</f>
        <v>0.26987719512137126</v>
      </c>
      <c r="G19" s="616">
        <f>G70/G67</f>
        <v>0.60436725384939072</v>
      </c>
      <c r="H19" s="443">
        <f t="shared" si="0"/>
        <v>0.33767868957066871</v>
      </c>
    </row>
    <row r="20" spans="1:11" ht="14.1" thickBot="1">
      <c r="B20" s="177" t="s">
        <v>268</v>
      </c>
      <c r="C20" s="688">
        <f>(C70-C62)/C56</f>
        <v>0.36478578231494985</v>
      </c>
      <c r="D20" s="677">
        <f>(D70-D62)/D56</f>
        <v>2.9626845627239562</v>
      </c>
      <c r="E20" s="677">
        <f>(E70-E62)/E56</f>
        <v>2.3122377051389575</v>
      </c>
      <c r="F20" s="677">
        <f>(F70-F62)/F56</f>
        <v>1.5146809589019186</v>
      </c>
      <c r="G20" s="677">
        <f>(G70-G62)/G56</f>
        <v>2.1674100418733224</v>
      </c>
      <c r="H20" s="443">
        <f t="shared" si="0"/>
        <v>1.8643598101906211</v>
      </c>
    </row>
    <row r="21" spans="1:11" ht="14.1" thickBot="1">
      <c r="B21" s="177" t="s">
        <v>269</v>
      </c>
      <c r="C21" s="703">
        <f>-C56/C58</f>
        <v>61.578923253150059</v>
      </c>
      <c r="D21" s="618">
        <f>-D56/D58</f>
        <v>13.50812138135435</v>
      </c>
      <c r="E21" s="618">
        <f>-E56/E58</f>
        <v>11.762322137888592</v>
      </c>
      <c r="F21" s="618">
        <f>-F56/F58</f>
        <v>12.835534885037942</v>
      </c>
      <c r="G21" s="618">
        <f>-G56/G58</f>
        <v>15.441655512411042</v>
      </c>
      <c r="H21" s="443">
        <f t="shared" si="0"/>
        <v>23.025311433968398</v>
      </c>
    </row>
    <row r="22" spans="1:11" ht="17.100000000000001" thickBot="1">
      <c r="B22" s="185" t="s">
        <v>270</v>
      </c>
      <c r="C22" s="191"/>
      <c r="D22" s="191"/>
      <c r="E22" s="191"/>
      <c r="F22" s="191"/>
      <c r="G22" s="191"/>
      <c r="H22" s="445"/>
    </row>
    <row r="23" spans="1:11" ht="14.1" thickBot="1">
      <c r="B23" s="177" t="s">
        <v>271</v>
      </c>
      <c r="C23" s="796">
        <f>C65/C69</f>
        <v>1.6746338457801964</v>
      </c>
      <c r="D23" s="677">
        <f>D65/D69</f>
        <v>1.0284608860180586</v>
      </c>
      <c r="E23" s="677">
        <f>E65/E69</f>
        <v>1.6267244948649289</v>
      </c>
      <c r="F23" s="677">
        <f>F65/F69</f>
        <v>1.257358128179805</v>
      </c>
      <c r="G23" s="677">
        <f>G65/G69</f>
        <v>1.0487398141225333</v>
      </c>
      <c r="H23" s="446">
        <f t="shared" ref="H23:H40" si="1">IFERROR(AVERAGE(C23:G23),"")</f>
        <v>1.3271834337931045</v>
      </c>
    </row>
    <row r="24" spans="1:11" ht="14.1" thickBot="1">
      <c r="B24" s="177" t="s">
        <v>272</v>
      </c>
      <c r="C24" s="689">
        <f>(C62+C63)/C69</f>
        <v>0.90028227011131423</v>
      </c>
      <c r="D24" s="617">
        <f>(D62+D63)/D69</f>
        <v>0.6431508151621923</v>
      </c>
      <c r="E24" s="617">
        <f>(E62+E63)/E69</f>
        <v>1.1227141451161791</v>
      </c>
      <c r="F24" s="617">
        <f>(F62+F63)/F69</f>
        <v>0.72751178773732339</v>
      </c>
      <c r="G24" s="617">
        <f>(G62+G63)/G69</f>
        <v>0.51380671592468607</v>
      </c>
      <c r="H24" s="444">
        <f t="shared" si="1"/>
        <v>0.78149314681033899</v>
      </c>
    </row>
    <row r="25" spans="1:11" ht="17.100000000000001" thickBot="1">
      <c r="B25" s="185" t="s">
        <v>273</v>
      </c>
      <c r="C25" s="191"/>
      <c r="D25" s="191"/>
      <c r="E25" s="191"/>
      <c r="F25" s="191"/>
      <c r="G25" s="191"/>
      <c r="H25" s="445" t="str">
        <f t="shared" si="1"/>
        <v/>
      </c>
    </row>
    <row r="26" spans="1:11" ht="14.1" thickBot="1">
      <c r="B26" s="177" t="s">
        <v>274</v>
      </c>
      <c r="C26" s="701">
        <f>C55/C64</f>
        <v>2.6677545317365006</v>
      </c>
      <c r="D26" s="616">
        <f>D55/D64</f>
        <v>5.6646983323358224</v>
      </c>
      <c r="E26" s="616">
        <f>E55/E64</f>
        <v>5.9107080674138608</v>
      </c>
      <c r="F26" s="616">
        <f>F55/F64</f>
        <v>4.7713872980981211</v>
      </c>
      <c r="G26" s="616">
        <f>G55/G64</f>
        <v>3.9900713434941064</v>
      </c>
      <c r="H26" s="446">
        <f t="shared" si="1"/>
        <v>4.6009239146156826</v>
      </c>
    </row>
    <row r="27" spans="1:11" ht="14.1" thickBot="1">
      <c r="B27" s="177" t="s">
        <v>275</v>
      </c>
      <c r="C27" s="701">
        <f>C54/C63</f>
        <v>5.7944625146441382</v>
      </c>
      <c r="D27" s="678">
        <f>D54/D63</f>
        <v>4.3473843518527229</v>
      </c>
      <c r="E27" s="678">
        <f>E54/E63</f>
        <v>5.7575200737075294</v>
      </c>
      <c r="F27" s="678">
        <f>F54/F63</f>
        <v>5.776753583501149</v>
      </c>
      <c r="G27" s="678">
        <f>G54/G63</f>
        <v>5.6891878457441782</v>
      </c>
      <c r="H27" s="443">
        <f t="shared" si="1"/>
        <v>5.4730616738899442</v>
      </c>
    </row>
    <row r="28" spans="1:11" ht="14.1" thickBot="1">
      <c r="A28" s="11" t="s">
        <v>276</v>
      </c>
      <c r="B28" s="177" t="s">
        <v>277</v>
      </c>
      <c r="C28" s="702">
        <f>C55/C68</f>
        <v>7.514885990806671</v>
      </c>
      <c r="D28" s="617">
        <f>D55/D68</f>
        <v>3.9710212311065738</v>
      </c>
      <c r="E28" s="617">
        <f>E55/E68</f>
        <v>5.39682022346505</v>
      </c>
      <c r="F28" s="617">
        <f>F55/F68</f>
        <v>5.6979009358383692</v>
      </c>
      <c r="G28" s="617">
        <f>G55/G68</f>
        <v>7.2654788970373581</v>
      </c>
      <c r="H28" s="443">
        <f t="shared" si="1"/>
        <v>5.9692214556508043</v>
      </c>
    </row>
    <row r="29" spans="1:11" ht="14.1" thickBot="1">
      <c r="B29" s="177" t="s">
        <v>278</v>
      </c>
      <c r="C29" s="701">
        <f>C54/C66</f>
        <v>4.4193401587668042</v>
      </c>
      <c r="D29" s="678">
        <f>D54/D66</f>
        <v>5.9074035548549713</v>
      </c>
      <c r="E29" s="678">
        <f>E54/E66</f>
        <v>7.6243880182349741</v>
      </c>
      <c r="F29" s="678">
        <f>F54/F66</f>
        <v>10.302724903035646</v>
      </c>
      <c r="G29" s="678">
        <f>G54/G66</f>
        <v>5.8337173653521965</v>
      </c>
      <c r="H29" s="443">
        <f t="shared" si="1"/>
        <v>6.817514800048917</v>
      </c>
    </row>
    <row r="30" spans="1:11" ht="14.1" thickBot="1">
      <c r="B30" s="177" t="s">
        <v>279</v>
      </c>
      <c r="C30" s="797">
        <f>C54/C67</f>
        <v>0.92515618021963519</v>
      </c>
      <c r="D30" s="618">
        <f>D54/D67</f>
        <v>0.60094426410779689</v>
      </c>
      <c r="E30" s="618">
        <f>E54/E67</f>
        <v>0.83020087117775909</v>
      </c>
      <c r="F30" s="618">
        <f>F54/F67</f>
        <v>0.91085854837594449</v>
      </c>
      <c r="G30" s="618">
        <f>G54/G67</f>
        <v>1.6098346325438875</v>
      </c>
      <c r="H30" s="443">
        <f t="shared" si="1"/>
        <v>0.97539889928500456</v>
      </c>
    </row>
    <row r="31" spans="1:11" ht="17.100000000000001" thickBot="1">
      <c r="B31" s="186" t="s">
        <v>118</v>
      </c>
      <c r="C31" s="191"/>
      <c r="D31" s="191"/>
      <c r="E31" s="191"/>
      <c r="F31" s="191"/>
      <c r="G31" s="191"/>
      <c r="H31" s="199" t="str">
        <f t="shared" si="1"/>
        <v/>
      </c>
    </row>
    <row r="32" spans="1:11">
      <c r="B32" s="189" t="s">
        <v>280</v>
      </c>
      <c r="C32" s="686">
        <f>C9/C60</f>
        <v>28.415809586622956</v>
      </c>
      <c r="D32" s="680">
        <f>D9/D60</f>
        <v>36.267290957440188</v>
      </c>
      <c r="E32" s="680">
        <f>E9/E60</f>
        <v>22.433088556362897</v>
      </c>
      <c r="F32" s="680">
        <f>F9/F60</f>
        <v>26.683668849610747</v>
      </c>
      <c r="G32" s="680">
        <f>G9/G60</f>
        <v>24.859492665466867</v>
      </c>
      <c r="H32" s="446">
        <f t="shared" si="1"/>
        <v>27.731870123100727</v>
      </c>
    </row>
    <row r="33" spans="2:8">
      <c r="B33" s="190" t="s">
        <v>276</v>
      </c>
      <c r="C33" s="686">
        <f>C9/C54</f>
        <v>1.8395513035284001</v>
      </c>
      <c r="D33" s="619">
        <f>D9/D54</f>
        <v>1.933384547300943</v>
      </c>
      <c r="E33" s="619">
        <f>E9/E54</f>
        <v>2.2144209496242442</v>
      </c>
      <c r="F33" s="619">
        <f>F9/F54</f>
        <v>2.9518664943977169</v>
      </c>
      <c r="G33" s="619">
        <f>G9/G54</f>
        <v>2.8566105802210435</v>
      </c>
      <c r="H33" s="443">
        <f t="shared" si="1"/>
        <v>2.3591667750144696</v>
      </c>
    </row>
    <row r="34" spans="2:8" ht="14.1" thickBot="1">
      <c r="B34" s="190" t="s">
        <v>281</v>
      </c>
      <c r="C34" s="687">
        <f>C9/C71</f>
        <v>3.3334760907172352</v>
      </c>
      <c r="D34" s="679">
        <f>D9/D71</f>
        <v>2.9539643471000292</v>
      </c>
      <c r="E34" s="679">
        <f>E9/E71</f>
        <v>5.8302218039321678</v>
      </c>
      <c r="F34" s="679">
        <f>F9/F71</f>
        <v>7.948289598353445</v>
      </c>
      <c r="G34" s="679">
        <f>G9/G71</f>
        <v>219.01081745407839</v>
      </c>
      <c r="H34" s="443">
        <f t="shared" si="1"/>
        <v>47.815353858836254</v>
      </c>
    </row>
    <row r="35" spans="2:8" ht="14.1" thickBot="1">
      <c r="B35" s="190" t="s">
        <v>282</v>
      </c>
      <c r="C35" s="699">
        <f>(C9+C70-C62)/C54</f>
        <v>1.8888038862983469</v>
      </c>
      <c r="D35" s="798">
        <f t="shared" ref="D35:G35" si="2">(D9+D70-D62)/D54</f>
        <v>2.3106888041942693</v>
      </c>
      <c r="E35" s="798">
        <f t="shared" si="2"/>
        <v>2.4923642151984247</v>
      </c>
      <c r="F35" s="798">
        <f t="shared" si="2"/>
        <v>3.2056512950942349</v>
      </c>
      <c r="G35" s="798">
        <f t="shared" si="2"/>
        <v>3.2213229103334138</v>
      </c>
      <c r="H35" s="443">
        <f t="shared" si="1"/>
        <v>2.6237662222237375</v>
      </c>
    </row>
    <row r="36" spans="2:8">
      <c r="B36" s="188" t="s">
        <v>283</v>
      </c>
      <c r="C36" s="700">
        <f>(C9+C70-C62)/C56</f>
        <v>13.989292836096313</v>
      </c>
      <c r="D36" s="799">
        <f t="shared" ref="D36:G36" si="3">(D9+D70-D62)/D56</f>
        <v>18.144089085591592</v>
      </c>
      <c r="E36" s="799">
        <f t="shared" si="3"/>
        <v>20.734226106956321</v>
      </c>
      <c r="F36" s="799">
        <f t="shared" si="3"/>
        <v>19.132505036678271</v>
      </c>
      <c r="G36" s="799">
        <f t="shared" si="3"/>
        <v>19.14365665076928</v>
      </c>
      <c r="H36" s="444">
        <f t="shared" si="1"/>
        <v>18.228753943218358</v>
      </c>
    </row>
    <row r="37" spans="2:8" ht="15.95">
      <c r="B37" s="186" t="s">
        <v>284</v>
      </c>
      <c r="C37" s="191"/>
      <c r="D37" s="191"/>
      <c r="E37" s="191"/>
      <c r="F37" s="191"/>
      <c r="G37" s="191"/>
      <c r="H37" s="200" t="str">
        <f>IFERROR(AVERAGE(C37:G37),"")</f>
        <v/>
      </c>
    </row>
    <row r="38" spans="2:8">
      <c r="B38" s="177" t="s">
        <v>50</v>
      </c>
      <c r="C38" s="561">
        <f>OP!M17</f>
        <v>0.91467576791808869</v>
      </c>
      <c r="D38" s="561">
        <v>0.997</v>
      </c>
      <c r="E38" s="561">
        <v>0.98839999999999995</v>
      </c>
      <c r="F38" s="561">
        <v>0.99670000000000003</v>
      </c>
      <c r="G38" s="561">
        <v>0.98099999999999998</v>
      </c>
      <c r="H38" s="195">
        <f>IFERROR(AVERAGE(C38:G38),"")</f>
        <v>0.97555515358361777</v>
      </c>
    </row>
    <row r="39" spans="2:8">
      <c r="B39" s="177" t="s">
        <v>59</v>
      </c>
      <c r="C39" s="681">
        <f>OP!M19</f>
        <v>0.9</v>
      </c>
      <c r="D39" s="681">
        <v>1.24</v>
      </c>
      <c r="E39" s="681">
        <v>1.24</v>
      </c>
      <c r="F39" s="682">
        <v>1.21</v>
      </c>
      <c r="G39" s="681">
        <v>0.72</v>
      </c>
      <c r="H39" s="203">
        <f t="shared" si="1"/>
        <v>1.0619999999999998</v>
      </c>
    </row>
    <row r="40" spans="2:8">
      <c r="B40" s="177" t="s">
        <v>285</v>
      </c>
      <c r="C40" s="622">
        <v>8.3999999999999995E-3</v>
      </c>
      <c r="D40" s="623">
        <v>2.0299999999999999E-2</v>
      </c>
      <c r="E40" s="553">
        <v>1.2500000000000001E-2</v>
      </c>
      <c r="F40" s="623">
        <v>1.4E-2</v>
      </c>
      <c r="G40" s="553">
        <v>1.9300000000000001E-2</v>
      </c>
      <c r="H40" s="196">
        <f t="shared" si="1"/>
        <v>1.49E-2</v>
      </c>
    </row>
    <row r="41" spans="2:8" ht="15.95">
      <c r="B41" s="186" t="s">
        <v>286</v>
      </c>
      <c r="C41" s="191"/>
      <c r="D41" s="191"/>
      <c r="E41" s="191"/>
      <c r="F41" s="191"/>
      <c r="G41" s="191"/>
      <c r="H41" s="201"/>
    </row>
    <row r="42" spans="2:8">
      <c r="B42" s="177" t="s">
        <v>287</v>
      </c>
      <c r="C42" s="695">
        <f>(20200/C44)</f>
        <v>0.80719280719280717</v>
      </c>
      <c r="D42" s="683">
        <f ca="1">(69.19*114.14)/D44</f>
        <v>0.65665993660653543</v>
      </c>
      <c r="E42" s="683">
        <f ca="1">(45.03*114.14)/E44</f>
        <v>0.48252003659312898</v>
      </c>
      <c r="F42" s="683">
        <f ca="1">(184.97*114.14)/F44</f>
        <v>0.36370683345774985</v>
      </c>
      <c r="G42" s="683">
        <f>1313.5/G44</f>
        <v>0.6427697577685344</v>
      </c>
      <c r="H42" s="195">
        <f ca="1">IFERROR(AVERAGE(C42:G42),"")</f>
        <v>0.5905698743237513</v>
      </c>
    </row>
    <row r="43" spans="2:8" ht="14.1" thickBot="1">
      <c r="B43" s="177" t="s">
        <v>288</v>
      </c>
      <c r="C43" s="696">
        <f>22920/C44</f>
        <v>0.91588411588411589</v>
      </c>
      <c r="D43" s="626">
        <f ca="1">(74.8*114.14)/D44</f>
        <v>0.70990263416922761</v>
      </c>
      <c r="E43" s="626">
        <f ca="1">(36.53*114.14)/E44</f>
        <v>0.3914380843159449</v>
      </c>
      <c r="F43" s="626">
        <f ca="1">(153.24*114.14)/F44</f>
        <v>0.30131607914291825</v>
      </c>
      <c r="G43" s="626">
        <f>1557/G44</f>
        <v>0.76192806459505746</v>
      </c>
      <c r="H43" s="195">
        <f ca="1">IFERROR(AVERAGE(C43:G43),"")</f>
        <v>0.61609379562145283</v>
      </c>
    </row>
    <row r="44" spans="2:8" ht="14.1" thickBot="1">
      <c r="B44" s="177" t="s">
        <v>289</v>
      </c>
      <c r="C44" s="684">
        <f>OP!C17</f>
        <v>25025</v>
      </c>
      <c r="D44" s="684" cm="1">
        <f t="array" aca="1" ref="D44" ca="1">(_FV(D7,"Price"))*141.14</f>
        <v>12026.539399999998</v>
      </c>
      <c r="E44" s="684" cm="1">
        <f t="array" aca="1" ref="E44" ca="1">(_FV(E7,"Price"))*141.14</f>
        <v>10651.835799999999</v>
      </c>
      <c r="F44" s="684" cm="1">
        <f t="array" aca="1" ref="F44" ca="1">(_FV(F7,"Price"))*141.14</f>
        <v>58048.059199999989</v>
      </c>
      <c r="G44" s="684">
        <f>2043.5</f>
        <v>2043.5</v>
      </c>
      <c r="H44" s="728">
        <f ca="1">IFERROR(AVERAGE(C44:G44),"")</f>
        <v>21558.986879999997</v>
      </c>
    </row>
    <row r="45" spans="2:8" ht="14.1" thickBot="1">
      <c r="B45" s="177" t="s">
        <v>290</v>
      </c>
      <c r="C45" s="625">
        <v>28563.200000000001</v>
      </c>
      <c r="D45" s="625">
        <v>8401.8454000000002</v>
      </c>
      <c r="E45" s="625">
        <v>6055.1270000000004</v>
      </c>
      <c r="F45" s="624">
        <v>22539.2258</v>
      </c>
      <c r="G45" s="624">
        <v>2073.1</v>
      </c>
      <c r="H45" s="728">
        <f>IFERROR(AVERAGE(C45:G45),"")</f>
        <v>13526.49964</v>
      </c>
    </row>
    <row r="46" spans="2:8" ht="14.1" thickBot="1">
      <c r="B46" s="178" t="s">
        <v>291</v>
      </c>
      <c r="C46" s="744">
        <f>C45/C44-1</f>
        <v>0.14138661338661351</v>
      </c>
      <c r="D46" s="744">
        <f ca="1">D45/D44-1</f>
        <v>-0.30139127137437383</v>
      </c>
      <c r="E46" s="744">
        <f ca="1">E45/E44-1</f>
        <v>-0.43154146255239867</v>
      </c>
      <c r="F46" s="744">
        <f ca="1">F45/F44-1</f>
        <v>-0.61171439475103062</v>
      </c>
      <c r="G46" s="744">
        <f>G45/G44-1</f>
        <v>1.4484952287741493E-2</v>
      </c>
      <c r="H46" s="195">
        <f ca="1">IFERROR(AVERAGE(C46:G46),"")</f>
        <v>-0.2377551126006896</v>
      </c>
    </row>
    <row r="47" spans="2:8" ht="17.100000000000001" thickBot="1">
      <c r="B47" s="186" t="s">
        <v>292</v>
      </c>
      <c r="C47" s="191"/>
      <c r="D47" s="191"/>
      <c r="E47" s="191"/>
      <c r="F47" s="191"/>
      <c r="G47" s="191"/>
      <c r="H47" s="191"/>
    </row>
    <row r="48" spans="2:8" ht="14.1" thickBot="1">
      <c r="B48" s="177" t="s">
        <v>293</v>
      </c>
      <c r="C48" s="778">
        <f>83200</f>
        <v>83200</v>
      </c>
      <c r="D48" s="776">
        <f>42700</f>
        <v>42700</v>
      </c>
      <c r="E48" s="776">
        <f>70750</f>
        <v>70750</v>
      </c>
      <c r="F48" s="776">
        <f>211*147.37</f>
        <v>31095.07</v>
      </c>
      <c r="G48" s="776">
        <f>212300</f>
        <v>212300</v>
      </c>
      <c r="H48" s="777">
        <f>IFERROR(AVERAGE(C48:G48),"")</f>
        <v>88009.013999999996</v>
      </c>
    </row>
    <row r="49" spans="2:8" ht="14.1" thickBot="1">
      <c r="B49" s="177" t="s">
        <v>294</v>
      </c>
      <c r="C49" s="779">
        <f>C48/C10</f>
        <v>2.0896237622369824E-2</v>
      </c>
      <c r="D49" s="683">
        <f>D48/D10</f>
        <v>1.2325760438078887E-2</v>
      </c>
      <c r="E49" s="683">
        <f>E48/E10</f>
        <v>2.2472671008609051E-2</v>
      </c>
      <c r="F49" s="683">
        <f>F48/F10</f>
        <v>1.4366815507679933E-2</v>
      </c>
      <c r="G49" s="683">
        <f>G48/G10</f>
        <v>0.30659563314236693</v>
      </c>
      <c r="H49" s="195">
        <f>IFERROR(AVERAGE(C49:G49),"")</f>
        <v>7.5331423543820913E-2</v>
      </c>
    </row>
    <row r="50" spans="2:8" ht="51">
      <c r="B50" s="563" t="s">
        <v>295</v>
      </c>
      <c r="C50" s="562" t="str">
        <f>OP!E2</f>
        <v>Daikin Industries,Ltd. (6367.T)</v>
      </c>
      <c r="D50" s="410" t="e" vm="1">
        <v>#VALUE!</v>
      </c>
      <c r="E50" s="411" t="e" vm="2">
        <v>#VALUE!</v>
      </c>
      <c r="F50" s="412" t="e" vm="3">
        <f>F7</f>
        <v>#VALUE!</v>
      </c>
      <c r="G50" s="697" t="e" vm="4">
        <f>G7</f>
        <v>#VALUE!</v>
      </c>
    </row>
    <row r="51" spans="2:8" ht="14.1" thickBot="1">
      <c r="B51" s="179" t="s">
        <v>296</v>
      </c>
      <c r="C51" s="180"/>
      <c r="D51" s="180"/>
      <c r="E51" s="180"/>
      <c r="F51" s="180"/>
      <c r="G51" s="181"/>
      <c r="H51" s="627"/>
    </row>
    <row r="52" spans="2:8" ht="14.1" thickBot="1">
      <c r="B52" s="177" t="s">
        <v>297</v>
      </c>
      <c r="C52" s="608">
        <f>'Fin. Data'!E5</f>
        <v>2550305</v>
      </c>
      <c r="D52" s="608">
        <v>2354153.4</v>
      </c>
      <c r="E52" s="608">
        <v>1802471.6</v>
      </c>
      <c r="F52" s="608">
        <v>1286047.3999999999</v>
      </c>
      <c r="G52" s="609">
        <v>375249</v>
      </c>
    </row>
    <row r="53" spans="2:8" ht="14.1" thickBot="1">
      <c r="B53" s="177" t="s">
        <v>298</v>
      </c>
      <c r="C53" s="608">
        <f>'Fin. Data'!C5</f>
        <v>3109106</v>
      </c>
      <c r="D53" s="608">
        <v>3661524</v>
      </c>
      <c r="E53" s="608">
        <v>2680480.9</v>
      </c>
      <c r="F53" s="608">
        <v>2099086.5</v>
      </c>
      <c r="G53" s="609">
        <v>619341</v>
      </c>
    </row>
    <row r="54" spans="2:8" ht="14.1" thickBot="1">
      <c r="B54" s="177" t="s">
        <v>258</v>
      </c>
      <c r="C54" s="608">
        <f>'Fin. Data'!B5</f>
        <v>3981578</v>
      </c>
      <c r="D54" s="610">
        <v>3464289.3</v>
      </c>
      <c r="E54" s="698">
        <v>3148268.4</v>
      </c>
      <c r="F54" s="608">
        <v>2164367.6</v>
      </c>
      <c r="G54" s="609">
        <v>692443</v>
      </c>
    </row>
    <row r="55" spans="2:8" ht="14.1" thickBot="1">
      <c r="B55" s="177" t="s">
        <v>299</v>
      </c>
      <c r="C55" s="608">
        <f>'Fin. Data'!B5-'Fin. Data'!B7</f>
        <v>2650102</v>
      </c>
      <c r="D55" s="608">
        <v>2292355</v>
      </c>
      <c r="E55" s="608">
        <v>2301651</v>
      </c>
      <c r="F55" s="608">
        <v>1484693.5</v>
      </c>
      <c r="G55" s="609">
        <v>492778.2</v>
      </c>
    </row>
    <row r="56" spans="2:8" ht="14.1" thickBot="1">
      <c r="B56" s="177" t="s">
        <v>58</v>
      </c>
      <c r="C56" s="608">
        <f>'Fin. Data'!B19</f>
        <v>537584</v>
      </c>
      <c r="D56" s="608">
        <v>441184.7</v>
      </c>
      <c r="E56" s="608">
        <v>378438.6</v>
      </c>
      <c r="F56" s="608">
        <v>362639.8</v>
      </c>
      <c r="G56" s="609">
        <v>116518.1</v>
      </c>
    </row>
    <row r="57" spans="2:8" ht="14.1" thickBot="1">
      <c r="B57" s="177" t="s">
        <v>300</v>
      </c>
      <c r="C57" s="611">
        <f>'Fin. Data'!B11</f>
        <v>364893</v>
      </c>
      <c r="D57" s="608">
        <v>334041.8</v>
      </c>
      <c r="E57" s="608">
        <v>306588.59999999998</v>
      </c>
      <c r="F57" s="608">
        <v>324934</v>
      </c>
      <c r="G57" s="609">
        <v>104889.4</v>
      </c>
    </row>
    <row r="58" spans="2:8" ht="14.1" thickBot="1">
      <c r="B58" s="177" t="s">
        <v>301</v>
      </c>
      <c r="C58" s="611">
        <f>Inputs!B10</f>
        <v>-8730</v>
      </c>
      <c r="D58" s="608">
        <v>-32660.7</v>
      </c>
      <c r="E58" s="608">
        <v>-32173.8</v>
      </c>
      <c r="F58" s="639">
        <v>-28252.799999999999</v>
      </c>
      <c r="G58" s="609">
        <v>-7545.7</v>
      </c>
    </row>
    <row r="59" spans="2:8" ht="14.1" thickBot="1">
      <c r="B59" s="177" t="s">
        <v>302</v>
      </c>
      <c r="C59" s="611">
        <f>'Fin. Data'!B21</f>
        <v>-107941</v>
      </c>
      <c r="D59" s="608">
        <v>10488.6</v>
      </c>
      <c r="E59" s="608">
        <v>-79063.8</v>
      </c>
      <c r="F59" s="608">
        <v>-51513.599999999999</v>
      </c>
      <c r="G59" s="609">
        <v>-18972.400000000001</v>
      </c>
    </row>
    <row r="60" spans="2:8" ht="14.1" thickBot="1">
      <c r="B60" s="177" t="s">
        <v>71</v>
      </c>
      <c r="C60" s="611">
        <f>'Fin. Data'!B23</f>
        <v>257755</v>
      </c>
      <c r="D60" s="608">
        <v>184678.9</v>
      </c>
      <c r="E60" s="608">
        <v>310772.7</v>
      </c>
      <c r="F60" s="608">
        <v>239432</v>
      </c>
      <c r="G60" s="609">
        <v>79568.800000000003</v>
      </c>
    </row>
    <row r="61" spans="2:8" ht="14.1" thickBot="1">
      <c r="B61" s="182" t="s">
        <v>303</v>
      </c>
      <c r="C61" s="183"/>
      <c r="D61" s="183"/>
      <c r="E61" s="183"/>
      <c r="F61" s="183"/>
      <c r="G61" s="184"/>
    </row>
    <row r="62" spans="2:8" ht="14.1" thickBot="1">
      <c r="B62" s="177" t="s">
        <v>304</v>
      </c>
      <c r="C62" s="608">
        <f>'Fin. Data'!B39</f>
        <v>617663</v>
      </c>
      <c r="D62" s="608">
        <v>262214.8</v>
      </c>
      <c r="E62" s="608">
        <v>462984.9</v>
      </c>
      <c r="F62" s="608">
        <v>91994.3</v>
      </c>
      <c r="G62" s="609">
        <v>7415.8</v>
      </c>
    </row>
    <row r="63" spans="2:8" ht="14.1" thickBot="1">
      <c r="B63" s="177" t="s">
        <v>305</v>
      </c>
      <c r="C63" s="608">
        <f>'Fin. Data'!B40</f>
        <v>687135</v>
      </c>
      <c r="D63" s="608">
        <v>796867.5</v>
      </c>
      <c r="E63" s="608">
        <v>546809.80000000005</v>
      </c>
      <c r="F63" s="608">
        <v>374668.5</v>
      </c>
      <c r="G63" s="609">
        <v>121712.1</v>
      </c>
    </row>
    <row r="64" spans="2:8" ht="14.1" thickBot="1">
      <c r="B64" s="177" t="s">
        <v>306</v>
      </c>
      <c r="C64" s="608">
        <f>'Fin. Data'!B41</f>
        <v>993383</v>
      </c>
      <c r="D64" s="608">
        <v>404673.8</v>
      </c>
      <c r="E64" s="608">
        <v>389403.6</v>
      </c>
      <c r="F64" s="608">
        <v>311166</v>
      </c>
      <c r="G64" s="609">
        <v>123501.1</v>
      </c>
    </row>
    <row r="65" spans="2:7" ht="14.1" thickBot="1">
      <c r="B65" s="177" t="s">
        <v>307</v>
      </c>
      <c r="C65" s="608">
        <f>Inputs!B27</f>
        <v>2427082</v>
      </c>
      <c r="D65" s="608">
        <v>1693575.9</v>
      </c>
      <c r="E65" s="608">
        <v>1463113.1</v>
      </c>
      <c r="F65" s="608">
        <v>806533</v>
      </c>
      <c r="G65" s="609">
        <v>263565.2</v>
      </c>
    </row>
    <row r="66" spans="2:7" ht="14.1" thickBot="1">
      <c r="B66" s="177" t="s">
        <v>308</v>
      </c>
      <c r="C66" s="608">
        <f>'Fin. Data'!B42</f>
        <v>900944</v>
      </c>
      <c r="D66" s="608">
        <v>586431.80000000005</v>
      </c>
      <c r="E66" s="608">
        <v>412920.8</v>
      </c>
      <c r="F66" s="608">
        <v>210077.2</v>
      </c>
      <c r="G66" s="609">
        <v>118696.7</v>
      </c>
    </row>
    <row r="67" spans="2:7" ht="14.1" thickBot="1">
      <c r="B67" s="177" t="s">
        <v>46</v>
      </c>
      <c r="C67" s="608">
        <f>'Fin. Data'!B44</f>
        <v>4303682</v>
      </c>
      <c r="D67" s="608">
        <v>5764743.0999999996</v>
      </c>
      <c r="E67" s="608">
        <v>3792176.7</v>
      </c>
      <c r="F67" s="608">
        <v>2376184.1</v>
      </c>
      <c r="G67" s="609">
        <v>430133</v>
      </c>
    </row>
    <row r="68" spans="2:7" ht="14.1" thickBot="1">
      <c r="B68" s="177" t="s">
        <v>309</v>
      </c>
      <c r="C68" s="608">
        <f>Inputs!B43</f>
        <v>352647</v>
      </c>
      <c r="D68" s="608">
        <v>577270.9</v>
      </c>
      <c r="E68" s="608">
        <v>426482.8</v>
      </c>
      <c r="F68" s="608">
        <v>260568.5</v>
      </c>
      <c r="G68" s="609">
        <v>67824.600000000006</v>
      </c>
    </row>
    <row r="69" spans="2:7" ht="14.1" thickBot="1">
      <c r="B69" s="177" t="s">
        <v>310</v>
      </c>
      <c r="C69" s="608">
        <f>Inputs!B42</f>
        <v>1449321</v>
      </c>
      <c r="D69" s="608">
        <v>1646709.1</v>
      </c>
      <c r="E69" s="608">
        <v>899422.8</v>
      </c>
      <c r="F69" s="608">
        <v>641450.5</v>
      </c>
      <c r="G69" s="609">
        <v>251316.1</v>
      </c>
    </row>
    <row r="70" spans="2:7" ht="14.1" thickBot="1">
      <c r="B70" s="177" t="s">
        <v>311</v>
      </c>
      <c r="C70" s="608">
        <f>'Fin. Data'!B58</f>
        <v>813766</v>
      </c>
      <c r="D70" s="608">
        <v>1569305.9</v>
      </c>
      <c r="E70" s="608">
        <v>1338024.8999999999</v>
      </c>
      <c r="F70" s="608">
        <v>641277.9</v>
      </c>
      <c r="G70" s="609">
        <v>259958.3</v>
      </c>
    </row>
    <row r="71" spans="2:7" ht="14.1" thickBot="1">
      <c r="B71" s="178" t="s">
        <v>312</v>
      </c>
      <c r="C71" s="612">
        <f>'Fin. Data'!B64</f>
        <v>2197201</v>
      </c>
      <c r="D71" s="612">
        <v>2267394.7999999998</v>
      </c>
      <c r="E71" s="612">
        <v>1195767.8</v>
      </c>
      <c r="F71" s="612">
        <v>803811.2</v>
      </c>
      <c r="G71" s="613">
        <v>9031.7000000000007</v>
      </c>
    </row>
    <row r="73" spans="2:7" ht="40.35" customHeight="1" thickBot="1"/>
    <row r="74" spans="2:7" ht="51">
      <c r="C74" s="562" t="str">
        <f>C50</f>
        <v>Daikin Industries,Ltd. (6367.T)</v>
      </c>
      <c r="D74" s="410" t="e" vm="1">
        <v>#VALUE!</v>
      </c>
      <c r="E74" s="411" t="e" vm="2">
        <v>#VALUE!</v>
      </c>
      <c r="F74" s="412" t="e" vm="3">
        <v>#VALUE!</v>
      </c>
      <c r="G74" s="413" t="e" vm="4">
        <f>G7</f>
        <v>#VALUE!</v>
      </c>
    </row>
    <row r="75" spans="2:7" ht="42">
      <c r="B75" s="28" t="s">
        <v>313</v>
      </c>
      <c r="E75" s="549" t="s">
        <v>314</v>
      </c>
    </row>
  </sheetData>
  <mergeCells count="7">
    <mergeCell ref="K9:L10"/>
    <mergeCell ref="K11:L12"/>
    <mergeCell ref="D4:H4"/>
    <mergeCell ref="D1:H1"/>
    <mergeCell ref="D2:H2"/>
    <mergeCell ref="D3:H3"/>
    <mergeCell ref="D5:H5"/>
  </mergeCells>
  <phoneticPr fontId="106" type="noConversion"/>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EE964-93D3-4E7D-AADF-1BBB4993B16C}">
  <sheetPr>
    <tabColor rgb="FF00B050"/>
  </sheetPr>
  <dimension ref="A1:AF139"/>
  <sheetViews>
    <sheetView showGridLines="0" zoomScale="85" zoomScaleNormal="85" workbookViewId="0">
      <selection activeCell="J20" sqref="J20"/>
    </sheetView>
  </sheetViews>
  <sheetFormatPr defaultColWidth="11.42578125" defaultRowHeight="12.95"/>
  <cols>
    <col min="1" max="1" width="2.140625" style="85" customWidth="1"/>
    <col min="2" max="2" width="59.42578125" style="85" customWidth="1"/>
    <col min="3" max="4" width="12.85546875" style="85" customWidth="1"/>
    <col min="5" max="5" width="11.42578125" style="85" bestFit="1" customWidth="1"/>
    <col min="6" max="6" width="11" style="85" customWidth="1"/>
    <col min="7" max="7" width="10.42578125" style="85" customWidth="1"/>
    <col min="8" max="8" width="10.85546875" style="548" customWidth="1"/>
    <col min="9" max="9" width="22.42578125" style="548" customWidth="1"/>
    <col min="10" max="10" width="64.140625" style="85" customWidth="1"/>
    <col min="11" max="11" width="34.42578125" style="85" bestFit="1" customWidth="1"/>
    <col min="12" max="12" width="21.42578125" style="85" customWidth="1"/>
    <col min="13" max="13" width="19.85546875" style="85" customWidth="1"/>
    <col min="14" max="14" width="20.85546875" style="85" bestFit="1" customWidth="1"/>
    <col min="15" max="15" width="19.85546875" style="85" bestFit="1" customWidth="1"/>
    <col min="16" max="16" width="19.85546875" style="85" customWidth="1"/>
    <col min="17" max="17" width="22.42578125" style="85" bestFit="1" customWidth="1"/>
    <col min="18" max="18" width="14.85546875" style="85" bestFit="1" customWidth="1"/>
    <col min="19" max="19" width="10.42578125" style="85" customWidth="1"/>
    <col min="20" max="20" width="12.42578125" style="85" bestFit="1" customWidth="1"/>
    <col min="21" max="21" width="15.42578125" style="85" customWidth="1"/>
    <col min="22" max="22" width="18.140625" style="85" bestFit="1" customWidth="1"/>
    <col min="23" max="23" width="16.42578125" style="85" customWidth="1"/>
    <col min="24" max="24" width="17.42578125" style="85" bestFit="1" customWidth="1"/>
    <col min="25" max="26" width="17.85546875" style="85" customWidth="1"/>
    <col min="27" max="27" width="21.140625" style="85" customWidth="1"/>
    <col min="28" max="30" width="11.42578125" style="85"/>
    <col min="31" max="31" width="13" style="85" bestFit="1" customWidth="1"/>
    <col min="32" max="16384" width="11.42578125" style="85"/>
  </cols>
  <sheetData>
    <row r="1" spans="1:23">
      <c r="B1" s="215" t="s">
        <v>315</v>
      </c>
      <c r="C1" s="87"/>
      <c r="D1" s="87"/>
      <c r="E1" s="87"/>
      <c r="F1" s="87"/>
      <c r="G1" s="87"/>
      <c r="H1" s="545"/>
      <c r="I1" s="545"/>
      <c r="J1" s="87"/>
      <c r="T1" s="95" t="s">
        <v>316</v>
      </c>
    </row>
    <row r="2" spans="1:23" ht="14.1" thickBot="1">
      <c r="B2" s="91" t="s">
        <v>317</v>
      </c>
      <c r="C2" s="216" t="s">
        <v>318</v>
      </c>
      <c r="D2" s="87"/>
      <c r="E2" s="87"/>
      <c r="F2" s="87"/>
      <c r="G2" s="87"/>
      <c r="H2" s="545"/>
      <c r="I2" s="545"/>
      <c r="J2" s="87"/>
      <c r="T2" s="95" t="s">
        <v>319</v>
      </c>
    </row>
    <row r="3" spans="1:23" ht="21" thickBot="1">
      <c r="B3" s="1061" t="s">
        <v>320</v>
      </c>
      <c r="C3" s="1061"/>
      <c r="D3" s="1061"/>
      <c r="E3" s="1061"/>
      <c r="F3" s="1061"/>
      <c r="G3" s="1061"/>
      <c r="H3" s="1061"/>
      <c r="I3" s="1061"/>
      <c r="J3" s="1061"/>
      <c r="K3" s="1062" t="s">
        <v>321</v>
      </c>
      <c r="L3" s="1063"/>
      <c r="M3" s="1063"/>
      <c r="N3" s="1063"/>
      <c r="O3" s="1063"/>
      <c r="P3" s="1064"/>
    </row>
    <row r="4" spans="1:23" ht="45.95" thickBot="1">
      <c r="B4" s="206" t="s">
        <v>322</v>
      </c>
      <c r="C4" s="236" t="s">
        <v>323</v>
      </c>
      <c r="D4" s="236" t="s">
        <v>324</v>
      </c>
      <c r="E4" s="236" t="s">
        <v>325</v>
      </c>
      <c r="F4" s="236" t="s">
        <v>326</v>
      </c>
      <c r="G4" s="236" t="s">
        <v>327</v>
      </c>
      <c r="H4" s="599" t="s">
        <v>328</v>
      </c>
      <c r="I4" s="207" t="s">
        <v>329</v>
      </c>
      <c r="J4" s="208" t="s">
        <v>330</v>
      </c>
      <c r="K4" s="206" t="s">
        <v>322</v>
      </c>
      <c r="L4" s="666" t="str">
        <f>Peers!C7</f>
        <v>Daikin Industries,Ltd. (6367.T)</v>
      </c>
      <c r="M4" s="666" t="e" vm="1">
        <f>Peers!D7</f>
        <v>#VALUE!</v>
      </c>
      <c r="N4" s="666" t="e" vm="2">
        <f>Peers!E7</f>
        <v>#VALUE!</v>
      </c>
      <c r="O4" s="666" t="e" vm="3">
        <f>Peers!F7</f>
        <v>#VALUE!</v>
      </c>
      <c r="P4" s="666" t="e" vm="4">
        <f>Peers!G7</f>
        <v>#VALUE!</v>
      </c>
    </row>
    <row r="5" spans="1:23" ht="15" thickBot="1">
      <c r="A5" s="569"/>
      <c r="B5" s="217" t="s">
        <v>331</v>
      </c>
      <c r="C5" s="218"/>
      <c r="D5" s="219"/>
      <c r="E5" s="219"/>
      <c r="F5" s="219"/>
      <c r="G5" s="219"/>
      <c r="H5" s="546"/>
      <c r="I5" s="546"/>
      <c r="J5" s="220"/>
      <c r="K5" s="217" t="s">
        <v>332</v>
      </c>
      <c r="L5" s="219"/>
      <c r="M5" s="219"/>
      <c r="N5" s="219"/>
      <c r="O5" s="219"/>
      <c r="P5" s="220"/>
    </row>
    <row r="6" spans="1:23" ht="27.95">
      <c r="A6" s="569">
        <v>1</v>
      </c>
      <c r="B6" s="211" t="s">
        <v>333</v>
      </c>
      <c r="C6" s="209" t="str">
        <f>VLOOKUP($B$2,'[1]Sector Impact'!$K$4:$AA$16,A6+1,FALSE)</f>
        <v>Very High</v>
      </c>
      <c r="D6" s="209" t="s">
        <v>316</v>
      </c>
      <c r="E6" s="209" t="s">
        <v>334</v>
      </c>
      <c r="F6" s="221" t="s">
        <v>316</v>
      </c>
      <c r="G6" s="305"/>
      <c r="H6" s="597" t="s">
        <v>319</v>
      </c>
      <c r="I6" s="210" t="s">
        <v>335</v>
      </c>
      <c r="J6" s="210" t="s">
        <v>336</v>
      </c>
      <c r="K6" s="211" t="s">
        <v>337</v>
      </c>
      <c r="L6" s="750">
        <f>L12/L$11</f>
        <v>6.7865167671993173E-2</v>
      </c>
      <c r="M6" s="750">
        <f t="shared" ref="M6:P9" si="0">M12/M$11</f>
        <v>0.21884363338194962</v>
      </c>
      <c r="N6" s="750">
        <f t="shared" si="0"/>
        <v>0.14331639329261034</v>
      </c>
      <c r="O6" s="750">
        <f t="shared" si="0"/>
        <v>0.21966106036308616</v>
      </c>
      <c r="P6" s="750">
        <f t="shared" si="0"/>
        <v>1.8582643957971372</v>
      </c>
    </row>
    <row r="7" spans="1:23" s="87" customFormat="1" ht="27.95">
      <c r="A7" s="570">
        <v>2</v>
      </c>
      <c r="B7" s="211" t="s">
        <v>338</v>
      </c>
      <c r="C7" s="209" t="str">
        <f>VLOOKUP($B$2,'[1]Sector Impact'!$K$4:$AA$16,A7+1,FALSE)</f>
        <v>Very High</v>
      </c>
      <c r="D7" s="209" t="s">
        <v>316</v>
      </c>
      <c r="E7" s="209" t="s">
        <v>334</v>
      </c>
      <c r="F7" s="221" t="s">
        <v>316</v>
      </c>
      <c r="G7" s="309"/>
      <c r="H7" s="597" t="s">
        <v>319</v>
      </c>
      <c r="I7" s="597" t="s">
        <v>339</v>
      </c>
      <c r="J7" s="210" t="s">
        <v>340</v>
      </c>
      <c r="K7" s="211" t="s">
        <v>341</v>
      </c>
      <c r="L7" s="750">
        <f t="shared" ref="L7:O9" si="1">L13/L$11</f>
        <v>2.0359550301597951E-3</v>
      </c>
      <c r="M7" s="750">
        <f t="shared" si="1"/>
        <v>0.36494512516523847</v>
      </c>
      <c r="N7" s="750">
        <f t="shared" si="1"/>
        <v>3.6927042952959803E-4</v>
      </c>
      <c r="O7" s="750">
        <f t="shared" si="1"/>
        <v>1.446254654838165</v>
      </c>
      <c r="P7" s="750">
        <f t="shared" si="0"/>
        <v>6.031150220762436E-3</v>
      </c>
    </row>
    <row r="8" spans="1:23" ht="27.95">
      <c r="A8" s="569">
        <v>3</v>
      </c>
      <c r="B8" s="211" t="s">
        <v>342</v>
      </c>
      <c r="C8" s="209" t="str">
        <f>VLOOKUP($B$2,'[1]Sector Impact'!$K$4:$AA$16,A8+1,FALSE)</f>
        <v>Very High</v>
      </c>
      <c r="D8" s="209" t="s">
        <v>316</v>
      </c>
      <c r="E8" s="209" t="s">
        <v>343</v>
      </c>
      <c r="F8" s="221" t="s">
        <v>316</v>
      </c>
      <c r="G8" s="308"/>
      <c r="H8" s="597" t="s">
        <v>319</v>
      </c>
      <c r="I8" s="597" t="s">
        <v>339</v>
      </c>
      <c r="J8" s="210" t="s">
        <v>344</v>
      </c>
      <c r="K8" s="211" t="s">
        <v>345</v>
      </c>
      <c r="L8" s="750">
        <f t="shared" si="1"/>
        <v>5.3138310498258985</v>
      </c>
      <c r="M8" s="750">
        <f t="shared" si="1"/>
        <v>2.1205332270909625</v>
      </c>
      <c r="N8" s="750">
        <f t="shared" si="1"/>
        <v>1.631611783608846</v>
      </c>
      <c r="O8" s="750">
        <f t="shared" si="1"/>
        <v>1.4907932929975412</v>
      </c>
      <c r="P8" s="750">
        <f t="shared" si="0"/>
        <v>1.1860323921909561</v>
      </c>
    </row>
    <row r="9" spans="1:23" ht="27.95">
      <c r="A9" s="569">
        <v>4</v>
      </c>
      <c r="B9" s="211" t="s">
        <v>346</v>
      </c>
      <c r="C9" s="209" t="str">
        <f>VLOOKUP($B$2,'[1]Sector Impact'!$K$4:$AA$16,A9+1,FALSE)</f>
        <v>High</v>
      </c>
      <c r="D9" s="209" t="s">
        <v>316</v>
      </c>
      <c r="E9" s="209" t="s">
        <v>347</v>
      </c>
      <c r="F9" s="221" t="s">
        <v>316</v>
      </c>
      <c r="G9" s="308"/>
      <c r="H9" s="597" t="s">
        <v>319</v>
      </c>
      <c r="I9" s="597" t="s">
        <v>339</v>
      </c>
      <c r="J9" s="212" t="s">
        <v>348</v>
      </c>
      <c r="K9" s="211" t="s">
        <v>349</v>
      </c>
      <c r="L9" s="750">
        <f t="shared" si="1"/>
        <v>1.3284847798691971E-2</v>
      </c>
      <c r="M9" s="750">
        <f t="shared" si="1"/>
        <v>2.1336586982019422E-2</v>
      </c>
      <c r="N9" s="750">
        <f t="shared" si="1"/>
        <v>2.6152994751610176E-2</v>
      </c>
      <c r="O9" s="750">
        <f t="shared" si="1"/>
        <v>3.7682690487651845E-3</v>
      </c>
      <c r="P9" s="751">
        <f t="shared" si="0"/>
        <v>9.6275027598096655E-5</v>
      </c>
    </row>
    <row r="10" spans="1:23" ht="15" thickBot="1">
      <c r="A10" s="569">
        <v>5</v>
      </c>
      <c r="B10" s="211" t="s">
        <v>350</v>
      </c>
      <c r="C10" s="209" t="str">
        <f>VLOOKUP($B$2,'[1]Sector Impact'!$K$4:$AA$16,A10+1,FALSE)</f>
        <v>High</v>
      </c>
      <c r="D10" s="209" t="s">
        <v>316</v>
      </c>
      <c r="E10" s="209" t="s">
        <v>347</v>
      </c>
      <c r="F10" s="221" t="s">
        <v>316</v>
      </c>
      <c r="G10" s="305"/>
      <c r="H10" s="597" t="s">
        <v>339</v>
      </c>
      <c r="I10" s="597" t="s">
        <v>339</v>
      </c>
      <c r="J10" s="212" t="s">
        <v>351</v>
      </c>
      <c r="K10" s="217" t="s">
        <v>352</v>
      </c>
      <c r="L10" s="219"/>
      <c r="M10" s="219"/>
      <c r="N10" s="219"/>
      <c r="O10" s="219"/>
      <c r="P10" s="219"/>
      <c r="R10"/>
      <c r="U10" s="87"/>
      <c r="V10" s="87"/>
      <c r="W10" s="87"/>
    </row>
    <row r="11" spans="1:23" ht="15" thickBot="1">
      <c r="A11" s="569"/>
      <c r="B11" s="217" t="s">
        <v>353</v>
      </c>
      <c r="C11" s="214"/>
      <c r="D11" s="214"/>
      <c r="E11" s="222"/>
      <c r="F11" s="222"/>
      <c r="G11" s="223"/>
      <c r="H11" s="598"/>
      <c r="I11" s="598"/>
      <c r="J11" s="224"/>
      <c r="K11" s="211" t="s">
        <v>354</v>
      </c>
      <c r="L11" s="749">
        <f>M46</f>
        <v>3109106</v>
      </c>
      <c r="M11" s="749">
        <f>M47</f>
        <v>3345708.4800000004</v>
      </c>
      <c r="N11" s="749">
        <f>M48</f>
        <v>2913853.68</v>
      </c>
      <c r="O11" s="749">
        <f>M49</f>
        <v>1998264.9600000002</v>
      </c>
      <c r="P11" s="749">
        <f>M50</f>
        <v>4476758</v>
      </c>
      <c r="R11"/>
    </row>
    <row r="12" spans="1:23" ht="15" thickBot="1">
      <c r="A12" s="569">
        <v>6</v>
      </c>
      <c r="B12" s="211" t="s">
        <v>355</v>
      </c>
      <c r="C12" s="209" t="str">
        <f>VLOOKUP($B$2,'[1]Sector Impact'!$K$4:$AA$16,A12+1,FALSE)</f>
        <v>Low</v>
      </c>
      <c r="D12" s="209" t="s">
        <v>316</v>
      </c>
      <c r="E12" s="209" t="s">
        <v>334</v>
      </c>
      <c r="F12" s="221" t="s">
        <v>316</v>
      </c>
      <c r="G12" s="310"/>
      <c r="H12" s="597" t="s">
        <v>319</v>
      </c>
      <c r="I12" s="597" t="s">
        <v>339</v>
      </c>
      <c r="J12" s="227" t="s">
        <v>356</v>
      </c>
      <c r="K12" s="211" t="s">
        <v>357</v>
      </c>
      <c r="L12" s="729">
        <v>211000</v>
      </c>
      <c r="M12" s="729">
        <f>M76</f>
        <v>732187</v>
      </c>
      <c r="N12" s="729">
        <f>M78</f>
        <v>417603</v>
      </c>
      <c r="O12" s="729">
        <f>M80</f>
        <v>438941</v>
      </c>
      <c r="P12" s="729">
        <f>M82</f>
        <v>8319000</v>
      </c>
      <c r="R12"/>
    </row>
    <row r="13" spans="1:23" ht="29.1" thickBot="1">
      <c r="A13" s="569">
        <v>7</v>
      </c>
      <c r="B13" s="211" t="s">
        <v>358</v>
      </c>
      <c r="C13" s="209" t="str">
        <f>VLOOKUP($B$2,'[1]Sector Impact'!$K$4:$AA$16,A13+1,FALSE)</f>
        <v>Medium</v>
      </c>
      <c r="D13" s="209" t="s">
        <v>316</v>
      </c>
      <c r="E13" s="209" t="s">
        <v>334</v>
      </c>
      <c r="F13" s="221" t="s">
        <v>316</v>
      </c>
      <c r="G13" s="310"/>
      <c r="H13" s="597" t="s">
        <v>339</v>
      </c>
      <c r="I13" s="597" t="s">
        <v>339</v>
      </c>
      <c r="J13" s="227" t="s">
        <v>359</v>
      </c>
      <c r="K13" s="211" t="s">
        <v>360</v>
      </c>
      <c r="L13" s="729">
        <v>6330</v>
      </c>
      <c r="M13" s="729">
        <f>W59</f>
        <v>1221000</v>
      </c>
      <c r="N13" s="729">
        <f>W61</f>
        <v>1076</v>
      </c>
      <c r="O13" s="729">
        <f>W63</f>
        <v>2890000</v>
      </c>
      <c r="P13" s="729">
        <f>W65</f>
        <v>27000</v>
      </c>
      <c r="R13"/>
    </row>
    <row r="14" spans="1:23" ht="15" thickBot="1">
      <c r="A14" s="569">
        <v>8</v>
      </c>
      <c r="B14" s="228" t="s">
        <v>361</v>
      </c>
      <c r="C14" s="209" t="str">
        <f>VLOOKUP($B$2,'[1]Sector Impact'!$K$4:$AA$16,A14+1,FALSE)</f>
        <v>High</v>
      </c>
      <c r="D14" s="229" t="s">
        <v>316</v>
      </c>
      <c r="E14" s="229" t="s">
        <v>347</v>
      </c>
      <c r="F14" s="229" t="s">
        <v>316</v>
      </c>
      <c r="G14" s="309"/>
      <c r="H14" s="597" t="s">
        <v>339</v>
      </c>
      <c r="I14" s="597" t="s">
        <v>339</v>
      </c>
      <c r="J14" s="227" t="s">
        <v>362</v>
      </c>
      <c r="K14" s="211" t="s">
        <v>363</v>
      </c>
      <c r="L14" s="729">
        <v>16521264</v>
      </c>
      <c r="M14" s="729">
        <f>M59</f>
        <v>7094686</v>
      </c>
      <c r="N14" s="729">
        <f>M61</f>
        <v>4754278</v>
      </c>
      <c r="O14" s="729">
        <f>M63</f>
        <v>2979000</v>
      </c>
      <c r="P14" s="729">
        <f>M65</f>
        <v>5309580</v>
      </c>
      <c r="R14"/>
    </row>
    <row r="15" spans="1:23" ht="29.1" thickBot="1">
      <c r="A15" s="569">
        <v>9</v>
      </c>
      <c r="B15" s="228" t="s">
        <v>364</v>
      </c>
      <c r="C15" s="209" t="str">
        <f>VLOOKUP($B$2,'[1]Sector Impact'!$K$4:$AA$16,A15+1,FALSE)</f>
        <v>Very High</v>
      </c>
      <c r="D15" s="209" t="s">
        <v>316</v>
      </c>
      <c r="E15" s="209" t="s">
        <v>334</v>
      </c>
      <c r="F15" s="221" t="s">
        <v>316</v>
      </c>
      <c r="G15" s="305"/>
      <c r="H15" s="597" t="s">
        <v>319</v>
      </c>
      <c r="I15" s="597" t="s">
        <v>339</v>
      </c>
      <c r="J15" s="227" t="s">
        <v>365</v>
      </c>
      <c r="K15" s="211" t="s">
        <v>366</v>
      </c>
      <c r="L15" s="729">
        <v>41304</v>
      </c>
      <c r="M15" s="729">
        <f>W76</f>
        <v>71386</v>
      </c>
      <c r="N15" s="729">
        <f>W78</f>
        <v>76206</v>
      </c>
      <c r="O15" s="729">
        <f>W80</f>
        <v>7530</v>
      </c>
      <c r="P15" s="729">
        <f>W82</f>
        <v>431</v>
      </c>
      <c r="R15"/>
    </row>
    <row r="16" spans="1:23" ht="42" customHeight="1" thickBot="1">
      <c r="A16" s="569">
        <v>10</v>
      </c>
      <c r="B16" s="211" t="s">
        <v>367</v>
      </c>
      <c r="C16" s="209" t="str">
        <f>VLOOKUP($B$2,'[1]Sector Impact'!$K$4:$AA$16,A16+1,FALSE)</f>
        <v>Medium</v>
      </c>
      <c r="D16" s="229" t="s">
        <v>316</v>
      </c>
      <c r="E16" s="229" t="s">
        <v>347</v>
      </c>
      <c r="F16" s="229" t="s">
        <v>316</v>
      </c>
      <c r="G16" s="309"/>
      <c r="H16" s="597" t="s">
        <v>339</v>
      </c>
      <c r="I16" s="597" t="s">
        <v>339</v>
      </c>
      <c r="J16" s="227" t="s">
        <v>368</v>
      </c>
      <c r="K16" s="217" t="s">
        <v>369</v>
      </c>
      <c r="L16" s="219"/>
      <c r="M16" s="219"/>
      <c r="N16" s="219"/>
      <c r="O16" s="219"/>
      <c r="P16" s="220"/>
      <c r="R16"/>
    </row>
    <row r="17" spans="1:18" ht="42.95" thickBot="1">
      <c r="A17" s="569">
        <v>11</v>
      </c>
      <c r="B17" s="211" t="s">
        <v>370</v>
      </c>
      <c r="C17" s="209" t="str">
        <f>VLOOKUP($B$2,'[1]Sector Impact'!$K$4:$AA$16,A17+1,FALSE)</f>
        <v>Very High</v>
      </c>
      <c r="D17" s="209" t="s">
        <v>316</v>
      </c>
      <c r="E17" s="209" t="s">
        <v>334</v>
      </c>
      <c r="F17" s="221" t="s">
        <v>316</v>
      </c>
      <c r="G17" s="308"/>
      <c r="H17" s="597" t="s">
        <v>339</v>
      </c>
      <c r="I17" s="597" t="s">
        <v>339</v>
      </c>
      <c r="J17" s="227" t="s">
        <v>371</v>
      </c>
      <c r="K17" s="211" t="s">
        <v>372</v>
      </c>
      <c r="L17" s="729" t="s">
        <v>373</v>
      </c>
      <c r="M17" s="729" t="s">
        <v>374</v>
      </c>
      <c r="N17" s="729" t="s">
        <v>375</v>
      </c>
      <c r="O17" s="729" t="s">
        <v>376</v>
      </c>
      <c r="P17" s="729" t="s">
        <v>377</v>
      </c>
      <c r="R17"/>
    </row>
    <row r="18" spans="1:18" ht="14.1">
      <c r="A18" s="569">
        <v>12</v>
      </c>
      <c r="B18" s="211" t="s">
        <v>378</v>
      </c>
      <c r="C18" s="209" t="str">
        <f>VLOOKUP($B$2,'[1]Sector Impact'!$K$4:$AA$16,A18+1,FALSE)</f>
        <v>Medium</v>
      </c>
      <c r="D18" s="229" t="s">
        <v>316</v>
      </c>
      <c r="E18" s="229" t="s">
        <v>347</v>
      </c>
      <c r="F18" s="229" t="s">
        <v>316</v>
      </c>
      <c r="G18" s="305"/>
      <c r="H18" s="597" t="s">
        <v>339</v>
      </c>
      <c r="I18" s="597" t="s">
        <v>339</v>
      </c>
      <c r="J18" s="667" t="s">
        <v>351</v>
      </c>
      <c r="K18" s="211" t="s">
        <v>379</v>
      </c>
      <c r="L18" s="729" t="s">
        <v>380</v>
      </c>
      <c r="M18" s="729" t="s">
        <v>381</v>
      </c>
      <c r="N18" s="729" t="s">
        <v>382</v>
      </c>
      <c r="O18" s="729" t="s">
        <v>383</v>
      </c>
      <c r="P18" s="729" t="s">
        <v>384</v>
      </c>
    </row>
    <row r="19" spans="1:18" ht="24">
      <c r="A19" s="569">
        <v>13</v>
      </c>
      <c r="B19" s="211" t="s">
        <v>385</v>
      </c>
      <c r="C19" s="209" t="str">
        <f>VLOOKUP($B$2,'[1]Sector Impact'!$K$4:$AA$16,A19+1,FALSE)</f>
        <v>Very High</v>
      </c>
      <c r="D19" s="209" t="s">
        <v>316</v>
      </c>
      <c r="E19" s="209" t="s">
        <v>334</v>
      </c>
      <c r="F19" s="221" t="s">
        <v>316</v>
      </c>
      <c r="G19" s="309"/>
      <c r="H19" s="597" t="s">
        <v>339</v>
      </c>
      <c r="I19" s="736" t="s">
        <v>386</v>
      </c>
      <c r="J19" s="227" t="s">
        <v>387</v>
      </c>
      <c r="K19" s="211" t="s">
        <v>388</v>
      </c>
      <c r="L19" s="745" t="s">
        <v>389</v>
      </c>
      <c r="M19" s="745" t="s">
        <v>390</v>
      </c>
      <c r="N19" s="745" t="s">
        <v>389</v>
      </c>
      <c r="O19" s="745" t="s">
        <v>390</v>
      </c>
      <c r="P19" s="745" t="s">
        <v>389</v>
      </c>
      <c r="Q19" s="550"/>
    </row>
    <row r="20" spans="1:18" ht="36">
      <c r="A20" s="569">
        <v>14</v>
      </c>
      <c r="B20" s="211" t="s">
        <v>391</v>
      </c>
      <c r="C20" s="209" t="str">
        <f>VLOOKUP($B$2,'[1]Sector Impact'!$K$4:$AA$16,A20+1,FALSE)</f>
        <v>Very High</v>
      </c>
      <c r="D20" s="229" t="s">
        <v>316</v>
      </c>
      <c r="E20" s="229" t="s">
        <v>347</v>
      </c>
      <c r="F20" s="229" t="s">
        <v>316</v>
      </c>
      <c r="G20" s="309"/>
      <c r="H20" s="597" t="s">
        <v>339</v>
      </c>
      <c r="I20" s="736" t="s">
        <v>392</v>
      </c>
      <c r="J20" s="227" t="s">
        <v>393</v>
      </c>
      <c r="K20" s="211" t="s">
        <v>394</v>
      </c>
      <c r="L20" s="745" t="s">
        <v>395</v>
      </c>
      <c r="M20" s="745" t="s">
        <v>396</v>
      </c>
      <c r="N20" s="745" t="s">
        <v>397</v>
      </c>
      <c r="O20" s="745" t="s">
        <v>398</v>
      </c>
      <c r="P20" s="745" t="s">
        <v>399</v>
      </c>
      <c r="Q20" s="550"/>
    </row>
    <row r="21" spans="1:18" ht="14.1">
      <c r="A21" s="569">
        <v>15</v>
      </c>
      <c r="B21" s="211" t="s">
        <v>400</v>
      </c>
      <c r="C21" s="209" t="str">
        <f>VLOOKUP($B$2,'[1]Sector Impact'!$K$4:$AA$16,A21+1,FALSE)</f>
        <v>Very High</v>
      </c>
      <c r="D21" s="209" t="s">
        <v>316</v>
      </c>
      <c r="E21" s="209" t="s">
        <v>334</v>
      </c>
      <c r="F21" s="221" t="s">
        <v>319</v>
      </c>
      <c r="G21" s="309"/>
      <c r="H21" s="597" t="s">
        <v>339</v>
      </c>
      <c r="I21" s="597" t="s">
        <v>339</v>
      </c>
      <c r="J21" s="227" t="s">
        <v>401</v>
      </c>
      <c r="O21" s="737" t="s">
        <v>402</v>
      </c>
      <c r="P21" s="738">
        <v>141.36000000000001</v>
      </c>
    </row>
    <row r="22" spans="1:18" ht="27.95">
      <c r="A22" s="569">
        <v>16</v>
      </c>
      <c r="B22" s="211" t="s">
        <v>403</v>
      </c>
      <c r="C22" s="213" t="str">
        <f>VLOOKUP($B$2,'[1]Sector Impact'!$K$4:$AA$16,A22+1,FALSE)</f>
        <v>High</v>
      </c>
      <c r="D22" s="229" t="s">
        <v>316</v>
      </c>
      <c r="E22" s="229" t="s">
        <v>347</v>
      </c>
      <c r="F22" s="229" t="s">
        <v>316</v>
      </c>
      <c r="G22" s="309"/>
      <c r="H22" s="597" t="s">
        <v>339</v>
      </c>
      <c r="I22" s="597" t="s">
        <v>339</v>
      </c>
      <c r="J22" s="212" t="s">
        <v>404</v>
      </c>
    </row>
    <row r="23" spans="1:18" ht="14.1">
      <c r="A23" s="569"/>
      <c r="B23" s="217" t="s">
        <v>405</v>
      </c>
      <c r="C23" s="230"/>
      <c r="D23" s="214"/>
      <c r="E23" s="222"/>
      <c r="F23" s="222"/>
      <c r="G23" s="223"/>
      <c r="H23" s="598"/>
      <c r="I23" s="598"/>
      <c r="J23" s="746"/>
      <c r="K23" s="748"/>
      <c r="L23" s="747"/>
      <c r="M23" s="747"/>
      <c r="N23" s="747"/>
      <c r="O23" s="747"/>
      <c r="P23" s="747"/>
    </row>
    <row r="24" spans="1:18" ht="36">
      <c r="A24" s="569">
        <v>17</v>
      </c>
      <c r="B24" s="211" t="s">
        <v>406</v>
      </c>
      <c r="C24" s="231"/>
      <c r="D24" s="232"/>
      <c r="E24" s="226" t="s">
        <v>347</v>
      </c>
      <c r="F24" s="226" t="s">
        <v>316</v>
      </c>
      <c r="G24" s="305"/>
      <c r="H24" s="597" t="s">
        <v>339</v>
      </c>
      <c r="I24" s="736" t="s">
        <v>407</v>
      </c>
      <c r="J24" s="233" t="s">
        <v>408</v>
      </c>
    </row>
    <row r="25" spans="1:18" ht="14.1">
      <c r="A25" s="569">
        <v>18</v>
      </c>
      <c r="B25" s="211" t="s">
        <v>409</v>
      </c>
      <c r="C25" s="231"/>
      <c r="D25" s="232"/>
      <c r="E25" s="226" t="s">
        <v>347</v>
      </c>
      <c r="F25" s="226" t="s">
        <v>319</v>
      </c>
      <c r="G25" s="309"/>
      <c r="H25" s="597" t="s">
        <v>339</v>
      </c>
      <c r="I25" s="597" t="s">
        <v>339</v>
      </c>
      <c r="J25" s="227" t="s">
        <v>410</v>
      </c>
    </row>
    <row r="26" spans="1:18" ht="17.25" customHeight="1">
      <c r="A26" s="569">
        <v>19</v>
      </c>
      <c r="B26" s="580" t="s">
        <v>411</v>
      </c>
      <c r="C26" s="231"/>
      <c r="D26" s="232"/>
      <c r="E26" s="226" t="s">
        <v>347</v>
      </c>
      <c r="F26" s="226" t="s">
        <v>319</v>
      </c>
      <c r="G26" s="309"/>
      <c r="H26" s="597" t="s">
        <v>339</v>
      </c>
      <c r="I26" s="597" t="s">
        <v>339</v>
      </c>
      <c r="J26" s="233" t="s">
        <v>412</v>
      </c>
    </row>
    <row r="27" spans="1:18" ht="14.1">
      <c r="A27" s="569">
        <v>20</v>
      </c>
      <c r="B27" s="211" t="s">
        <v>413</v>
      </c>
      <c r="C27" s="231"/>
      <c r="D27" s="232"/>
      <c r="E27" s="226" t="s">
        <v>347</v>
      </c>
      <c r="F27" s="226" t="s">
        <v>319</v>
      </c>
      <c r="G27" s="309"/>
      <c r="H27" s="597" t="s">
        <v>339</v>
      </c>
      <c r="I27" s="597" t="s">
        <v>339</v>
      </c>
      <c r="J27" s="233" t="s">
        <v>414</v>
      </c>
    </row>
    <row r="28" spans="1:18" ht="27.95">
      <c r="A28" s="569">
        <v>21</v>
      </c>
      <c r="B28" s="211" t="s">
        <v>415</v>
      </c>
      <c r="C28" s="231"/>
      <c r="D28" s="232"/>
      <c r="E28" s="226" t="s">
        <v>347</v>
      </c>
      <c r="F28" s="226" t="s">
        <v>319</v>
      </c>
      <c r="G28" s="309"/>
      <c r="H28" s="597" t="s">
        <v>339</v>
      </c>
      <c r="I28" s="597" t="s">
        <v>339</v>
      </c>
      <c r="J28" s="227" t="s">
        <v>416</v>
      </c>
    </row>
    <row r="29" spans="1:18" ht="14.1">
      <c r="A29" s="569">
        <v>22</v>
      </c>
      <c r="B29" s="211" t="s">
        <v>417</v>
      </c>
      <c r="C29" s="231"/>
      <c r="D29" s="232"/>
      <c r="E29" s="226" t="s">
        <v>347</v>
      </c>
      <c r="F29" s="226" t="s">
        <v>316</v>
      </c>
      <c r="G29" s="309"/>
      <c r="H29" s="597" t="s">
        <v>339</v>
      </c>
      <c r="I29" s="597" t="s">
        <v>339</v>
      </c>
      <c r="J29" s="227" t="s">
        <v>418</v>
      </c>
    </row>
    <row r="30" spans="1:18" ht="26.1" customHeight="1">
      <c r="A30" s="569">
        <v>23</v>
      </c>
      <c r="B30" s="211" t="s">
        <v>419</v>
      </c>
      <c r="C30" s="231"/>
      <c r="D30" s="232"/>
      <c r="E30" s="226" t="s">
        <v>334</v>
      </c>
      <c r="F30" s="226" t="s">
        <v>319</v>
      </c>
      <c r="G30" s="309"/>
      <c r="H30" s="597" t="s">
        <v>339</v>
      </c>
      <c r="I30" s="597" t="s">
        <v>339</v>
      </c>
      <c r="J30" s="233" t="s">
        <v>420</v>
      </c>
    </row>
    <row r="31" spans="1:18" ht="27.95">
      <c r="A31" s="569">
        <v>24</v>
      </c>
      <c r="B31" s="234" t="s">
        <v>421</v>
      </c>
      <c r="C31" s="231"/>
      <c r="D31" s="232"/>
      <c r="E31" s="226" t="s">
        <v>334</v>
      </c>
      <c r="F31" s="226" t="s">
        <v>319</v>
      </c>
      <c r="G31" s="309"/>
      <c r="H31" s="597" t="s">
        <v>339</v>
      </c>
      <c r="I31" s="597" t="s">
        <v>339</v>
      </c>
      <c r="J31" s="225" t="s">
        <v>422</v>
      </c>
      <c r="N31" s="306"/>
    </row>
    <row r="32" spans="1:18" ht="14.1">
      <c r="A32" s="569">
        <v>25</v>
      </c>
      <c r="B32" s="211" t="s">
        <v>423</v>
      </c>
      <c r="C32" s="231"/>
      <c r="D32" s="226" t="s">
        <v>316</v>
      </c>
      <c r="E32" s="226" t="s">
        <v>334</v>
      </c>
      <c r="F32" s="226" t="s">
        <v>319</v>
      </c>
      <c r="G32" s="309"/>
      <c r="H32" s="597" t="s">
        <v>339</v>
      </c>
      <c r="I32" s="597" t="s">
        <v>339</v>
      </c>
      <c r="J32" s="227" t="s">
        <v>424</v>
      </c>
      <c r="N32" s="307"/>
    </row>
    <row r="33" spans="1:27" ht="14.1">
      <c r="A33" s="569">
        <v>26</v>
      </c>
      <c r="B33" s="211" t="s">
        <v>425</v>
      </c>
      <c r="C33" s="231"/>
      <c r="D33" s="226" t="s">
        <v>319</v>
      </c>
      <c r="E33" s="226" t="s">
        <v>334</v>
      </c>
      <c r="F33" s="226" t="s">
        <v>319</v>
      </c>
      <c r="G33" s="305"/>
      <c r="H33" s="597" t="s">
        <v>339</v>
      </c>
      <c r="I33" s="597" t="s">
        <v>339</v>
      </c>
      <c r="J33" s="227" t="s">
        <v>351</v>
      </c>
      <c r="T33" s="669"/>
    </row>
    <row r="34" spans="1:27" ht="14.1">
      <c r="A34" s="569">
        <v>27</v>
      </c>
      <c r="B34" s="211" t="s">
        <v>426</v>
      </c>
      <c r="C34" s="231"/>
      <c r="D34" s="235" t="s">
        <v>316</v>
      </c>
      <c r="E34" s="226" t="s">
        <v>347</v>
      </c>
      <c r="F34" s="226" t="s">
        <v>319</v>
      </c>
      <c r="G34" s="309"/>
      <c r="H34" s="597" t="s">
        <v>339</v>
      </c>
      <c r="I34" s="597" t="s">
        <v>339</v>
      </c>
      <c r="J34" s="227" t="s">
        <v>427</v>
      </c>
      <c r="T34" s="669"/>
    </row>
    <row r="35" spans="1:27">
      <c r="A35" s="569"/>
      <c r="B35" s="90"/>
      <c r="C35" s="90"/>
      <c r="D35" s="90"/>
      <c r="E35" s="90"/>
      <c r="F35" s="90"/>
      <c r="G35" s="90"/>
      <c r="H35" s="547"/>
      <c r="I35" s="547"/>
      <c r="J35" s="90"/>
      <c r="K35"/>
      <c r="L35" s="550"/>
      <c r="M35" s="550"/>
      <c r="T35" s="669"/>
    </row>
    <row r="36" spans="1:27">
      <c r="A36" s="569"/>
      <c r="B36" s="258" t="s">
        <v>428</v>
      </c>
      <c r="C36" s="237"/>
      <c r="D36" s="238"/>
      <c r="E36" s="90"/>
      <c r="F36" s="90"/>
      <c r="G36" s="90"/>
      <c r="H36" s="547"/>
      <c r="I36" s="547"/>
      <c r="J36" s="90"/>
      <c r="K36"/>
      <c r="L36" s="550"/>
      <c r="M36" s="550"/>
      <c r="T36" s="669"/>
    </row>
    <row r="37" spans="1:27" ht="27.95">
      <c r="A37" s="569"/>
      <c r="B37" s="753" t="s">
        <v>429</v>
      </c>
      <c r="C37" s="754" t="s">
        <v>430</v>
      </c>
      <c r="D37" s="755" t="s">
        <v>431</v>
      </c>
      <c r="E37" s="90"/>
      <c r="F37" s="90"/>
      <c r="G37" s="90"/>
      <c r="H37" s="547"/>
      <c r="I37" s="547"/>
      <c r="J37" s="90"/>
      <c r="K37"/>
      <c r="L37" s="550"/>
      <c r="M37" s="550"/>
      <c r="T37" s="669"/>
    </row>
    <row r="38" spans="1:27" ht="27.95">
      <c r="A38" s="569"/>
      <c r="B38" s="204" t="s">
        <v>432</v>
      </c>
      <c r="C38" s="205" t="s">
        <v>433</v>
      </c>
      <c r="D38" s="259" t="s">
        <v>434</v>
      </c>
      <c r="E38" s="90"/>
      <c r="F38" s="90"/>
      <c r="G38" s="90"/>
      <c r="H38" s="547"/>
      <c r="I38" s="547"/>
      <c r="J38" s="90"/>
      <c r="K38"/>
      <c r="L38" s="550"/>
      <c r="M38" s="550"/>
      <c r="T38" s="669"/>
    </row>
    <row r="39" spans="1:27">
      <c r="A39" s="569"/>
      <c r="B39" s="204" t="s">
        <v>334</v>
      </c>
      <c r="C39" s="205" t="s">
        <v>347</v>
      </c>
      <c r="D39" s="260"/>
      <c r="E39" s="90"/>
      <c r="F39" s="90"/>
      <c r="G39" s="90"/>
      <c r="H39" s="547"/>
      <c r="I39" s="547"/>
      <c r="J39" s="90"/>
      <c r="K39"/>
      <c r="L39" s="550"/>
      <c r="M39" s="550"/>
      <c r="T39" s="669"/>
    </row>
    <row r="40" spans="1:27">
      <c r="A40" s="569"/>
      <c r="B40" s="204" t="s">
        <v>435</v>
      </c>
      <c r="C40" s="205" t="s">
        <v>334</v>
      </c>
      <c r="D40" s="260"/>
      <c r="E40" s="90"/>
      <c r="F40" s="90"/>
      <c r="G40" s="90"/>
      <c r="H40" s="547"/>
      <c r="I40" s="547"/>
      <c r="J40" s="90"/>
      <c r="K40"/>
      <c r="L40" s="550"/>
      <c r="M40" s="550"/>
      <c r="T40" s="669"/>
    </row>
    <row r="41" spans="1:27">
      <c r="A41" s="569"/>
      <c r="B41" s="668" t="s">
        <v>436</v>
      </c>
      <c r="C41" s="752" t="s">
        <v>343</v>
      </c>
      <c r="D41" s="261"/>
      <c r="E41" s="90"/>
      <c r="F41" s="90"/>
      <c r="G41" s="90"/>
      <c r="H41" s="547"/>
      <c r="I41" s="547"/>
      <c r="J41" s="90"/>
      <c r="K41"/>
      <c r="L41" s="550"/>
      <c r="M41" s="550"/>
      <c r="T41" s="669"/>
    </row>
    <row r="42" spans="1:27">
      <c r="A42" s="569"/>
      <c r="B42" s="90"/>
      <c r="C42" s="90"/>
      <c r="D42" s="90"/>
      <c r="E42" s="90"/>
      <c r="F42" s="90"/>
      <c r="G42" s="90"/>
      <c r="H42" s="547"/>
      <c r="I42" s="547"/>
      <c r="J42" s="90"/>
      <c r="K42"/>
      <c r="L42" s="550"/>
      <c r="M42" s="550"/>
      <c r="T42" s="669"/>
    </row>
    <row r="43" spans="1:27" ht="409.5" customHeight="1">
      <c r="B43" s="576"/>
      <c r="C43" s="550"/>
      <c r="D43" s="550"/>
      <c r="K43"/>
      <c r="L43"/>
      <c r="N43"/>
      <c r="O43"/>
      <c r="P43"/>
      <c r="Q43"/>
      <c r="R43"/>
      <c r="S43"/>
      <c r="T43"/>
      <c r="U43"/>
      <c r="V43"/>
      <c r="W43"/>
      <c r="X43"/>
      <c r="Y43"/>
      <c r="Z43"/>
    </row>
    <row r="44" spans="1:27">
      <c r="B44" s="550"/>
      <c r="C44" s="550"/>
      <c r="D44" s="550"/>
      <c r="M44" s="1065" t="s">
        <v>437</v>
      </c>
      <c r="N44" s="1066"/>
      <c r="O44" s="1066"/>
      <c r="P44" s="1066"/>
      <c r="Q44" s="1067"/>
      <c r="R44"/>
      <c r="S44"/>
      <c r="T44"/>
      <c r="U44"/>
      <c r="V44"/>
      <c r="W44"/>
      <c r="X44"/>
      <c r="Y44"/>
      <c r="Z44"/>
    </row>
    <row r="45" spans="1:27">
      <c r="B45" s="550"/>
      <c r="C45"/>
      <c r="D45"/>
      <c r="E45"/>
      <c r="F45"/>
      <c r="G45"/>
      <c r="H45" s="549"/>
      <c r="I45" s="549"/>
      <c r="J45"/>
      <c r="L45" s="573"/>
      <c r="M45" s="575" t="s">
        <v>438</v>
      </c>
      <c r="N45" s="575" t="s">
        <v>439</v>
      </c>
      <c r="O45" s="575" t="s">
        <v>440</v>
      </c>
      <c r="P45" s="575" t="s">
        <v>441</v>
      </c>
      <c r="Q45" s="575" t="s">
        <v>442</v>
      </c>
      <c r="AA45"/>
    </row>
    <row r="46" spans="1:27" ht="27.95">
      <c r="B46" s="550"/>
      <c r="C46"/>
      <c r="D46"/>
      <c r="E46"/>
      <c r="F46"/>
      <c r="G46"/>
      <c r="H46" s="549"/>
      <c r="I46" s="549"/>
      <c r="J46"/>
      <c r="L46" s="670" t="str">
        <f>Peers!C7</f>
        <v>Daikin Industries,Ltd. (6367.T)</v>
      </c>
      <c r="M46" s="730">
        <v>3109106</v>
      </c>
      <c r="N46" s="730">
        <v>2493386</v>
      </c>
      <c r="O46" s="730">
        <v>2550305</v>
      </c>
      <c r="P46" s="730">
        <v>2481109</v>
      </c>
      <c r="Q46" s="730">
        <v>2290560</v>
      </c>
      <c r="AA46"/>
    </row>
    <row r="47" spans="1:27" ht="42">
      <c r="B47" s="550"/>
      <c r="C47" s="550"/>
      <c r="D47" s="550"/>
      <c r="L47" s="670" t="e" vm="1">
        <v>#VALUE!</v>
      </c>
      <c r="M47" s="730">
        <f>23668*P21</f>
        <v>3345708.4800000004</v>
      </c>
      <c r="N47" s="730">
        <f>22317*P21</f>
        <v>3154731.12</v>
      </c>
      <c r="O47" s="730">
        <f>23968*P21</f>
        <v>3388116.4800000004</v>
      </c>
      <c r="P47" s="731"/>
      <c r="Q47" s="732"/>
    </row>
    <row r="48" spans="1:27" ht="42">
      <c r="B48" s="550"/>
      <c r="C48" s="550"/>
      <c r="D48" s="550"/>
      <c r="L48" s="670" t="e" vm="2">
        <v>#VALUE!</v>
      </c>
      <c r="M48" s="730">
        <f>20613*P21</f>
        <v>2913853.68</v>
      </c>
      <c r="N48" s="730">
        <f>17456*P21</f>
        <v>2467580.16</v>
      </c>
      <c r="O48" s="730">
        <f>18608*P21</f>
        <v>2630426.8800000004</v>
      </c>
      <c r="P48" s="733"/>
      <c r="Q48" s="734"/>
    </row>
    <row r="49" spans="12:31" ht="27.95">
      <c r="L49" s="670" t="e" vm="3">
        <v>#VALUE!</v>
      </c>
      <c r="M49" s="730">
        <f>14136*P21</f>
        <v>1998264.9600000002</v>
      </c>
      <c r="N49" s="730">
        <f>12454*P21</f>
        <v>1760497.4400000002</v>
      </c>
      <c r="O49" s="730">
        <f>16598*P21</f>
        <v>2346293.2800000003</v>
      </c>
      <c r="P49" s="733"/>
      <c r="Q49" s="734"/>
    </row>
    <row r="50" spans="12:31" ht="27.95">
      <c r="L50" s="670" t="s">
        <v>443</v>
      </c>
      <c r="M50" s="730">
        <v>4476758</v>
      </c>
      <c r="N50" s="730">
        <v>4191433</v>
      </c>
      <c r="O50" s="730">
        <v>4462509</v>
      </c>
      <c r="P50" s="733"/>
      <c r="Q50" s="734"/>
    </row>
    <row r="51" spans="12:31">
      <c r="L51" s="572"/>
      <c r="M51" s="572"/>
      <c r="N51" s="572"/>
      <c r="O51" s="572"/>
    </row>
    <row r="55" spans="12:31">
      <c r="M55" s="1065" t="s">
        <v>363</v>
      </c>
      <c r="N55" s="1066"/>
      <c r="O55" s="1066"/>
      <c r="P55" s="1066"/>
      <c r="Q55" s="1067"/>
      <c r="W55" s="1065" t="s">
        <v>360</v>
      </c>
      <c r="X55" s="1066"/>
      <c r="Y55" s="1066"/>
      <c r="Z55" s="1066"/>
      <c r="AA55" s="1067"/>
      <c r="AB55" s="551"/>
      <c r="AC55" s="551"/>
    </row>
    <row r="56" spans="12:31">
      <c r="L56" s="573"/>
      <c r="M56" s="575">
        <v>2021</v>
      </c>
      <c r="N56" s="575">
        <v>2020</v>
      </c>
      <c r="O56" s="575">
        <v>2019</v>
      </c>
      <c r="P56" s="575">
        <v>2018</v>
      </c>
      <c r="Q56" s="575">
        <v>2017</v>
      </c>
      <c r="V56" s="573"/>
      <c r="W56" s="575">
        <v>2021</v>
      </c>
      <c r="X56" s="575">
        <v>2020</v>
      </c>
      <c r="Y56" s="575">
        <v>2019</v>
      </c>
      <c r="Z56" s="575">
        <v>2018</v>
      </c>
      <c r="AA56" s="575">
        <v>2017</v>
      </c>
      <c r="AB56" s="564"/>
      <c r="AC56" s="564"/>
    </row>
    <row r="57" spans="12:31" ht="42">
      <c r="L57" s="670" t="s">
        <v>444</v>
      </c>
      <c r="M57" s="571">
        <v>16521264</v>
      </c>
      <c r="N57" s="571">
        <v>14108119</v>
      </c>
      <c r="O57" s="571">
        <v>14991148</v>
      </c>
      <c r="P57" s="571">
        <v>15079769</v>
      </c>
      <c r="Q57" s="571">
        <v>14738297</v>
      </c>
      <c r="R57" s="705">
        <f>(M57-N57)/N57</f>
        <v>0.1710465441920358</v>
      </c>
      <c r="S57" s="706">
        <f>(N57-O57)/O57</f>
        <v>-5.8903360836675085E-2</v>
      </c>
      <c r="T57" s="706">
        <f>(O57-P57)/P57</f>
        <v>-5.8768141607474225E-3</v>
      </c>
      <c r="U57" s="706">
        <f>(P57-Q57)/Q57</f>
        <v>2.3169026923531261E-2</v>
      </c>
      <c r="V57" s="670" t="s">
        <v>444</v>
      </c>
      <c r="W57" s="571">
        <v>6330</v>
      </c>
      <c r="X57" s="571">
        <v>6030</v>
      </c>
      <c r="Y57" s="571">
        <v>6530</v>
      </c>
      <c r="Z57" s="571">
        <v>6950</v>
      </c>
      <c r="AA57" s="571">
        <v>6600</v>
      </c>
      <c r="AB57" s="705">
        <f>(W57-X57)/X57</f>
        <v>4.975124378109453E-2</v>
      </c>
      <c r="AC57" s="706">
        <f>(X57-Y57)/Y57</f>
        <v>-7.6569678407350683E-2</v>
      </c>
      <c r="AD57" s="706">
        <f>(Y57-Z57)/Z57</f>
        <v>-6.0431654676258995E-2</v>
      </c>
      <c r="AE57" s="706">
        <f>(Z57-AA57)/AA57</f>
        <v>5.3030303030303032E-2</v>
      </c>
    </row>
    <row r="58" spans="12:31">
      <c r="L58" s="577" t="s">
        <v>240</v>
      </c>
      <c r="M58" s="578">
        <f>M57/M46</f>
        <v>5.3138310498258985</v>
      </c>
      <c r="N58" s="578">
        <f>N57/N46</f>
        <v>5.6582169788392171</v>
      </c>
      <c r="O58" s="578">
        <f>O57/O46</f>
        <v>5.878178492376402</v>
      </c>
      <c r="P58" s="578">
        <f>P57/P46</f>
        <v>6.0778341459403835</v>
      </c>
      <c r="Q58" s="578">
        <f>Q57/Q46</f>
        <v>6.4343640856384461</v>
      </c>
      <c r="V58" s="577" t="s">
        <v>240</v>
      </c>
      <c r="W58" s="579">
        <f>W57/M46</f>
        <v>2.0359550301597951E-3</v>
      </c>
      <c r="X58" s="579">
        <f>X57/N46</f>
        <v>2.418398114050532E-3</v>
      </c>
      <c r="Y58" s="579">
        <f>Y57/O46</f>
        <v>2.5604780604672776E-3</v>
      </c>
      <c r="Z58" s="579">
        <f>Z57/P46</f>
        <v>2.8011667363263765E-3</v>
      </c>
      <c r="AA58" s="579">
        <f>AA57/Q46</f>
        <v>2.8813914501257336E-3</v>
      </c>
      <c r="AB58" s="551"/>
      <c r="AC58" s="551"/>
    </row>
    <row r="59" spans="12:31" ht="56.1">
      <c r="L59" s="670" t="e" vm="1">
        <v>#VALUE!</v>
      </c>
      <c r="M59" s="712">
        <v>7094686</v>
      </c>
      <c r="N59" s="712">
        <v>7484324</v>
      </c>
      <c r="O59" s="712">
        <v>8107715</v>
      </c>
      <c r="P59" s="708"/>
      <c r="Q59" s="709"/>
      <c r="R59" s="565"/>
      <c r="S59" s="565"/>
      <c r="V59" s="670" t="e" vm="1">
        <v>#VALUE!</v>
      </c>
      <c r="W59" s="571">
        <v>1221000</v>
      </c>
      <c r="X59" s="571">
        <v>1241000</v>
      </c>
      <c r="Y59" s="571">
        <v>938000</v>
      </c>
      <c r="Z59" s="708"/>
      <c r="AA59" s="709"/>
      <c r="AB59" s="551"/>
      <c r="AC59" s="551"/>
    </row>
    <row r="60" spans="12:31" ht="14.1">
      <c r="L60" s="671" t="s">
        <v>240</v>
      </c>
      <c r="M60" s="578">
        <f>M59/M47</f>
        <v>2.1205332270909625</v>
      </c>
      <c r="N60" s="578">
        <f>N59/N47</f>
        <v>2.3724126447898355</v>
      </c>
      <c r="O60" s="578">
        <f>O59/O47</f>
        <v>2.3929859105670412</v>
      </c>
      <c r="P60" s="710"/>
      <c r="Q60" s="711"/>
      <c r="R60" s="550"/>
      <c r="S60" s="550"/>
      <c r="V60" s="671" t="s">
        <v>240</v>
      </c>
      <c r="W60" s="704">
        <f>W59/M47</f>
        <v>0.36494512516523847</v>
      </c>
      <c r="X60" s="704">
        <f>X59/N47</f>
        <v>0.39337742355678157</v>
      </c>
      <c r="Y60" s="704">
        <f>Y59/O47</f>
        <v>0.27684998598395288</v>
      </c>
      <c r="Z60" s="710"/>
      <c r="AA60" s="711"/>
      <c r="AB60" s="551"/>
      <c r="AC60" s="551"/>
    </row>
    <row r="61" spans="12:31" ht="42">
      <c r="L61" s="670" t="e" vm="2">
        <v>#VALUE!</v>
      </c>
      <c r="M61" s="712">
        <v>4754278</v>
      </c>
      <c r="N61" s="712">
        <v>4194215</v>
      </c>
      <c r="O61" s="712">
        <v>4217538</v>
      </c>
      <c r="P61" s="710"/>
      <c r="Q61" s="711"/>
      <c r="R61" s="551"/>
      <c r="S61" s="551"/>
      <c r="V61" s="670" t="e" vm="2">
        <v>#VALUE!</v>
      </c>
      <c r="W61" s="571">
        <v>1076</v>
      </c>
      <c r="X61" s="571">
        <v>967</v>
      </c>
      <c r="Y61" s="571">
        <v>1135</v>
      </c>
      <c r="Z61" s="710"/>
      <c r="AA61" s="711"/>
      <c r="AB61" s="551"/>
      <c r="AC61" s="551"/>
    </row>
    <row r="62" spans="12:31" ht="14.1">
      <c r="L62" s="671" t="s">
        <v>240</v>
      </c>
      <c r="M62" s="578">
        <f>M61/M48</f>
        <v>1.631611783608846</v>
      </c>
      <c r="N62" s="578">
        <f>N61/N48</f>
        <v>1.6997279634473961</v>
      </c>
      <c r="O62" s="578">
        <f>O61/O48</f>
        <v>1.6033663707086203</v>
      </c>
      <c r="P62" s="710"/>
      <c r="Q62" s="711"/>
      <c r="S62" s="551"/>
      <c r="V62" s="671" t="s">
        <v>240</v>
      </c>
      <c r="W62" s="707">
        <f>W61/M48</f>
        <v>3.6927042952959803E-4</v>
      </c>
      <c r="X62" s="707">
        <f>X61/N48</f>
        <v>3.9188189939085905E-4</v>
      </c>
      <c r="Y62" s="707">
        <f>Y61/O48</f>
        <v>4.314888996268164E-4</v>
      </c>
      <c r="Z62" s="710"/>
      <c r="AA62" s="711"/>
      <c r="AB62" s="551"/>
      <c r="AC62" s="551"/>
    </row>
    <row r="63" spans="12:31" ht="42">
      <c r="L63" s="670" t="e" vm="3">
        <v>#VALUE!</v>
      </c>
      <c r="M63" s="712">
        <v>2979000</v>
      </c>
      <c r="N63" s="712">
        <v>2861000</v>
      </c>
      <c r="O63" s="712">
        <v>3075000</v>
      </c>
      <c r="P63" s="710"/>
      <c r="Q63" s="711"/>
      <c r="S63" s="551"/>
      <c r="V63" s="670" t="e" vm="3">
        <v>#VALUE!</v>
      </c>
      <c r="W63" s="571">
        <v>2890000</v>
      </c>
      <c r="X63" s="571">
        <v>2780000</v>
      </c>
      <c r="Y63" s="571">
        <v>2940000</v>
      </c>
      <c r="Z63" s="710"/>
      <c r="AA63" s="711"/>
      <c r="AB63" s="551"/>
      <c r="AC63" s="551"/>
    </row>
    <row r="64" spans="12:31" ht="14.1">
      <c r="L64" s="671" t="s">
        <v>240</v>
      </c>
      <c r="M64" s="578">
        <f>M63/M49</f>
        <v>1.4907932929975412</v>
      </c>
      <c r="N64" s="578">
        <f>N63/N49</f>
        <v>1.6251088669575116</v>
      </c>
      <c r="O64" s="578">
        <f>O63/O49</f>
        <v>1.3105778489891082</v>
      </c>
      <c r="P64" s="710"/>
      <c r="Q64" s="711"/>
      <c r="R64" s="551"/>
      <c r="S64" s="551"/>
      <c r="V64" s="671" t="s">
        <v>240</v>
      </c>
      <c r="W64" s="704">
        <f>W63/M49</f>
        <v>1.446254654838165</v>
      </c>
      <c r="X64" s="704">
        <f>X63/N49</f>
        <v>1.5790991437056561</v>
      </c>
      <c r="Y64" s="704">
        <f>Y63/O49</f>
        <v>1.2530402848871476</v>
      </c>
      <c r="Z64" s="710"/>
      <c r="AA64" s="711"/>
      <c r="AB64" s="551"/>
      <c r="AC64" s="551"/>
    </row>
    <row r="65" spans="2:32" ht="27.95">
      <c r="L65" s="670" t="s">
        <v>443</v>
      </c>
      <c r="M65" s="571">
        <v>5309580</v>
      </c>
      <c r="N65" s="571">
        <v>4165874</v>
      </c>
      <c r="O65" s="571">
        <v>4399057</v>
      </c>
      <c r="P65" s="710"/>
      <c r="Q65" s="711"/>
      <c r="R65" s="551"/>
      <c r="S65" s="551"/>
      <c r="V65" s="670" t="s">
        <v>443</v>
      </c>
      <c r="W65" s="571">
        <v>27000</v>
      </c>
      <c r="X65" s="571">
        <v>25000</v>
      </c>
      <c r="Y65" s="571">
        <v>38000</v>
      </c>
      <c r="Z65" s="710"/>
      <c r="AA65" s="711"/>
      <c r="AB65" s="551"/>
      <c r="AC65" s="551"/>
    </row>
    <row r="66" spans="2:32" ht="14.1">
      <c r="L66" s="671" t="s">
        <v>240</v>
      </c>
      <c r="M66" s="704">
        <f>M65/M50</f>
        <v>1.1860323921909561</v>
      </c>
      <c r="N66" s="704">
        <f>N65/N50</f>
        <v>0.99390208551586057</v>
      </c>
      <c r="O66" s="704">
        <f>O65/O50</f>
        <v>0.98578109310255735</v>
      </c>
      <c r="P66" s="710"/>
      <c r="Q66" s="711"/>
      <c r="R66" s="551"/>
      <c r="S66" s="551"/>
      <c r="V66" s="671" t="s">
        <v>240</v>
      </c>
      <c r="W66" s="707">
        <f>W65/M50</f>
        <v>6.031150220762436E-3</v>
      </c>
      <c r="X66" s="707">
        <f>X65/N50</f>
        <v>5.9645472085561192E-3</v>
      </c>
      <c r="Y66" s="707">
        <f>Y65/O50</f>
        <v>8.5153889885712271E-3</v>
      </c>
      <c r="Z66" s="710"/>
      <c r="AA66" s="711"/>
      <c r="AB66" s="551"/>
      <c r="AC66" s="551"/>
    </row>
    <row r="67" spans="2:32">
      <c r="B67" s="656" t="s">
        <v>445</v>
      </c>
      <c r="L67" s="572"/>
      <c r="R67" s="551"/>
      <c r="S67" s="551"/>
    </row>
    <row r="68" spans="2:32">
      <c r="B68" s="656" t="s">
        <v>446</v>
      </c>
      <c r="O68" s="550"/>
      <c r="P68" s="550"/>
      <c r="Q68" s="550"/>
      <c r="R68" s="551"/>
      <c r="S68" s="551"/>
    </row>
    <row r="69" spans="2:32">
      <c r="B69" s="85" t="s">
        <v>447</v>
      </c>
      <c r="N69" s="551"/>
      <c r="O69" s="551"/>
      <c r="P69" s="551"/>
      <c r="Q69" s="551"/>
      <c r="R69" s="551"/>
      <c r="S69" s="551"/>
      <c r="AB69" s="551"/>
      <c r="AC69" s="551"/>
    </row>
    <row r="70" spans="2:32">
      <c r="B70" s="85" t="s">
        <v>448</v>
      </c>
      <c r="R70" s="551"/>
      <c r="S70" s="551"/>
      <c r="W70" s="574"/>
      <c r="X70" s="574"/>
      <c r="Y70" s="574"/>
      <c r="Z70" s="574"/>
      <c r="AA70" s="574"/>
      <c r="AB70" s="551"/>
      <c r="AC70" s="551"/>
    </row>
    <row r="71" spans="2:32">
      <c r="B71" s="735" t="s">
        <v>449</v>
      </c>
      <c r="N71" s="551"/>
      <c r="O71" s="551"/>
      <c r="P71" s="551"/>
      <c r="Q71" s="551"/>
      <c r="R71" s="564"/>
      <c r="S71" s="564"/>
      <c r="X71" s="564"/>
      <c r="Y71" s="564"/>
      <c r="Z71" s="564"/>
      <c r="AA71" s="564"/>
      <c r="AB71" s="551"/>
      <c r="AC71" s="551"/>
    </row>
    <row r="72" spans="2:32">
      <c r="M72" s="1065" t="s">
        <v>450</v>
      </c>
      <c r="N72" s="1066"/>
      <c r="O72" s="1066"/>
      <c r="P72" s="1066"/>
      <c r="Q72" s="1067"/>
      <c r="R72" s="551"/>
      <c r="S72" s="551"/>
      <c r="W72" s="1065" t="s">
        <v>366</v>
      </c>
      <c r="X72" s="1066"/>
      <c r="Y72" s="1066"/>
      <c r="Z72" s="1066"/>
      <c r="AA72" s="1067"/>
      <c r="AB72" s="551"/>
      <c r="AC72" s="551"/>
    </row>
    <row r="73" spans="2:32">
      <c r="L73" s="573"/>
      <c r="M73" s="575">
        <v>2021</v>
      </c>
      <c r="N73" s="575">
        <v>2020</v>
      </c>
      <c r="O73" s="575">
        <v>2019</v>
      </c>
      <c r="P73" s="575">
        <v>2018</v>
      </c>
      <c r="Q73" s="575">
        <v>2017</v>
      </c>
      <c r="R73" s="551"/>
      <c r="S73" s="551"/>
      <c r="V73" s="573"/>
      <c r="W73" s="575">
        <v>2021</v>
      </c>
      <c r="X73" s="575">
        <v>2020</v>
      </c>
      <c r="Y73" s="575">
        <v>2019</v>
      </c>
      <c r="Z73" s="575">
        <v>2018</v>
      </c>
      <c r="AA73" s="575">
        <v>2017</v>
      </c>
      <c r="AB73" s="551"/>
      <c r="AC73" s="551"/>
    </row>
    <row r="74" spans="2:32" ht="42">
      <c r="L74" s="670" t="s">
        <v>444</v>
      </c>
      <c r="M74" s="571">
        <v>211000</v>
      </c>
      <c r="N74" s="571">
        <v>186800</v>
      </c>
      <c r="O74" s="571">
        <v>186800</v>
      </c>
      <c r="P74" s="571">
        <v>194900</v>
      </c>
      <c r="Q74" s="571">
        <v>194000</v>
      </c>
      <c r="R74" s="705">
        <f>(M74-N74)/N74</f>
        <v>0.12955032119914348</v>
      </c>
      <c r="S74" s="706">
        <f>(N74-O74)/O74</f>
        <v>0</v>
      </c>
      <c r="T74" s="706">
        <f>(O74-P74)/P74</f>
        <v>-4.155977424320164E-2</v>
      </c>
      <c r="U74" s="706">
        <f>(P74-Q74)/Q74</f>
        <v>4.6391752577319588E-3</v>
      </c>
      <c r="V74" s="670" t="s">
        <v>444</v>
      </c>
      <c r="W74" s="571">
        <v>41304</v>
      </c>
      <c r="X74" s="571">
        <v>32304</v>
      </c>
      <c r="Y74" s="571">
        <v>37198</v>
      </c>
      <c r="Z74" s="571">
        <v>36298</v>
      </c>
      <c r="AA74" s="571">
        <v>27193</v>
      </c>
      <c r="AB74" s="705">
        <f>(W74-X74)/X74</f>
        <v>0.2786032689450223</v>
      </c>
      <c r="AC74" s="706">
        <f>(X74-Y74)/Y74</f>
        <v>-0.13156621323727083</v>
      </c>
      <c r="AD74" s="706">
        <f>(Y74-Z74)/Z74</f>
        <v>2.4794754531930134E-2</v>
      </c>
      <c r="AE74" s="706">
        <f>(Z74-AA74)/AA74</f>
        <v>0.33482881623947341</v>
      </c>
      <c r="AF74" s="706"/>
    </row>
    <row r="75" spans="2:32">
      <c r="L75" s="577" t="s">
        <v>240</v>
      </c>
      <c r="M75" s="579">
        <f>M74/M46</f>
        <v>6.7865167671993173E-2</v>
      </c>
      <c r="N75" s="579">
        <f>N74/N46</f>
        <v>7.4918203599442679E-2</v>
      </c>
      <c r="O75" s="579">
        <f>O74/O46</f>
        <v>7.324614114782349E-2</v>
      </c>
      <c r="P75" s="579">
        <f>P74/P46</f>
        <v>7.8553582289210194E-2</v>
      </c>
      <c r="Q75" s="579">
        <f>Q74/Q46</f>
        <v>8.4695445655210949E-2</v>
      </c>
      <c r="R75" s="551"/>
      <c r="S75" s="551"/>
      <c r="V75" s="577" t="s">
        <v>240</v>
      </c>
      <c r="W75" s="579">
        <f>W74/M46</f>
        <v>1.3284847798691971E-2</v>
      </c>
      <c r="X75" s="579">
        <f>X74/N46</f>
        <v>1.2955876065719468E-2</v>
      </c>
      <c r="Y75" s="579">
        <f>Y74/O46</f>
        <v>1.4585706415507165E-2</v>
      </c>
      <c r="Z75" s="579">
        <f>Z74/P46</f>
        <v>1.4629748229521556E-2</v>
      </c>
      <c r="AA75" s="579">
        <f>AA74/Q46</f>
        <v>1.1871769348980162E-2</v>
      </c>
      <c r="AB75" s="551"/>
      <c r="AC75" s="551"/>
    </row>
    <row r="76" spans="2:32" ht="56.1">
      <c r="L76" s="670" t="e" vm="1">
        <v>#VALUE!</v>
      </c>
      <c r="M76" s="571">
        <v>732187</v>
      </c>
      <c r="N76" s="571">
        <v>858884</v>
      </c>
      <c r="O76" s="571">
        <v>1189805</v>
      </c>
      <c r="P76" s="708"/>
      <c r="Q76" s="709"/>
      <c r="R76" s="551"/>
      <c r="S76" s="551"/>
      <c r="V76" s="670" t="e" vm="1">
        <v>#VALUE!</v>
      </c>
      <c r="W76" s="571">
        <v>71386</v>
      </c>
      <c r="X76" s="571">
        <v>72429</v>
      </c>
      <c r="Y76" s="574">
        <v>99181</v>
      </c>
      <c r="Z76" s="708"/>
      <c r="AA76" s="709"/>
      <c r="AB76" s="551"/>
      <c r="AC76" s="551"/>
    </row>
    <row r="77" spans="2:32" ht="14.1">
      <c r="L77" s="671" t="s">
        <v>240</v>
      </c>
      <c r="M77" s="704">
        <f>M76/M47</f>
        <v>0.21884363338194962</v>
      </c>
      <c r="N77" s="704">
        <f>N76/N47</f>
        <v>0.2722526793345228</v>
      </c>
      <c r="O77" s="704">
        <f>O76/O47</f>
        <v>0.35117004005718239</v>
      </c>
      <c r="P77" s="710"/>
      <c r="Q77" s="711"/>
      <c r="R77" s="551"/>
      <c r="S77" s="551"/>
      <c r="V77" s="671" t="s">
        <v>240</v>
      </c>
      <c r="W77" s="579">
        <f>W76/M47</f>
        <v>2.1336586982019422E-2</v>
      </c>
      <c r="X77" s="579">
        <f>X76/N47</f>
        <v>2.2958850451888908E-2</v>
      </c>
      <c r="Y77" s="579">
        <f>Y76/O47</f>
        <v>2.9273196652318159E-2</v>
      </c>
      <c r="Z77" s="710"/>
      <c r="AA77" s="711"/>
      <c r="AB77" s="551"/>
      <c r="AC77" s="551"/>
    </row>
    <row r="78" spans="2:32" ht="42">
      <c r="L78" s="670" t="e" vm="2">
        <v>#VALUE!</v>
      </c>
      <c r="M78" s="571">
        <v>417603</v>
      </c>
      <c r="N78" s="571">
        <v>382845</v>
      </c>
      <c r="O78" s="571">
        <v>396492</v>
      </c>
      <c r="P78" s="710"/>
      <c r="Q78" s="711"/>
      <c r="R78" s="551"/>
      <c r="S78" s="551"/>
      <c r="V78" s="670" t="e" vm="2">
        <v>#VALUE!</v>
      </c>
      <c r="W78" s="571">
        <v>76206</v>
      </c>
      <c r="X78" s="571">
        <v>77489</v>
      </c>
      <c r="Y78" s="574">
        <v>74400</v>
      </c>
      <c r="Z78" s="710"/>
      <c r="AA78" s="711"/>
      <c r="AB78" s="551"/>
      <c r="AC78" s="551"/>
    </row>
    <row r="79" spans="2:32" ht="14.1">
      <c r="L79" s="671" t="s">
        <v>240</v>
      </c>
      <c r="M79" s="704">
        <f>M78/M48</f>
        <v>0.14331639329261034</v>
      </c>
      <c r="N79" s="704">
        <f>N78/N48</f>
        <v>0.15514997494549476</v>
      </c>
      <c r="O79" s="704">
        <f>O78/O48</f>
        <v>0.15073294871439269</v>
      </c>
      <c r="P79" s="710"/>
      <c r="Q79" s="711"/>
      <c r="R79" s="551"/>
      <c r="S79" s="551"/>
      <c r="V79" s="671" t="s">
        <v>240</v>
      </c>
      <c r="W79" s="579">
        <f>W78/M48</f>
        <v>2.6152994751610176E-2</v>
      </c>
      <c r="X79" s="579">
        <f>X78/N48</f>
        <v>3.140282988820918E-2</v>
      </c>
      <c r="Y79" s="579">
        <f>Y78/O48</f>
        <v>2.8284382495361356E-2</v>
      </c>
      <c r="Z79" s="710"/>
      <c r="AA79" s="711"/>
    </row>
    <row r="80" spans="2:32" ht="42">
      <c r="L80" s="670" t="e" vm="3">
        <v>#VALUE!</v>
      </c>
      <c r="M80" s="571">
        <v>438941</v>
      </c>
      <c r="N80" s="571">
        <v>461964</v>
      </c>
      <c r="O80" s="571">
        <v>520017</v>
      </c>
      <c r="P80" s="710"/>
      <c r="Q80" s="711"/>
      <c r="R80" s="551"/>
      <c r="S80" s="551"/>
      <c r="V80" s="670" t="e" vm="3">
        <v>#VALUE!</v>
      </c>
      <c r="W80" s="571">
        <v>7530</v>
      </c>
      <c r="X80" s="571">
        <v>9654</v>
      </c>
      <c r="Y80" s="574">
        <v>11597</v>
      </c>
      <c r="Z80" s="710"/>
      <c r="AA80" s="711"/>
    </row>
    <row r="81" spans="7:27" ht="14.1">
      <c r="G81" s="574"/>
      <c r="L81" s="671" t="s">
        <v>240</v>
      </c>
      <c r="M81" s="704">
        <f>M80/M49</f>
        <v>0.21966106036308616</v>
      </c>
      <c r="N81" s="704">
        <f>N80/N49</f>
        <v>0.26240538015210063</v>
      </c>
      <c r="O81" s="704">
        <f>O80/O49</f>
        <v>0.22163341830821762</v>
      </c>
      <c r="P81" s="710"/>
      <c r="Q81" s="711"/>
      <c r="R81" s="551"/>
      <c r="S81" s="551"/>
      <c r="V81" s="671" t="s">
        <v>240</v>
      </c>
      <c r="W81" s="579">
        <f>W80/M49</f>
        <v>3.7682690487651845E-3</v>
      </c>
      <c r="X81" s="579">
        <f>X80/N49</f>
        <v>5.4836773860915122E-3</v>
      </c>
      <c r="Y81" s="579">
        <f>Y80/O49</f>
        <v>4.9426898584477037E-3</v>
      </c>
      <c r="Z81" s="710"/>
      <c r="AA81" s="711"/>
    </row>
    <row r="82" spans="7:27" ht="27.95">
      <c r="L82" s="670" t="s">
        <v>443</v>
      </c>
      <c r="M82" s="571">
        <v>8319000</v>
      </c>
      <c r="N82" s="571">
        <v>9185000</v>
      </c>
      <c r="O82" s="571">
        <v>9437000</v>
      </c>
      <c r="P82" s="710"/>
      <c r="Q82" s="711"/>
      <c r="R82" s="551"/>
      <c r="S82" s="551"/>
      <c r="V82" s="670" t="s">
        <v>443</v>
      </c>
      <c r="W82" s="571">
        <v>431</v>
      </c>
      <c r="X82" s="571">
        <v>411</v>
      </c>
      <c r="Y82" s="574">
        <v>506</v>
      </c>
      <c r="Z82" s="710"/>
      <c r="AA82" s="711"/>
    </row>
    <row r="83" spans="7:27" ht="14.1">
      <c r="L83" s="671" t="s">
        <v>240</v>
      </c>
      <c r="M83" s="704">
        <f>M82/M50</f>
        <v>1.8582643957971372</v>
      </c>
      <c r="N83" s="704">
        <f>N82/N50</f>
        <v>2.1913746444235183</v>
      </c>
      <c r="O83" s="704">
        <f>O82/O50</f>
        <v>2.1147296285564914</v>
      </c>
      <c r="P83" s="710"/>
      <c r="Q83" s="711"/>
      <c r="R83" s="564"/>
      <c r="S83" s="564"/>
      <c r="V83" s="671" t="s">
        <v>240</v>
      </c>
      <c r="W83" s="713">
        <f>W82/M50</f>
        <v>9.6275027598096655E-5</v>
      </c>
      <c r="X83" s="713">
        <f>X82/N50</f>
        <v>9.8057156108662604E-5</v>
      </c>
      <c r="Y83" s="713">
        <f>Y82/O50</f>
        <v>1.1338912705834318E-4</v>
      </c>
      <c r="Z83" s="710"/>
      <c r="AA83" s="711"/>
    </row>
    <row r="84" spans="7:27">
      <c r="V84" s="572"/>
    </row>
    <row r="86" spans="7:27">
      <c r="V86" s="706"/>
    </row>
    <row r="112" spans="14:17">
      <c r="N112" s="551"/>
      <c r="O112" s="551"/>
      <c r="P112" s="551"/>
      <c r="Q112" s="551"/>
    </row>
    <row r="113" spans="14:17">
      <c r="N113" s="552"/>
      <c r="O113" s="551"/>
      <c r="P113" s="551"/>
      <c r="Q113" s="551"/>
    </row>
    <row r="114" spans="14:17">
      <c r="N114" s="552"/>
      <c r="O114" s="551"/>
      <c r="P114" s="551"/>
      <c r="Q114" s="551"/>
    </row>
    <row r="115" spans="14:17">
      <c r="N115" s="552"/>
      <c r="O115" s="551"/>
      <c r="P115" s="551"/>
      <c r="Q115" s="551"/>
    </row>
    <row r="116" spans="14:17">
      <c r="N116" s="551"/>
      <c r="O116" s="551"/>
      <c r="P116" s="551"/>
      <c r="Q116" s="551"/>
    </row>
    <row r="117" spans="14:17">
      <c r="N117" s="564"/>
      <c r="O117" s="564"/>
      <c r="P117" s="564"/>
      <c r="Q117" s="564"/>
    </row>
    <row r="118" spans="14:17">
      <c r="N118" s="551"/>
      <c r="O118" s="551"/>
      <c r="P118" s="551"/>
      <c r="Q118" s="551"/>
    </row>
    <row r="119" spans="14:17">
      <c r="N119" s="551"/>
      <c r="O119" s="551"/>
      <c r="P119" s="551"/>
      <c r="Q119" s="551"/>
    </row>
    <row r="120" spans="14:17">
      <c r="N120" s="551"/>
      <c r="O120" s="551"/>
      <c r="P120" s="551"/>
      <c r="Q120" s="551"/>
    </row>
    <row r="121" spans="14:17">
      <c r="N121" s="551"/>
      <c r="O121" s="551"/>
      <c r="P121" s="551"/>
      <c r="Q121" s="551"/>
    </row>
    <row r="122" spans="14:17">
      <c r="N122" s="551"/>
      <c r="O122" s="551"/>
      <c r="P122" s="551"/>
      <c r="Q122" s="551"/>
    </row>
    <row r="123" spans="14:17">
      <c r="N123" s="551"/>
      <c r="O123" s="551"/>
      <c r="P123" s="551"/>
      <c r="Q123" s="551"/>
    </row>
    <row r="124" spans="14:17">
      <c r="N124" s="551"/>
      <c r="O124" s="551"/>
      <c r="P124" s="551"/>
      <c r="Q124" s="551"/>
    </row>
    <row r="125" spans="14:17">
      <c r="N125" s="552"/>
      <c r="O125" s="551"/>
      <c r="P125" s="551"/>
      <c r="Q125" s="551"/>
    </row>
    <row r="126" spans="14:17">
      <c r="N126" s="552"/>
      <c r="O126" s="551"/>
      <c r="P126" s="551"/>
      <c r="Q126" s="551"/>
    </row>
    <row r="127" spans="14:17">
      <c r="N127" s="552"/>
      <c r="O127" s="551"/>
      <c r="P127" s="551"/>
      <c r="Q127" s="551"/>
    </row>
    <row r="128" spans="14:17">
      <c r="N128" s="551"/>
      <c r="O128" s="551"/>
      <c r="P128" s="551"/>
      <c r="Q128" s="551"/>
    </row>
    <row r="129" spans="14:17">
      <c r="N129" s="564"/>
      <c r="O129" s="564"/>
      <c r="P129" s="564"/>
      <c r="Q129" s="564"/>
    </row>
    <row r="130" spans="14:17">
      <c r="N130" s="551"/>
      <c r="O130" s="551"/>
      <c r="P130" s="551"/>
      <c r="Q130" s="551"/>
    </row>
    <row r="131" spans="14:17">
      <c r="N131" s="552"/>
      <c r="O131" s="551"/>
      <c r="P131" s="551"/>
      <c r="Q131" s="551"/>
    </row>
    <row r="132" spans="14:17">
      <c r="N132" s="552"/>
      <c r="O132" s="551"/>
      <c r="P132" s="551"/>
      <c r="Q132" s="551"/>
    </row>
    <row r="133" spans="14:17">
      <c r="N133" s="552"/>
      <c r="O133" s="551"/>
      <c r="P133" s="551"/>
      <c r="Q133" s="551"/>
    </row>
    <row r="134" spans="14:17">
      <c r="N134" s="552"/>
      <c r="O134" s="551"/>
      <c r="P134" s="551"/>
      <c r="Q134" s="551"/>
    </row>
    <row r="135" spans="14:17">
      <c r="N135" s="552"/>
      <c r="O135" s="551"/>
      <c r="P135" s="551"/>
      <c r="Q135" s="551"/>
    </row>
    <row r="136" spans="14:17">
      <c r="N136" s="552"/>
      <c r="O136" s="551"/>
      <c r="P136" s="551"/>
      <c r="Q136" s="551"/>
    </row>
    <row r="137" spans="14:17">
      <c r="N137" s="552"/>
      <c r="O137" s="551"/>
      <c r="P137" s="551"/>
      <c r="Q137" s="551"/>
    </row>
    <row r="138" spans="14:17">
      <c r="N138" s="552"/>
      <c r="O138" s="551"/>
      <c r="P138" s="551"/>
      <c r="Q138" s="551"/>
    </row>
    <row r="139" spans="14:17">
      <c r="N139" s="552"/>
      <c r="O139" s="551"/>
      <c r="P139" s="551"/>
      <c r="Q139" s="551"/>
    </row>
  </sheetData>
  <mergeCells count="7">
    <mergeCell ref="B3:J3"/>
    <mergeCell ref="K3:P3"/>
    <mergeCell ref="W72:AA72"/>
    <mergeCell ref="M72:Q72"/>
    <mergeCell ref="W55:AA55"/>
    <mergeCell ref="M55:Q55"/>
    <mergeCell ref="M44:Q44"/>
  </mergeCells>
  <phoneticPr fontId="106" type="noConversion"/>
  <conditionalFormatting sqref="C10:G10">
    <cfRule type="expression" dxfId="36" priority="15">
      <formula>$C$10="Low"</formula>
    </cfRule>
  </conditionalFormatting>
  <conditionalFormatting sqref="D6:F6">
    <cfRule type="expression" dxfId="35" priority="19">
      <formula>$C$6="Low"</formula>
    </cfRule>
  </conditionalFormatting>
  <conditionalFormatting sqref="D7:F7">
    <cfRule type="expression" dxfId="34" priority="18">
      <formula>$C$7="Low"</formula>
    </cfRule>
  </conditionalFormatting>
  <conditionalFormatting sqref="D9:F9">
    <cfRule type="expression" dxfId="33" priority="16">
      <formula>$C$9="Low"</formula>
    </cfRule>
  </conditionalFormatting>
  <conditionalFormatting sqref="D12:F13">
    <cfRule type="expression" dxfId="32" priority="3">
      <formula>$C$16="Low"</formula>
    </cfRule>
  </conditionalFormatting>
  <conditionalFormatting sqref="D14:F14">
    <cfRule type="expression" dxfId="31" priority="12">
      <formula>$C$17="Low"</formula>
    </cfRule>
  </conditionalFormatting>
  <conditionalFormatting sqref="D15:F15">
    <cfRule type="expression" dxfId="30" priority="11">
      <formula>$C$16="Low"</formula>
    </cfRule>
  </conditionalFormatting>
  <conditionalFormatting sqref="D16:F16">
    <cfRule type="expression" dxfId="29" priority="10">
      <formula>$C$17="Low"</formula>
    </cfRule>
  </conditionalFormatting>
  <conditionalFormatting sqref="D17:F17">
    <cfRule type="expression" dxfId="28" priority="9">
      <formula>$C$16="Low"</formula>
    </cfRule>
  </conditionalFormatting>
  <conditionalFormatting sqref="D18:F18">
    <cfRule type="expression" dxfId="27" priority="8">
      <formula>$C$17="Low"</formula>
    </cfRule>
  </conditionalFormatting>
  <conditionalFormatting sqref="D19:F19">
    <cfRule type="expression" dxfId="26" priority="7">
      <formula>$C$16="Low"</formula>
    </cfRule>
  </conditionalFormatting>
  <conditionalFormatting sqref="D20:F20">
    <cfRule type="expression" dxfId="25" priority="6">
      <formula>$C$17="Low"</formula>
    </cfRule>
  </conditionalFormatting>
  <conditionalFormatting sqref="D21:F21">
    <cfRule type="expression" dxfId="24" priority="5">
      <formula>$C$16="Low"</formula>
    </cfRule>
  </conditionalFormatting>
  <conditionalFormatting sqref="D22:F22">
    <cfRule type="expression" dxfId="23" priority="4">
      <formula>$C$17="Low"</formula>
    </cfRule>
  </conditionalFormatting>
  <conditionalFormatting sqref="D8:G8">
    <cfRule type="expression" dxfId="22" priority="17">
      <formula>$C$8="Low"</formula>
    </cfRule>
  </conditionalFormatting>
  <conditionalFormatting sqref="G6:G7">
    <cfRule type="expression" dxfId="21" priority="22">
      <formula>$C$7="Low"</formula>
    </cfRule>
  </conditionalFormatting>
  <conditionalFormatting sqref="G9">
    <cfRule type="expression" dxfId="20" priority="2">
      <formula>$C$8="Low"</formula>
    </cfRule>
  </conditionalFormatting>
  <conditionalFormatting sqref="G12:G13 J12:J13">
    <cfRule type="expression" dxfId="19" priority="32">
      <formula>$C$13="Low"</formula>
    </cfRule>
  </conditionalFormatting>
  <conditionalFormatting sqref="G17 J17">
    <cfRule type="expression" dxfId="18" priority="28">
      <formula>$C$17="Low"</formula>
    </cfRule>
  </conditionalFormatting>
  <conditionalFormatting sqref="G18 J18">
    <cfRule type="expression" dxfId="17" priority="27">
      <formula>$C$18="Low"</formula>
    </cfRule>
  </conditionalFormatting>
  <conditionalFormatting sqref="G19 J20">
    <cfRule type="expression" dxfId="16" priority="26">
      <formula>$C$19="Low"</formula>
    </cfRule>
  </conditionalFormatting>
  <conditionalFormatting sqref="H7:I10">
    <cfRule type="expression" dxfId="15" priority="21">
      <formula>$C$6="Low"</formula>
    </cfRule>
  </conditionalFormatting>
  <conditionalFormatting sqref="H12:I22">
    <cfRule type="expression" dxfId="14" priority="14">
      <formula>$C$6="Low"</formula>
    </cfRule>
  </conditionalFormatting>
  <conditionalFormatting sqref="H24:I34">
    <cfRule type="expression" dxfId="13" priority="13">
      <formula>$C$6="Low"</formula>
    </cfRule>
  </conditionalFormatting>
  <conditionalFormatting sqref="H6:J6">
    <cfRule type="expression" dxfId="12" priority="1">
      <formula>$C$6="Low"</formula>
    </cfRule>
  </conditionalFormatting>
  <conditionalFormatting sqref="J7">
    <cfRule type="expression" dxfId="11" priority="35">
      <formula>$C$7="Low"</formula>
    </cfRule>
  </conditionalFormatting>
  <conditionalFormatting sqref="J8">
    <cfRule type="expression" dxfId="10" priority="34">
      <formula>$C$8="Low"</formula>
    </cfRule>
  </conditionalFormatting>
  <conditionalFormatting sqref="J9:J10">
    <cfRule type="expression" dxfId="9" priority="33">
      <formula>$C$9="Low"</formula>
    </cfRule>
  </conditionalFormatting>
  <conditionalFormatting sqref="J14">
    <cfRule type="expression" dxfId="8" priority="31">
      <formula>$C$14="Low"</formula>
    </cfRule>
  </conditionalFormatting>
  <conditionalFormatting sqref="J15">
    <cfRule type="expression" dxfId="7" priority="30">
      <formula>$C$15="Low"</formula>
    </cfRule>
  </conditionalFormatting>
  <conditionalFormatting sqref="J16">
    <cfRule type="expression" dxfId="6" priority="29">
      <formula>$C$16="Low"</formula>
    </cfRule>
  </conditionalFormatting>
  <conditionalFormatting sqref="J19">
    <cfRule type="expression" dxfId="5" priority="20">
      <formula>$C$17="Low"</formula>
    </cfRule>
  </conditionalFormatting>
  <conditionalFormatting sqref="J20">
    <cfRule type="expression" dxfId="4" priority="25">
      <formula>$C$20="Low"</formula>
    </cfRule>
  </conditionalFormatting>
  <conditionalFormatting sqref="J21">
    <cfRule type="expression" dxfId="3" priority="24">
      <formula>$C$21="Low"</formula>
    </cfRule>
  </conditionalFormatting>
  <conditionalFormatting sqref="J22">
    <cfRule type="expression" dxfId="2" priority="23">
      <formula>$C$22="Low"</formula>
    </cfRule>
  </conditionalFormatting>
  <dataValidations count="3">
    <dataValidation type="list" showInputMessage="1" showErrorMessage="1" sqref="B2" xr:uid="{227F4891-B610-4070-ACAA-EB0FE1E2A7D4}">
      <formula1>Sectors</formula1>
    </dataValidation>
    <dataValidation type="list" allowBlank="1" showInputMessage="1" showErrorMessage="1" sqref="F24:F34 F6:F10 C11 D32:D34 F12:F22 D6:D22" xr:uid="{563B6B6A-5067-4B98-AAB2-91D901D05FA2}">
      <formula1>$T$1:$T$2</formula1>
    </dataValidation>
    <dataValidation type="list" allowBlank="1" showInputMessage="1" showErrorMessage="1" sqref="E24:E34 E6:E10 E12:E22" xr:uid="{268F40AD-C9F3-41D4-9163-0F1E8EA72000}">
      <formula1>$C$38:$C$41</formula1>
    </dataValidation>
  </dataValidations>
  <hyperlinks>
    <hyperlink ref="B67" r:id="rId1" xr:uid="{8D5EA9D3-F19A-48C1-8BFF-C09E9B3BFD3C}"/>
    <hyperlink ref="B68" r:id="rId2" xr:uid="{E3030FFD-6DE4-4E94-845D-73911CFF3963}"/>
    <hyperlink ref="B71" r:id="rId3" xr:uid="{F0DA9784-A878-482A-A54D-496976055B9C}"/>
  </hyperlinks>
  <pageMargins left="0.7" right="0.7" top="0.75" bottom="0.75" header="0.3" footer="0.3"/>
  <pageSetup paperSize="9" orientation="portrait" horizontalDpi="4294967293" r:id="rId4"/>
  <drawing r:id="rId5"/>
  <legacyDrawing r:id="rId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7"/>
  <sheetViews>
    <sheetView showGridLines="0" tabSelected="1" zoomScale="85" zoomScaleNormal="85" workbookViewId="0">
      <pane ySplit="4" topLeftCell="A61" activePane="bottomLeft" state="frozen"/>
      <selection pane="bottomLeft" activeCell="D73" sqref="D73"/>
    </sheetView>
  </sheetViews>
  <sheetFormatPr defaultColWidth="11.42578125" defaultRowHeight="12.95" outlineLevelCol="1"/>
  <cols>
    <col min="1" max="1" width="24.42578125" bestFit="1" customWidth="1"/>
    <col min="2" max="2" width="11.42578125" customWidth="1" outlineLevel="1"/>
    <col min="3" max="3" width="32.42578125" customWidth="1" outlineLevel="1"/>
    <col min="4" max="4" width="20" customWidth="1" outlineLevel="1"/>
    <col min="5" max="5" width="24" customWidth="1"/>
    <col min="6" max="6" width="32" customWidth="1"/>
    <col min="7" max="7" width="14.42578125" style="2" customWidth="1"/>
    <col min="8" max="11" width="11.42578125" style="2" customWidth="1"/>
    <col min="12" max="12" width="19" style="2" customWidth="1"/>
    <col min="13" max="14" width="24.42578125" style="2" bestFit="1" customWidth="1"/>
    <col min="15" max="15" width="23.42578125" style="2" bestFit="1" customWidth="1"/>
    <col min="16" max="25" width="24.42578125" style="2" bestFit="1" customWidth="1"/>
    <col min="26" max="28" width="23.42578125" style="2" bestFit="1" customWidth="1"/>
    <col min="29" max="30" width="24.42578125" style="2" bestFit="1" customWidth="1"/>
    <col min="31" max="32" width="23.42578125" style="2" bestFit="1" customWidth="1"/>
    <col min="33" max="33" width="14.42578125" customWidth="1"/>
  </cols>
  <sheetData>
    <row r="1" spans="1:40" ht="21" customHeight="1">
      <c r="A1" s="1075" t="s">
        <v>451</v>
      </c>
      <c r="B1" s="1075"/>
      <c r="C1" s="1075"/>
      <c r="D1" s="1075"/>
      <c r="E1" s="1075"/>
      <c r="F1" s="1075"/>
      <c r="G1" s="1075"/>
      <c r="H1" s="1075"/>
      <c r="I1" s="1075"/>
      <c r="J1" s="1075"/>
      <c r="K1" s="1075"/>
      <c r="L1" s="1075"/>
      <c r="M1" s="1075"/>
      <c r="N1" s="1075"/>
      <c r="O1" s="1075"/>
      <c r="P1" s="1075"/>
      <c r="Q1" s="1075"/>
      <c r="R1" s="1075"/>
      <c r="S1" s="1075"/>
      <c r="T1" s="1075"/>
      <c r="U1" s="1075"/>
      <c r="V1" s="1075"/>
      <c r="W1" s="1075"/>
      <c r="X1" s="1075"/>
      <c r="Y1" s="1075"/>
      <c r="Z1" s="1075"/>
      <c r="AA1" s="1075"/>
      <c r="AB1" s="1075"/>
      <c r="AC1" s="1075"/>
      <c r="AD1" s="1075"/>
      <c r="AE1" s="1075"/>
      <c r="AF1" s="1075"/>
      <c r="AG1" s="11"/>
      <c r="AH1" s="11"/>
      <c r="AI1" s="11"/>
      <c r="AJ1" s="11"/>
      <c r="AK1" s="11"/>
      <c r="AL1" s="11"/>
      <c r="AM1" s="11"/>
      <c r="AN1" s="11"/>
    </row>
    <row r="2" spans="1:40" ht="3.75" customHeight="1" thickBot="1">
      <c r="A2" s="1076"/>
      <c r="B2" s="1076"/>
      <c r="C2" s="1076"/>
      <c r="D2" s="1076"/>
      <c r="E2" s="1076"/>
      <c r="F2" s="1076"/>
      <c r="G2" s="1076"/>
      <c r="H2" s="1076"/>
      <c r="I2" s="1076"/>
      <c r="J2" s="1076"/>
      <c r="K2" s="1076"/>
      <c r="L2" s="1076"/>
      <c r="M2" s="1076"/>
      <c r="N2" s="1076"/>
      <c r="O2" s="1076"/>
      <c r="P2" s="1076"/>
      <c r="Q2" s="1076"/>
      <c r="R2" s="1076"/>
      <c r="S2" s="1076"/>
      <c r="T2" s="1076"/>
      <c r="U2" s="1076"/>
      <c r="V2" s="1076"/>
      <c r="W2" s="1076"/>
      <c r="X2" s="1076"/>
      <c r="Y2" s="1076"/>
      <c r="Z2" s="1076"/>
      <c r="AA2" s="1076"/>
      <c r="AB2" s="1076"/>
      <c r="AC2" s="1076"/>
      <c r="AD2" s="1076"/>
      <c r="AE2" s="1076"/>
      <c r="AF2" s="1076"/>
      <c r="AG2" s="555"/>
      <c r="AH2" s="11"/>
      <c r="AI2" s="11"/>
      <c r="AJ2" s="11"/>
      <c r="AK2" s="11"/>
      <c r="AL2" s="11"/>
      <c r="AM2" s="11"/>
      <c r="AN2" s="11"/>
    </row>
    <row r="3" spans="1:40" ht="20.100000000000001" thickBot="1">
      <c r="A3" s="239"/>
      <c r="B3" s="239"/>
      <c r="C3" s="239"/>
      <c r="D3" s="239"/>
      <c r="E3" s="239"/>
      <c r="F3" s="239"/>
      <c r="G3" s="1083" t="s">
        <v>452</v>
      </c>
      <c r="H3" s="1084"/>
      <c r="I3" s="1084"/>
      <c r="J3" s="1084"/>
      <c r="K3" s="1083" t="s">
        <v>453</v>
      </c>
      <c r="L3" s="1084"/>
      <c r="M3" s="1084"/>
      <c r="N3" s="1084"/>
      <c r="O3" s="1084"/>
      <c r="P3" s="1084"/>
      <c r="Q3" s="1084"/>
      <c r="R3" s="1084"/>
      <c r="S3" s="1084"/>
      <c r="T3" s="1084"/>
      <c r="U3" s="1084"/>
      <c r="V3" s="1084"/>
      <c r="W3" s="1084"/>
      <c r="X3" s="1084"/>
      <c r="Y3" s="1084"/>
      <c r="Z3" s="1084"/>
      <c r="AA3" s="1084"/>
      <c r="AB3" s="1084"/>
      <c r="AC3" s="1084"/>
      <c r="AD3" s="1084"/>
      <c r="AE3" s="1084"/>
      <c r="AF3" s="1085"/>
      <c r="AG3" s="555"/>
      <c r="AH3" s="11"/>
      <c r="AI3" s="11"/>
      <c r="AJ3" s="11"/>
      <c r="AK3" s="11"/>
      <c r="AL3" s="11"/>
      <c r="AM3" s="11"/>
      <c r="AN3" s="11"/>
    </row>
    <row r="4" spans="1:40" ht="15.95" thickBot="1">
      <c r="A4" s="265" t="s">
        <v>454</v>
      </c>
      <c r="B4" s="268" t="s">
        <v>455</v>
      </c>
      <c r="C4" s="269" t="s">
        <v>456</v>
      </c>
      <c r="D4" s="276" t="s">
        <v>457</v>
      </c>
      <c r="E4" s="276" t="s">
        <v>458</v>
      </c>
      <c r="F4" s="277" t="s">
        <v>459</v>
      </c>
      <c r="G4" s="276">
        <v>2023</v>
      </c>
      <c r="H4" s="276">
        <f>G4+1</f>
        <v>2024</v>
      </c>
      <c r="I4" s="276">
        <f t="shared" ref="I4:AF4" si="0">H4+1</f>
        <v>2025</v>
      </c>
      <c r="J4" s="277">
        <f t="shared" si="0"/>
        <v>2026</v>
      </c>
      <c r="K4" s="278">
        <f t="shared" si="0"/>
        <v>2027</v>
      </c>
      <c r="L4" s="278">
        <f t="shared" si="0"/>
        <v>2028</v>
      </c>
      <c r="M4" s="278">
        <f t="shared" si="0"/>
        <v>2029</v>
      </c>
      <c r="N4" s="278">
        <f t="shared" si="0"/>
        <v>2030</v>
      </c>
      <c r="O4" s="278">
        <f t="shared" si="0"/>
        <v>2031</v>
      </c>
      <c r="P4" s="278">
        <f t="shared" si="0"/>
        <v>2032</v>
      </c>
      <c r="Q4" s="278">
        <f t="shared" si="0"/>
        <v>2033</v>
      </c>
      <c r="R4" s="278">
        <f t="shared" si="0"/>
        <v>2034</v>
      </c>
      <c r="S4" s="278">
        <f t="shared" si="0"/>
        <v>2035</v>
      </c>
      <c r="T4" s="278">
        <f t="shared" si="0"/>
        <v>2036</v>
      </c>
      <c r="U4" s="278">
        <f t="shared" si="0"/>
        <v>2037</v>
      </c>
      <c r="V4" s="278">
        <f t="shared" si="0"/>
        <v>2038</v>
      </c>
      <c r="W4" s="278">
        <f t="shared" si="0"/>
        <v>2039</v>
      </c>
      <c r="X4" s="278">
        <f t="shared" si="0"/>
        <v>2040</v>
      </c>
      <c r="Y4" s="278">
        <f t="shared" si="0"/>
        <v>2041</v>
      </c>
      <c r="Z4" s="278">
        <f t="shared" si="0"/>
        <v>2042</v>
      </c>
      <c r="AA4" s="278">
        <f t="shared" si="0"/>
        <v>2043</v>
      </c>
      <c r="AB4" s="278">
        <f t="shared" si="0"/>
        <v>2044</v>
      </c>
      <c r="AC4" s="278">
        <f t="shared" si="0"/>
        <v>2045</v>
      </c>
      <c r="AD4" s="278">
        <f t="shared" si="0"/>
        <v>2046</v>
      </c>
      <c r="AE4" s="278">
        <f t="shared" si="0"/>
        <v>2047</v>
      </c>
      <c r="AF4" s="279">
        <f t="shared" si="0"/>
        <v>2048</v>
      </c>
      <c r="AG4" s="555"/>
      <c r="AH4" s="11"/>
      <c r="AI4" s="11"/>
      <c r="AJ4" s="11"/>
      <c r="AK4" s="11"/>
      <c r="AL4" s="11"/>
      <c r="AM4" s="11"/>
      <c r="AN4" s="11"/>
    </row>
    <row r="5" spans="1:40">
      <c r="A5" s="901" t="s">
        <v>460</v>
      </c>
      <c r="B5" s="270">
        <v>1</v>
      </c>
      <c r="C5" s="274" t="s">
        <v>461</v>
      </c>
      <c r="D5" s="283">
        <f>'Fin. Data'!D6</f>
        <v>-2.2318507002103694E-2</v>
      </c>
      <c r="E5" s="287">
        <f t="shared" ref="E5:AF5" si="1">+E6/D6-1</f>
        <v>0.2469413079242444</v>
      </c>
      <c r="F5" s="328">
        <f t="shared" si="1"/>
        <v>0.28061828705743719</v>
      </c>
      <c r="G5" s="344">
        <f>+G6/F6-1</f>
        <v>2.9742478986974463E-2</v>
      </c>
      <c r="H5" s="345">
        <f>+H6/G6-1</f>
        <v>4.2682926829268331E-2</v>
      </c>
      <c r="I5" s="345">
        <f>+I6/H6-1</f>
        <v>6.4327485380117011E-2</v>
      </c>
      <c r="J5" s="346">
        <f>+J6/I6-1</f>
        <v>8.0000000000000071E-2</v>
      </c>
      <c r="K5" s="344">
        <f t="shared" si="1"/>
        <v>8.0000000000000071E-2</v>
      </c>
      <c r="L5" s="345">
        <f t="shared" si="1"/>
        <v>8.0000000000000071E-2</v>
      </c>
      <c r="M5" s="345">
        <f t="shared" si="1"/>
        <v>8.0000000000000071E-2</v>
      </c>
      <c r="N5" s="345">
        <f t="shared" si="1"/>
        <v>8.0000000000000071E-2</v>
      </c>
      <c r="O5" s="345">
        <f t="shared" si="1"/>
        <v>6.0000000000000053E-2</v>
      </c>
      <c r="P5" s="345">
        <f t="shared" si="1"/>
        <v>6.0000000000000053E-2</v>
      </c>
      <c r="Q5" s="345">
        <f t="shared" si="1"/>
        <v>6.0000000000000053E-2</v>
      </c>
      <c r="R5" s="345">
        <f t="shared" si="1"/>
        <v>6.0000000000000053E-2</v>
      </c>
      <c r="S5" s="345">
        <f t="shared" si="1"/>
        <v>6.0000000000000053E-2</v>
      </c>
      <c r="T5" s="345">
        <f t="shared" si="1"/>
        <v>4.0000000000000036E-2</v>
      </c>
      <c r="U5" s="345">
        <f t="shared" si="1"/>
        <v>4.0000000000000036E-2</v>
      </c>
      <c r="V5" s="345">
        <f t="shared" si="1"/>
        <v>4.0000000000000036E-2</v>
      </c>
      <c r="W5" s="345">
        <f t="shared" si="1"/>
        <v>4.0000000000000036E-2</v>
      </c>
      <c r="X5" s="345">
        <f t="shared" si="1"/>
        <v>4.0000000000000036E-2</v>
      </c>
      <c r="Y5" s="345">
        <f t="shared" si="1"/>
        <v>3.0000000000000027E-2</v>
      </c>
      <c r="Z5" s="345">
        <f t="shared" si="1"/>
        <v>3.0000000000000027E-2</v>
      </c>
      <c r="AA5" s="345">
        <f t="shared" si="1"/>
        <v>3.0000000000000027E-2</v>
      </c>
      <c r="AB5" s="345">
        <f t="shared" si="1"/>
        <v>3.0000000000000027E-2</v>
      </c>
      <c r="AC5" s="345">
        <f t="shared" si="1"/>
        <v>3.0000000000000027E-2</v>
      </c>
      <c r="AD5" s="345">
        <f t="shared" si="1"/>
        <v>3.0000000000000027E-2</v>
      </c>
      <c r="AE5" s="345">
        <f t="shared" si="1"/>
        <v>3.0000000000000027E-2</v>
      </c>
      <c r="AF5" s="346">
        <f t="shared" si="1"/>
        <v>3.0000000000000027E-2</v>
      </c>
      <c r="AG5" s="427"/>
      <c r="AH5" s="11"/>
      <c r="AI5" s="11"/>
      <c r="AJ5" s="11"/>
      <c r="AK5" s="11"/>
      <c r="AL5" s="11"/>
      <c r="AM5" s="11"/>
      <c r="AN5" s="11"/>
    </row>
    <row r="6" spans="1:40" ht="15">
      <c r="A6" s="901"/>
      <c r="B6" s="270">
        <v>2</v>
      </c>
      <c r="C6" s="264" t="s">
        <v>462</v>
      </c>
      <c r="D6" s="288">
        <f>Inputs!D6</f>
        <v>2493386</v>
      </c>
      <c r="E6" s="284">
        <f>Inputs!C6</f>
        <v>3109106</v>
      </c>
      <c r="F6" s="329">
        <f>Inputs!B6</f>
        <v>3981578</v>
      </c>
      <c r="G6" s="337">
        <v>4100000</v>
      </c>
      <c r="H6" s="335">
        <v>4275000</v>
      </c>
      <c r="I6" s="335">
        <v>4550000</v>
      </c>
      <c r="J6" s="335">
        <f t="shared" ref="J6:N6" si="2">I6*1.08</f>
        <v>4914000</v>
      </c>
      <c r="K6" s="337">
        <f t="shared" si="2"/>
        <v>5307120</v>
      </c>
      <c r="L6" s="335">
        <f t="shared" si="2"/>
        <v>5731689.6000000006</v>
      </c>
      <c r="M6" s="335">
        <f t="shared" si="2"/>
        <v>6190224.7680000011</v>
      </c>
      <c r="N6" s="335">
        <f t="shared" si="2"/>
        <v>6685442.7494400013</v>
      </c>
      <c r="O6" s="335">
        <f>N6*1.06</f>
        <v>7086569.3144064015</v>
      </c>
      <c r="P6" s="335">
        <f t="shared" ref="P6:S6" si="3">O6*1.06</f>
        <v>7511763.473270786</v>
      </c>
      <c r="Q6" s="335">
        <f t="shared" si="3"/>
        <v>7962469.2816670332</v>
      </c>
      <c r="R6" s="335">
        <f t="shared" si="3"/>
        <v>8440217.4385670554</v>
      </c>
      <c r="S6" s="335">
        <f t="shared" si="3"/>
        <v>8946630.4848810788</v>
      </c>
      <c r="T6" s="335">
        <f>S6*1.04</f>
        <v>9304495.7042763215</v>
      </c>
      <c r="U6" s="335">
        <f t="shared" ref="U6:X6" si="4">T6*1.04</f>
        <v>9676675.5324473754</v>
      </c>
      <c r="V6" s="335">
        <f t="shared" si="4"/>
        <v>10063742.553745272</v>
      </c>
      <c r="W6" s="335">
        <f t="shared" si="4"/>
        <v>10466292.255895084</v>
      </c>
      <c r="X6" s="335">
        <f t="shared" si="4"/>
        <v>10884943.946130887</v>
      </c>
      <c r="Y6" s="335">
        <f>X6*1.03</f>
        <v>11211492.264514813</v>
      </c>
      <c r="Z6" s="335">
        <f t="shared" ref="Z6:AF6" si="5">Y6*1.03</f>
        <v>11547837.032450259</v>
      </c>
      <c r="AA6" s="335">
        <f t="shared" si="5"/>
        <v>11894272.143423766</v>
      </c>
      <c r="AB6" s="335">
        <f t="shared" si="5"/>
        <v>12251100.30772648</v>
      </c>
      <c r="AC6" s="335">
        <f t="shared" si="5"/>
        <v>12618633.316958275</v>
      </c>
      <c r="AD6" s="335">
        <f t="shared" si="5"/>
        <v>12997192.316467023</v>
      </c>
      <c r="AE6" s="335">
        <f t="shared" si="5"/>
        <v>13387108.085961033</v>
      </c>
      <c r="AF6" s="640">
        <f t="shared" si="5"/>
        <v>13788721.328539863</v>
      </c>
      <c r="AG6" s="556"/>
      <c r="AH6" s="11"/>
      <c r="AI6" s="11"/>
      <c r="AJ6" s="11"/>
      <c r="AK6" s="11"/>
      <c r="AL6" s="11"/>
      <c r="AM6" s="11"/>
      <c r="AN6" s="11"/>
    </row>
    <row r="7" spans="1:40" ht="15">
      <c r="A7" s="901"/>
      <c r="B7" s="270">
        <v>3</v>
      </c>
      <c r="C7" s="96" t="s">
        <v>463</v>
      </c>
      <c r="D7" s="323">
        <f>D8/D6</f>
        <v>9.5423251754842606E-2</v>
      </c>
      <c r="E7" s="320">
        <f t="shared" ref="E7:F7" si="6">E8/E6</f>
        <v>0.10012588827785222</v>
      </c>
      <c r="F7" s="330">
        <f t="shared" si="6"/>
        <v>9.1645322532925386E-2</v>
      </c>
      <c r="G7" s="347">
        <v>9.8000000000000004E-2</v>
      </c>
      <c r="H7" s="348">
        <v>0.105</v>
      </c>
      <c r="I7" s="348">
        <v>0.11</v>
      </c>
      <c r="J7" s="349">
        <v>0.115</v>
      </c>
      <c r="K7" s="347">
        <v>0.12</v>
      </c>
      <c r="L7" s="348">
        <f t="shared" ref="L7:AF7" si="7">$K$7</f>
        <v>0.12</v>
      </c>
      <c r="M7" s="348">
        <f t="shared" si="7"/>
        <v>0.12</v>
      </c>
      <c r="N7" s="348">
        <f t="shared" si="7"/>
        <v>0.12</v>
      </c>
      <c r="O7" s="348">
        <f t="shared" si="7"/>
        <v>0.12</v>
      </c>
      <c r="P7" s="348">
        <f t="shared" si="7"/>
        <v>0.12</v>
      </c>
      <c r="Q7" s="348">
        <f t="shared" si="7"/>
        <v>0.12</v>
      </c>
      <c r="R7" s="348">
        <f t="shared" si="7"/>
        <v>0.12</v>
      </c>
      <c r="S7" s="348">
        <f t="shared" si="7"/>
        <v>0.12</v>
      </c>
      <c r="T7" s="348">
        <f t="shared" si="7"/>
        <v>0.12</v>
      </c>
      <c r="U7" s="348">
        <f t="shared" si="7"/>
        <v>0.12</v>
      </c>
      <c r="V7" s="348">
        <f t="shared" si="7"/>
        <v>0.12</v>
      </c>
      <c r="W7" s="348">
        <f t="shared" si="7"/>
        <v>0.12</v>
      </c>
      <c r="X7" s="348">
        <f t="shared" si="7"/>
        <v>0.12</v>
      </c>
      <c r="Y7" s="654">
        <f t="shared" si="7"/>
        <v>0.12</v>
      </c>
      <c r="Z7" s="348">
        <f t="shared" si="7"/>
        <v>0.12</v>
      </c>
      <c r="AA7" s="348">
        <f t="shared" si="7"/>
        <v>0.12</v>
      </c>
      <c r="AB7" s="348">
        <f t="shared" si="7"/>
        <v>0.12</v>
      </c>
      <c r="AC7" s="348">
        <f t="shared" si="7"/>
        <v>0.12</v>
      </c>
      <c r="AD7" s="348">
        <f t="shared" si="7"/>
        <v>0.12</v>
      </c>
      <c r="AE7" s="348">
        <f t="shared" si="7"/>
        <v>0.12</v>
      </c>
      <c r="AF7" s="645">
        <f t="shared" si="7"/>
        <v>0.12</v>
      </c>
      <c r="AG7" s="427"/>
      <c r="AH7" s="11"/>
      <c r="AI7" s="11"/>
      <c r="AJ7" s="11"/>
      <c r="AK7" s="11"/>
      <c r="AL7" s="11"/>
      <c r="AM7" s="11"/>
      <c r="AN7" s="11"/>
    </row>
    <row r="8" spans="1:40" ht="15">
      <c r="A8" s="901"/>
      <c r="B8" s="270">
        <v>4</v>
      </c>
      <c r="C8" s="248" t="s">
        <v>67</v>
      </c>
      <c r="D8" s="324">
        <f>'Fin. Data'!D11</f>
        <v>237927</v>
      </c>
      <c r="E8" s="321">
        <f>'Fin. Data'!C11</f>
        <v>311302</v>
      </c>
      <c r="F8" s="331">
        <f>'Fin. Data'!B11</f>
        <v>364893</v>
      </c>
      <c r="G8" s="337">
        <f>G7*G6</f>
        <v>401800</v>
      </c>
      <c r="H8" s="335">
        <f t="shared" ref="H8:AF8" si="8">H7*H6</f>
        <v>448875</v>
      </c>
      <c r="I8" s="335">
        <f t="shared" si="8"/>
        <v>500500</v>
      </c>
      <c r="J8" s="338">
        <f t="shared" si="8"/>
        <v>565110</v>
      </c>
      <c r="K8" s="337">
        <f t="shared" si="8"/>
        <v>636854.4</v>
      </c>
      <c r="L8" s="335">
        <f t="shared" si="8"/>
        <v>687802.75200000009</v>
      </c>
      <c r="M8" s="335">
        <f t="shared" si="8"/>
        <v>742826.97216000012</v>
      </c>
      <c r="N8" s="335">
        <f t="shared" si="8"/>
        <v>802253.12993280008</v>
      </c>
      <c r="O8" s="335">
        <f t="shared" si="8"/>
        <v>850388.3177287681</v>
      </c>
      <c r="P8" s="335">
        <f t="shared" si="8"/>
        <v>901411.61679249431</v>
      </c>
      <c r="Q8" s="335">
        <f t="shared" si="8"/>
        <v>955496.31380004389</v>
      </c>
      <c r="R8" s="335">
        <f t="shared" si="8"/>
        <v>1012826.0926280466</v>
      </c>
      <c r="S8" s="335">
        <f t="shared" si="8"/>
        <v>1073595.6581857295</v>
      </c>
      <c r="T8" s="335">
        <f t="shared" si="8"/>
        <v>1116539.4845131584</v>
      </c>
      <c r="U8" s="335">
        <f t="shared" si="8"/>
        <v>1161201.0638936849</v>
      </c>
      <c r="V8" s="335">
        <f t="shared" si="8"/>
        <v>1207649.1064494324</v>
      </c>
      <c r="W8" s="335">
        <f t="shared" si="8"/>
        <v>1255955.0707074101</v>
      </c>
      <c r="X8" s="335">
        <f t="shared" si="8"/>
        <v>1306193.2735357063</v>
      </c>
      <c r="Y8" s="335">
        <f t="shared" si="8"/>
        <v>1345379.0717417775</v>
      </c>
      <c r="Z8" s="335">
        <f t="shared" si="8"/>
        <v>1385740.443894031</v>
      </c>
      <c r="AA8" s="335">
        <f t="shared" si="8"/>
        <v>1427312.6572108518</v>
      </c>
      <c r="AB8" s="335">
        <f t="shared" si="8"/>
        <v>1470132.0369271776</v>
      </c>
      <c r="AC8" s="335">
        <f t="shared" si="8"/>
        <v>1514235.998034993</v>
      </c>
      <c r="AD8" s="335">
        <f t="shared" si="8"/>
        <v>1559663.0779760426</v>
      </c>
      <c r="AE8" s="335">
        <f t="shared" si="8"/>
        <v>1606452.9703153239</v>
      </c>
      <c r="AF8" s="338">
        <f t="shared" si="8"/>
        <v>1654646.5594247836</v>
      </c>
      <c r="AG8" s="542"/>
      <c r="AH8" s="7"/>
      <c r="AI8" s="7"/>
      <c r="AJ8" s="7"/>
      <c r="AK8" s="11"/>
      <c r="AL8" s="11"/>
      <c r="AM8" s="11"/>
      <c r="AN8" s="11"/>
    </row>
    <row r="9" spans="1:40" ht="15">
      <c r="A9" s="901"/>
      <c r="B9" s="270" t="s">
        <v>464</v>
      </c>
      <c r="C9" s="264" t="s">
        <v>465</v>
      </c>
      <c r="D9" s="528">
        <v>-36178</v>
      </c>
      <c r="E9" s="529">
        <v>-40952</v>
      </c>
      <c r="F9" s="530">
        <v>-51181</v>
      </c>
      <c r="G9" s="531">
        <f>$D$53*DCF!F40</f>
        <v>-48773.181582719852</v>
      </c>
      <c r="H9" s="532">
        <f>$D$53*DCF!G40</f>
        <v>-52636.509907793552</v>
      </c>
      <c r="I9" s="532">
        <f>$D$53*DCF!H40</f>
        <v>-56664.736393083804</v>
      </c>
      <c r="J9" s="533">
        <f>$D$53*DCF!I40</f>
        <v>-60952.088558714371</v>
      </c>
      <c r="K9" s="534">
        <f>$E$53*DCF!J40</f>
        <v>-65582.428897595382</v>
      </c>
      <c r="L9" s="535">
        <f>$E$53*DCF!K40</f>
        <v>-69415.596614976952</v>
      </c>
      <c r="M9" s="535">
        <f>$E$53*DCF!L40</f>
        <v>-73555.417749749045</v>
      </c>
      <c r="N9" s="535">
        <f>$E$53*DCF!M40</f>
        <v>-78026.424575302895</v>
      </c>
      <c r="O9" s="535">
        <f>$E$53*DCF!N40</f>
        <v>-82855.111946901059</v>
      </c>
      <c r="P9" s="535">
        <f>$E$53*DCF!O40</f>
        <v>-87973.520560795107</v>
      </c>
      <c r="Q9" s="535">
        <f>$E$53*DCF!P40</f>
        <v>-93399.033691522811</v>
      </c>
      <c r="R9" s="535">
        <f>$E$53*DCF!Q40</f>
        <v>-99150.077610094173</v>
      </c>
      <c r="S9" s="535">
        <f>$E$53*DCF!R40</f>
        <v>-105246.18416377979</v>
      </c>
      <c r="T9" s="535">
        <f>$E$53*DCF!S40</f>
        <v>-111708.05711068657</v>
      </c>
      <c r="U9" s="535">
        <f>$E$53*DCF!T40</f>
        <v>-118428.40497546962</v>
      </c>
      <c r="V9" s="535">
        <f>$E$53*DCF!U40</f>
        <v>-125417.56675484398</v>
      </c>
      <c r="W9" s="535">
        <f>$E$53*DCF!V40</f>
        <v>-132686.29500539333</v>
      </c>
      <c r="X9" s="535">
        <f>$E$53*DCF!W40</f>
        <v>-140245.77238596466</v>
      </c>
      <c r="Y9" s="535">
        <f>$E$53*DCF!X40</f>
        <v>-148107.62886175883</v>
      </c>
      <c r="Z9" s="535">
        <f>$E$53*DCF!Y40</f>
        <v>-156205.34103182683</v>
      </c>
      <c r="AA9" s="535">
        <f>$E$53*DCF!Z40</f>
        <v>-164545.98456699689</v>
      </c>
      <c r="AB9" s="535">
        <f>$E$53*DCF!AA40</f>
        <v>-173136.84740822203</v>
      </c>
      <c r="AC9" s="535">
        <f>$E$53*DCF!AB40</f>
        <v>-181985.43613468393</v>
      </c>
      <c r="AD9" s="535">
        <f>$E$53*DCF!AC40</f>
        <v>-191099.48252293968</v>
      </c>
      <c r="AE9" s="535">
        <f>$E$53*DCF!AD40</f>
        <v>-200486.95030284312</v>
      </c>
      <c r="AF9" s="536">
        <f>$E$53*DCF!AE40</f>
        <v>-210156.04211614365</v>
      </c>
      <c r="AG9" s="543">
        <f>SUM(D9:AF9)</f>
        <v>-3156751.1214308022</v>
      </c>
      <c r="AH9" s="7"/>
      <c r="AI9" s="7"/>
      <c r="AJ9" s="7"/>
      <c r="AK9" s="11"/>
      <c r="AL9" s="11"/>
      <c r="AM9" s="11"/>
      <c r="AN9" s="11"/>
    </row>
    <row r="10" spans="1:40" ht="15">
      <c r="A10" s="901"/>
      <c r="B10" s="270" t="s">
        <v>466</v>
      </c>
      <c r="C10" s="264" t="s">
        <v>467</v>
      </c>
      <c r="D10" s="528">
        <v>-30050</v>
      </c>
      <c r="E10" s="529">
        <v>-32684</v>
      </c>
      <c r="F10" s="530">
        <v>-39496</v>
      </c>
      <c r="G10" s="531">
        <f t="shared" ref="G10:J10" si="9">F38*$D$54</f>
        <v>-39612.825622062293</v>
      </c>
      <c r="H10" s="537">
        <f t="shared" si="9"/>
        <v>-44043.98641580886</v>
      </c>
      <c r="I10" s="537">
        <f t="shared" si="9"/>
        <v>-48970.824699653509</v>
      </c>
      <c r="J10" s="538">
        <f t="shared" si="9"/>
        <v>-54448.787835049836</v>
      </c>
      <c r="K10" s="534">
        <f t="shared" ref="K10:AF10" si="10">J38*$E$54</f>
        <v>-60539.525623452435</v>
      </c>
      <c r="L10" s="535">
        <f t="shared" si="10"/>
        <v>-67311.584122234475</v>
      </c>
      <c r="M10" s="535">
        <f t="shared" si="10"/>
        <v>-74841.177072081991</v>
      </c>
      <c r="N10" s="535">
        <f t="shared" si="10"/>
        <v>-83213.04361762201</v>
      </c>
      <c r="O10" s="535">
        <f t="shared" si="10"/>
        <v>-92521.401974198467</v>
      </c>
      <c r="P10" s="535">
        <f t="shared" si="10"/>
        <v>-102871.00977350168</v>
      </c>
      <c r="Q10" s="535">
        <f t="shared" si="10"/>
        <v>-114378.343021337</v>
      </c>
      <c r="R10" s="535">
        <f t="shared" si="10"/>
        <v>-127172.90693569627</v>
      </c>
      <c r="S10" s="535">
        <f t="shared" si="10"/>
        <v>-141398.69341749637</v>
      </c>
      <c r="T10" s="535">
        <f t="shared" si="10"/>
        <v>-157215.80155657438</v>
      </c>
      <c r="U10" s="535">
        <f t="shared" si="10"/>
        <v>-174802.23941035211</v>
      </c>
      <c r="V10" s="535">
        <f t="shared" si="10"/>
        <v>-194355.92733265104</v>
      </c>
      <c r="W10" s="535">
        <f t="shared" si="10"/>
        <v>-216096.92539841498</v>
      </c>
      <c r="X10" s="535">
        <f t="shared" si="10"/>
        <v>-240269.90999210477</v>
      </c>
      <c r="Y10" s="535">
        <f t="shared" si="10"/>
        <v>-267146.92743165506</v>
      </c>
      <c r="Z10" s="535">
        <f t="shared" si="10"/>
        <v>-297030.45561768045</v>
      </c>
      <c r="AA10" s="535">
        <f t="shared" si="10"/>
        <v>-330256.80816418241</v>
      </c>
      <c r="AB10" s="535">
        <f t="shared" si="10"/>
        <v>-367199.91932134144</v>
      </c>
      <c r="AC10" s="535">
        <f t="shared" si="10"/>
        <v>-408275.55228647403</v>
      </c>
      <c r="AD10" s="535">
        <f t="shared" si="10"/>
        <v>-453945.9782641012</v>
      </c>
      <c r="AE10" s="535">
        <f t="shared" si="10"/>
        <v>-504725.1789339598</v>
      </c>
      <c r="AF10" s="536">
        <f t="shared" si="10"/>
        <v>-561184.63087629376</v>
      </c>
      <c r="AG10" s="542"/>
      <c r="AH10" s="7"/>
      <c r="AI10" s="7"/>
      <c r="AJ10" s="7"/>
      <c r="AK10" s="11"/>
      <c r="AL10" s="11"/>
      <c r="AM10" s="11"/>
      <c r="AN10" s="11"/>
    </row>
    <row r="11" spans="1:40" ht="15">
      <c r="A11" s="901"/>
      <c r="B11" s="270" t="s">
        <v>468</v>
      </c>
      <c r="C11" s="264" t="s">
        <v>469</v>
      </c>
      <c r="D11" s="528">
        <f>D20</f>
        <v>0</v>
      </c>
      <c r="E11" s="529">
        <f>E20</f>
        <v>0</v>
      </c>
      <c r="F11" s="530">
        <f>F20</f>
        <v>0</v>
      </c>
      <c r="G11" s="531">
        <f>G6*$D$55</f>
        <v>0</v>
      </c>
      <c r="H11" s="537">
        <f t="shared" ref="H11:AF11" si="11">H6*$D$55</f>
        <v>0</v>
      </c>
      <c r="I11" s="537">
        <f t="shared" si="11"/>
        <v>0</v>
      </c>
      <c r="J11" s="538">
        <f t="shared" si="11"/>
        <v>0</v>
      </c>
      <c r="K11" s="531">
        <f t="shared" si="11"/>
        <v>0</v>
      </c>
      <c r="L11" s="537">
        <f t="shared" si="11"/>
        <v>0</v>
      </c>
      <c r="M11" s="537">
        <f t="shared" si="11"/>
        <v>0</v>
      </c>
      <c r="N11" s="537">
        <f t="shared" si="11"/>
        <v>0</v>
      </c>
      <c r="O11" s="537">
        <f t="shared" si="11"/>
        <v>0</v>
      </c>
      <c r="P11" s="537">
        <f t="shared" si="11"/>
        <v>0</v>
      </c>
      <c r="Q11" s="537">
        <f t="shared" si="11"/>
        <v>0</v>
      </c>
      <c r="R11" s="537">
        <f t="shared" si="11"/>
        <v>0</v>
      </c>
      <c r="S11" s="537">
        <f t="shared" si="11"/>
        <v>0</v>
      </c>
      <c r="T11" s="537">
        <f t="shared" si="11"/>
        <v>0</v>
      </c>
      <c r="U11" s="537">
        <f t="shared" si="11"/>
        <v>0</v>
      </c>
      <c r="V11" s="537">
        <f t="shared" si="11"/>
        <v>0</v>
      </c>
      <c r="W11" s="537">
        <f t="shared" si="11"/>
        <v>0</v>
      </c>
      <c r="X11" s="537">
        <f t="shared" si="11"/>
        <v>0</v>
      </c>
      <c r="Y11" s="537">
        <f t="shared" si="11"/>
        <v>0</v>
      </c>
      <c r="Z11" s="537">
        <f t="shared" si="11"/>
        <v>0</v>
      </c>
      <c r="AA11" s="537">
        <f t="shared" si="11"/>
        <v>0</v>
      </c>
      <c r="AB11" s="537">
        <f t="shared" si="11"/>
        <v>0</v>
      </c>
      <c r="AC11" s="537">
        <f t="shared" si="11"/>
        <v>0</v>
      </c>
      <c r="AD11" s="537">
        <f t="shared" si="11"/>
        <v>0</v>
      </c>
      <c r="AE11" s="537">
        <f t="shared" si="11"/>
        <v>0</v>
      </c>
      <c r="AF11" s="538">
        <f t="shared" si="11"/>
        <v>0</v>
      </c>
      <c r="AG11" s="542"/>
      <c r="AH11" s="7"/>
      <c r="AI11" s="7"/>
      <c r="AJ11" s="7"/>
      <c r="AK11" s="11"/>
      <c r="AL11" s="11"/>
      <c r="AM11" s="11"/>
      <c r="AN11" s="11"/>
    </row>
    <row r="12" spans="1:40" ht="15">
      <c r="A12" s="901"/>
      <c r="B12" s="270">
        <v>6</v>
      </c>
      <c r="C12" s="248" t="s">
        <v>470</v>
      </c>
      <c r="D12" s="293">
        <f t="shared" ref="D12:AF12" si="12">D8-D9-D10</f>
        <v>304155</v>
      </c>
      <c r="E12" s="294">
        <f t="shared" si="12"/>
        <v>384938</v>
      </c>
      <c r="F12" s="332">
        <f t="shared" si="12"/>
        <v>455570</v>
      </c>
      <c r="G12" s="350">
        <f>G8-G9-G10</f>
        <v>490186.00720478216</v>
      </c>
      <c r="H12" s="351">
        <f t="shared" si="12"/>
        <v>545555.49632360239</v>
      </c>
      <c r="I12" s="351">
        <f t="shared" si="12"/>
        <v>606135.56109273736</v>
      </c>
      <c r="J12" s="352">
        <f t="shared" si="12"/>
        <v>680510.87639376416</v>
      </c>
      <c r="K12" s="350">
        <f t="shared" si="12"/>
        <v>762976.35452104779</v>
      </c>
      <c r="L12" s="351">
        <f t="shared" si="12"/>
        <v>824529.93273721158</v>
      </c>
      <c r="M12" s="351">
        <f t="shared" si="12"/>
        <v>891223.5669818311</v>
      </c>
      <c r="N12" s="351">
        <f t="shared" si="12"/>
        <v>963492.59812572494</v>
      </c>
      <c r="O12" s="351">
        <f t="shared" si="12"/>
        <v>1025764.8316498676</v>
      </c>
      <c r="P12" s="351">
        <f t="shared" si="12"/>
        <v>1092256.1471267911</v>
      </c>
      <c r="Q12" s="351">
        <f t="shared" si="12"/>
        <v>1163273.6905129037</v>
      </c>
      <c r="R12" s="351">
        <f t="shared" si="12"/>
        <v>1239149.077173837</v>
      </c>
      <c r="S12" s="351">
        <f t="shared" si="12"/>
        <v>1320240.5357670055</v>
      </c>
      <c r="T12" s="351">
        <f t="shared" si="12"/>
        <v>1385463.3431804194</v>
      </c>
      <c r="U12" s="351">
        <f t="shared" si="12"/>
        <v>1454431.7082795068</v>
      </c>
      <c r="V12" s="351">
        <f t="shared" si="12"/>
        <v>1527422.6005369276</v>
      </c>
      <c r="W12" s="351">
        <f t="shared" si="12"/>
        <v>1604738.2911112183</v>
      </c>
      <c r="X12" s="351">
        <f t="shared" si="12"/>
        <v>1686708.9559137758</v>
      </c>
      <c r="Y12" s="351">
        <f t="shared" si="12"/>
        <v>1760633.6280351914</v>
      </c>
      <c r="Z12" s="351">
        <f t="shared" si="12"/>
        <v>1838976.2405435382</v>
      </c>
      <c r="AA12" s="351">
        <f t="shared" si="12"/>
        <v>1922115.4499420309</v>
      </c>
      <c r="AB12" s="351">
        <f t="shared" si="12"/>
        <v>2010468.803656741</v>
      </c>
      <c r="AC12" s="351">
        <f t="shared" si="12"/>
        <v>2104496.9864561511</v>
      </c>
      <c r="AD12" s="351">
        <f t="shared" si="12"/>
        <v>2204708.5387630835</v>
      </c>
      <c r="AE12" s="351">
        <f t="shared" si="12"/>
        <v>2311665.0995521271</v>
      </c>
      <c r="AF12" s="352">
        <f t="shared" si="12"/>
        <v>2425987.2324172212</v>
      </c>
      <c r="AG12" s="315"/>
      <c r="AH12" s="7"/>
      <c r="AI12" s="7"/>
      <c r="AJ12" s="7"/>
      <c r="AK12" s="11"/>
      <c r="AL12" s="11"/>
      <c r="AM12" s="11"/>
      <c r="AN12" s="11"/>
    </row>
    <row r="13" spans="1:40" ht="15">
      <c r="A13" s="901"/>
      <c r="B13" s="270">
        <v>7</v>
      </c>
      <c r="C13" s="264" t="s">
        <v>471</v>
      </c>
      <c r="D13" s="525">
        <f>'Fin. Data'!D14</f>
        <v>2772</v>
      </c>
      <c r="E13" s="526">
        <f>'Fin. Data'!C14</f>
        <v>-638</v>
      </c>
      <c r="F13" s="527">
        <f>'Fin. Data'!B14</f>
        <v>-8730</v>
      </c>
      <c r="G13" s="531">
        <f>F43*$D$58-F44*$D$57</f>
        <v>-19995.127200000003</v>
      </c>
      <c r="H13" s="535">
        <f t="shared" ref="H13:J13" si="13">G43*$D$58-G44*$D$57</f>
        <v>-17501.524178169282</v>
      </c>
      <c r="I13" s="535">
        <f t="shared" si="13"/>
        <v>-18993.625887592345</v>
      </c>
      <c r="J13" s="536">
        <f t="shared" si="13"/>
        <v>-21805.284063494539</v>
      </c>
      <c r="K13" s="534">
        <f>J43*$E$58-J44*$E$57</f>
        <v>-39408.870470630864</v>
      </c>
      <c r="L13" s="535">
        <f t="shared" ref="L13:AF13" si="14">K43*$E$58-K44*$E$57</f>
        <v>-44508.180865196446</v>
      </c>
      <c r="M13" s="535">
        <f t="shared" si="14"/>
        <v>-48577.91210228447</v>
      </c>
      <c r="N13" s="535">
        <f t="shared" si="14"/>
        <v>-52987.78543857098</v>
      </c>
      <c r="O13" s="535">
        <f t="shared" si="14"/>
        <v>-57760.00415397928</v>
      </c>
      <c r="P13" s="535">
        <f t="shared" si="14"/>
        <v>-61322.204109801998</v>
      </c>
      <c r="Q13" s="535">
        <f t="shared" si="14"/>
        <v>-65078.923134084558</v>
      </c>
      <c r="R13" s="535">
        <f t="shared" si="14"/>
        <v>-69038.772107638462</v>
      </c>
      <c r="S13" s="535">
        <f t="shared" si="14"/>
        <v>-73211.831103393823</v>
      </c>
      <c r="T13" s="535">
        <f t="shared" si="14"/>
        <v>-77607.537301479082</v>
      </c>
      <c r="U13" s="535">
        <f t="shared" si="14"/>
        <v>-80092.815744083957</v>
      </c>
      <c r="V13" s="535">
        <f t="shared" si="14"/>
        <v>-82601.864091543161</v>
      </c>
      <c r="W13" s="535">
        <f t="shared" si="14"/>
        <v>-86706.02217445345</v>
      </c>
      <c r="X13" s="535">
        <f t="shared" si="14"/>
        <v>-90891.474711770425</v>
      </c>
      <c r="Y13" s="535">
        <f t="shared" si="14"/>
        <v>-95153.537084858137</v>
      </c>
      <c r="Z13" s="535">
        <f t="shared" si="14"/>
        <v>-98164.941617121134</v>
      </c>
      <c r="AA13" s="535">
        <f t="shared" si="14"/>
        <v>-101129.50873481359</v>
      </c>
      <c r="AB13" s="535">
        <f t="shared" si="14"/>
        <v>-104034.03468096188</v>
      </c>
      <c r="AC13" s="535">
        <f t="shared" si="14"/>
        <v>-106863.76339524667</v>
      </c>
      <c r="AD13" s="535">
        <f t="shared" si="14"/>
        <v>-109601.53108187669</v>
      </c>
      <c r="AE13" s="535">
        <f t="shared" si="14"/>
        <v>-112228.2929313066</v>
      </c>
      <c r="AF13" s="536">
        <f t="shared" si="14"/>
        <v>-114722.59379299637</v>
      </c>
      <c r="AG13" s="542"/>
      <c r="AH13" s="7"/>
      <c r="AI13" s="7"/>
      <c r="AJ13" s="7"/>
      <c r="AK13" s="11"/>
      <c r="AL13" s="11"/>
      <c r="AM13" s="11"/>
      <c r="AN13" s="11"/>
    </row>
    <row r="14" spans="1:40" ht="15">
      <c r="A14" s="901"/>
      <c r="B14" s="270">
        <v>8</v>
      </c>
      <c r="C14" s="264" t="s">
        <v>472</v>
      </c>
      <c r="D14" s="325">
        <f>'Fin. Data'!D15</f>
        <v>-8652</v>
      </c>
      <c r="E14" s="322">
        <f>'Fin. Data'!C15</f>
        <v>9832</v>
      </c>
      <c r="F14" s="333">
        <f>'Fin. Data'!B15</f>
        <v>9533</v>
      </c>
      <c r="G14" s="337">
        <f>AVERAGE(D14:F14)*(1+G5)</f>
        <v>3677.2103924624857</v>
      </c>
      <c r="H14" s="335">
        <f t="shared" ref="H14:AF14" si="15">AVERAGE(E14:G14)*(1+H5)</f>
        <v>8008.5731242095226</v>
      </c>
      <c r="I14" s="335">
        <f t="shared" si="15"/>
        <v>7527.9115010415326</v>
      </c>
      <c r="J14" s="338">
        <f t="shared" si="15"/>
        <v>6916.9302063768755</v>
      </c>
      <c r="K14" s="337">
        <f t="shared" si="15"/>
        <v>8083.2293393860564</v>
      </c>
      <c r="L14" s="335">
        <f t="shared" si="15"/>
        <v>8110.1055768496071</v>
      </c>
      <c r="M14" s="335">
        <f t="shared" si="15"/>
        <v>8319.6954441405142</v>
      </c>
      <c r="N14" s="335">
        <f t="shared" si="15"/>
        <v>8824.690929735425</v>
      </c>
      <c r="O14" s="335">
        <f t="shared" si="15"/>
        <v>8923.2538225896951</v>
      </c>
      <c r="P14" s="335">
        <f t="shared" si="15"/>
        <v>9210.5662027511898</v>
      </c>
      <c r="Q14" s="335">
        <f t="shared" si="15"/>
        <v>9525.3405374602971</v>
      </c>
      <c r="R14" s="335">
        <f t="shared" si="15"/>
        <v>9772.9033988564188</v>
      </c>
      <c r="S14" s="335">
        <f t="shared" si="15"/>
        <v>10073.112915803995</v>
      </c>
      <c r="T14" s="335">
        <f t="shared" si="15"/>
        <v>10182.070375401847</v>
      </c>
      <c r="U14" s="335">
        <f t="shared" si="15"/>
        <v>10409.736719221584</v>
      </c>
      <c r="V14" s="335">
        <f t="shared" si="15"/>
        <v>10630.505603614843</v>
      </c>
      <c r="W14" s="335">
        <f t="shared" si="15"/>
        <v>10823.735068722603</v>
      </c>
      <c r="X14" s="335">
        <f t="shared" si="15"/>
        <v>11046.178829073799</v>
      </c>
      <c r="Y14" s="335">
        <f t="shared" si="15"/>
        <v>11158.477362151194</v>
      </c>
      <c r="Z14" s="335">
        <f t="shared" si="15"/>
        <v>11339.747665915342</v>
      </c>
      <c r="AA14" s="335">
        <f t="shared" si="15"/>
        <v>11516.911990951516</v>
      </c>
      <c r="AB14" s="335">
        <f t="shared" si="15"/>
        <v>11678.530376529532</v>
      </c>
      <c r="AC14" s="335">
        <f t="shared" si="15"/>
        <v>11857.081911466094</v>
      </c>
      <c r="AD14" s="335">
        <f t="shared" si="15"/>
        <v>12034.700002438518</v>
      </c>
      <c r="AE14" s="335">
        <f t="shared" si="15"/>
        <v>12212.47388638239</v>
      </c>
      <c r="AF14" s="338">
        <f t="shared" si="15"/>
        <v>12395.794491431869</v>
      </c>
      <c r="AG14" s="542"/>
      <c r="AH14" s="7"/>
      <c r="AI14" s="7"/>
      <c r="AJ14" s="7"/>
      <c r="AK14" s="11"/>
      <c r="AL14" s="11"/>
      <c r="AM14" s="11"/>
      <c r="AN14" s="11"/>
    </row>
    <row r="15" spans="1:40" ht="15">
      <c r="A15" s="901"/>
      <c r="B15" s="270">
        <v>9</v>
      </c>
      <c r="C15" s="248" t="s">
        <v>473</v>
      </c>
      <c r="D15" s="293">
        <f t="shared" ref="D15:AF15" si="16">D8+D13+D14</f>
        <v>232047</v>
      </c>
      <c r="E15" s="294">
        <f t="shared" si="16"/>
        <v>320496</v>
      </c>
      <c r="F15" s="332">
        <f t="shared" si="16"/>
        <v>365696</v>
      </c>
      <c r="G15" s="350">
        <f t="shared" si="16"/>
        <v>385482.08319246251</v>
      </c>
      <c r="H15" s="351">
        <f t="shared" si="16"/>
        <v>439382.04894604028</v>
      </c>
      <c r="I15" s="351">
        <f t="shared" si="16"/>
        <v>489034.28561344923</v>
      </c>
      <c r="J15" s="352">
        <f t="shared" si="16"/>
        <v>550221.64614288229</v>
      </c>
      <c r="K15" s="350">
        <f t="shared" si="16"/>
        <v>605528.75886875531</v>
      </c>
      <c r="L15" s="351">
        <f t="shared" si="16"/>
        <v>651404.67671165336</v>
      </c>
      <c r="M15" s="351">
        <f t="shared" si="16"/>
        <v>702568.7555018561</v>
      </c>
      <c r="N15" s="351">
        <f t="shared" si="16"/>
        <v>758090.03542396449</v>
      </c>
      <c r="O15" s="351">
        <f t="shared" si="16"/>
        <v>801551.5673973785</v>
      </c>
      <c r="P15" s="351">
        <f t="shared" si="16"/>
        <v>849299.97888544353</v>
      </c>
      <c r="Q15" s="351">
        <f t="shared" si="16"/>
        <v>899942.73120341962</v>
      </c>
      <c r="R15" s="351">
        <f t="shared" si="16"/>
        <v>953560.22391926462</v>
      </c>
      <c r="S15" s="351">
        <f t="shared" si="16"/>
        <v>1010456.9399981397</v>
      </c>
      <c r="T15" s="351">
        <f t="shared" si="16"/>
        <v>1049114.0175870811</v>
      </c>
      <c r="U15" s="351">
        <f t="shared" si="16"/>
        <v>1091517.9848688224</v>
      </c>
      <c r="V15" s="351">
        <f t="shared" si="16"/>
        <v>1135677.7479615039</v>
      </c>
      <c r="W15" s="351">
        <f t="shared" si="16"/>
        <v>1180072.7836016794</v>
      </c>
      <c r="X15" s="351">
        <f t="shared" si="16"/>
        <v>1226347.9776530098</v>
      </c>
      <c r="Y15" s="351">
        <f t="shared" si="16"/>
        <v>1261384.0120190706</v>
      </c>
      <c r="Z15" s="351">
        <f t="shared" si="16"/>
        <v>1298915.2499428252</v>
      </c>
      <c r="AA15" s="351">
        <f t="shared" si="16"/>
        <v>1337700.0604669896</v>
      </c>
      <c r="AB15" s="351">
        <f t="shared" si="16"/>
        <v>1377776.5326227453</v>
      </c>
      <c r="AC15" s="351">
        <f t="shared" si="16"/>
        <v>1419229.3165512125</v>
      </c>
      <c r="AD15" s="351">
        <f t="shared" si="16"/>
        <v>1462096.2468966045</v>
      </c>
      <c r="AE15" s="351">
        <f t="shared" si="16"/>
        <v>1506437.1512703996</v>
      </c>
      <c r="AF15" s="352">
        <f t="shared" si="16"/>
        <v>1552319.7601232191</v>
      </c>
      <c r="AG15" s="542"/>
      <c r="AH15" s="7"/>
      <c r="AI15" s="7"/>
      <c r="AJ15" s="7"/>
      <c r="AK15" s="11"/>
      <c r="AL15" s="11"/>
      <c r="AM15" s="11"/>
      <c r="AN15" s="11"/>
    </row>
    <row r="16" spans="1:40" ht="15">
      <c r="A16" s="901"/>
      <c r="B16" s="270">
        <v>10</v>
      </c>
      <c r="C16" s="264" t="s">
        <v>474</v>
      </c>
      <c r="D16" s="522">
        <f>'Fin. Data'!D21</f>
        <v>-75797</v>
      </c>
      <c r="E16" s="523">
        <f>'Fin. Data'!C21</f>
        <v>-102786</v>
      </c>
      <c r="F16" s="524">
        <f>'Fin. Data'!B21</f>
        <v>-107941</v>
      </c>
      <c r="G16" s="502">
        <f>-(1*24%)*G15</f>
        <v>-92515.699966190994</v>
      </c>
      <c r="H16" s="448">
        <f t="shared" ref="H16:J16" si="17">-(1*$D$56)*H15</f>
        <v>-134450.90697748831</v>
      </c>
      <c r="I16" s="448">
        <f t="shared" si="17"/>
        <v>-149644.49139771546</v>
      </c>
      <c r="J16" s="449">
        <f t="shared" si="17"/>
        <v>-168367.82371972199</v>
      </c>
      <c r="K16" s="447">
        <f>-(1*$E$56)*K15</f>
        <v>-185291.80021383913</v>
      </c>
      <c r="L16" s="448">
        <f t="shared" ref="L16:AF16" si="18">-(1*$E$56)*L15</f>
        <v>-199329.83107376593</v>
      </c>
      <c r="M16" s="448">
        <f t="shared" si="18"/>
        <v>-214986.03918356795</v>
      </c>
      <c r="N16" s="448">
        <f t="shared" si="18"/>
        <v>-231975.55083973313</v>
      </c>
      <c r="O16" s="448">
        <f t="shared" si="18"/>
        <v>-245274.77962359783</v>
      </c>
      <c r="P16" s="448">
        <f t="shared" si="18"/>
        <v>-259885.79353894573</v>
      </c>
      <c r="Q16" s="448">
        <f t="shared" si="18"/>
        <v>-275382.47574824642</v>
      </c>
      <c r="R16" s="448">
        <f t="shared" si="18"/>
        <v>-291789.42851929495</v>
      </c>
      <c r="S16" s="448">
        <f t="shared" si="18"/>
        <v>-309199.82363943075</v>
      </c>
      <c r="T16" s="448">
        <f t="shared" si="18"/>
        <v>-321028.88938164682</v>
      </c>
      <c r="U16" s="448">
        <f t="shared" si="18"/>
        <v>-334004.50336985965</v>
      </c>
      <c r="V16" s="448">
        <f t="shared" si="18"/>
        <v>-347517.39087622019</v>
      </c>
      <c r="W16" s="448">
        <f t="shared" si="18"/>
        <v>-361102.27178211388</v>
      </c>
      <c r="X16" s="448">
        <f t="shared" si="18"/>
        <v>-375262.48116182099</v>
      </c>
      <c r="Y16" s="448">
        <f t="shared" si="18"/>
        <v>-385983.50767783559</v>
      </c>
      <c r="Z16" s="448">
        <f t="shared" si="18"/>
        <v>-397468.06648250448</v>
      </c>
      <c r="AA16" s="448">
        <f t="shared" si="18"/>
        <v>-409336.21850289882</v>
      </c>
      <c r="AB16" s="448">
        <f t="shared" si="18"/>
        <v>-421599.61898256006</v>
      </c>
      <c r="AC16" s="448">
        <f t="shared" si="18"/>
        <v>-434284.170864671</v>
      </c>
      <c r="AD16" s="448">
        <f t="shared" si="18"/>
        <v>-447401.451550361</v>
      </c>
      <c r="AE16" s="448">
        <f t="shared" si="18"/>
        <v>-460969.76828874229</v>
      </c>
      <c r="AF16" s="449">
        <f t="shared" si="18"/>
        <v>-475009.84659770504</v>
      </c>
      <c r="AG16" s="542"/>
      <c r="AH16" s="7"/>
      <c r="AI16" s="7"/>
      <c r="AJ16" s="7"/>
      <c r="AK16" s="11"/>
      <c r="AL16" s="11"/>
      <c r="AM16" s="11"/>
      <c r="AN16" s="11"/>
    </row>
    <row r="17" spans="1:40" ht="15.95" thickBot="1">
      <c r="A17" s="901"/>
      <c r="B17" s="271">
        <v>11</v>
      </c>
      <c r="C17" s="275" t="s">
        <v>475</v>
      </c>
      <c r="D17" s="326">
        <f>'Fin. Data'!D23</f>
        <v>156250</v>
      </c>
      <c r="E17" s="327">
        <f>'Fin. Data'!C23</f>
        <v>217710</v>
      </c>
      <c r="F17" s="334">
        <f>'Fin. Data'!B23</f>
        <v>257755</v>
      </c>
      <c r="G17" s="341">
        <f t="shared" ref="G17:AF17" si="19">G16+G15</f>
        <v>292966.38322627149</v>
      </c>
      <c r="H17" s="342">
        <f t="shared" si="19"/>
        <v>304931.14196855196</v>
      </c>
      <c r="I17" s="342">
        <f t="shared" si="19"/>
        <v>339389.79421573377</v>
      </c>
      <c r="J17" s="343">
        <f t="shared" si="19"/>
        <v>381853.82242316031</v>
      </c>
      <c r="K17" s="341">
        <f t="shared" si="19"/>
        <v>420236.95865491615</v>
      </c>
      <c r="L17" s="342">
        <f t="shared" si="19"/>
        <v>452074.84563788743</v>
      </c>
      <c r="M17" s="342">
        <f t="shared" si="19"/>
        <v>487582.71631828812</v>
      </c>
      <c r="N17" s="342">
        <f t="shared" si="19"/>
        <v>526114.4845842314</v>
      </c>
      <c r="O17" s="342">
        <f t="shared" si="19"/>
        <v>556276.78777378064</v>
      </c>
      <c r="P17" s="342">
        <f t="shared" si="19"/>
        <v>589414.1853464978</v>
      </c>
      <c r="Q17" s="342">
        <f t="shared" si="19"/>
        <v>624560.2554551732</v>
      </c>
      <c r="R17" s="342">
        <f t="shared" si="19"/>
        <v>661770.79539996968</v>
      </c>
      <c r="S17" s="342">
        <f t="shared" si="19"/>
        <v>701257.11635870906</v>
      </c>
      <c r="T17" s="342">
        <f t="shared" si="19"/>
        <v>728085.12820543419</v>
      </c>
      <c r="U17" s="342">
        <f t="shared" si="19"/>
        <v>757513.48149896273</v>
      </c>
      <c r="V17" s="342">
        <f t="shared" si="19"/>
        <v>788160.35708528373</v>
      </c>
      <c r="W17" s="342">
        <f t="shared" si="19"/>
        <v>818970.51181956544</v>
      </c>
      <c r="X17" s="342">
        <f t="shared" si="19"/>
        <v>851085.49649118888</v>
      </c>
      <c r="Y17" s="342">
        <f t="shared" si="19"/>
        <v>875400.50434123492</v>
      </c>
      <c r="Z17" s="342">
        <f t="shared" si="19"/>
        <v>901447.1834603207</v>
      </c>
      <c r="AA17" s="342">
        <f t="shared" si="19"/>
        <v>928363.84196409083</v>
      </c>
      <c r="AB17" s="342">
        <f t="shared" si="19"/>
        <v>956176.91364018526</v>
      </c>
      <c r="AC17" s="342">
        <f t="shared" si="19"/>
        <v>984945.14568654145</v>
      </c>
      <c r="AD17" s="342">
        <f t="shared" si="19"/>
        <v>1014694.7953462435</v>
      </c>
      <c r="AE17" s="342">
        <f t="shared" si="19"/>
        <v>1045467.3829816573</v>
      </c>
      <c r="AF17" s="343">
        <f t="shared" si="19"/>
        <v>1077309.9135255141</v>
      </c>
      <c r="AG17" s="542"/>
      <c r="AH17" s="7"/>
      <c r="AI17" s="7"/>
      <c r="AJ17" s="7"/>
      <c r="AK17" s="11"/>
      <c r="AL17" s="11"/>
      <c r="AM17" s="11"/>
      <c r="AN17" s="11"/>
    </row>
    <row r="18" spans="1:40" ht="15.95" thickBot="1">
      <c r="A18" s="722"/>
      <c r="B18" s="266"/>
      <c r="C18" s="267" t="s">
        <v>476</v>
      </c>
      <c r="D18" s="723" t="s">
        <v>476</v>
      </c>
      <c r="E18" s="723" t="s">
        <v>476</v>
      </c>
      <c r="F18" s="723" t="s">
        <v>476</v>
      </c>
      <c r="G18" s="267" t="s">
        <v>476</v>
      </c>
      <c r="H18" s="267" t="s">
        <v>476</v>
      </c>
      <c r="I18" s="267" t="s">
        <v>476</v>
      </c>
      <c r="J18" s="267" t="s">
        <v>476</v>
      </c>
      <c r="K18" s="267" t="s">
        <v>476</v>
      </c>
      <c r="L18" s="267" t="s">
        <v>476</v>
      </c>
      <c r="M18" s="267" t="s">
        <v>476</v>
      </c>
      <c r="N18" s="267" t="s">
        <v>476</v>
      </c>
      <c r="O18" s="267" t="s">
        <v>476</v>
      </c>
      <c r="P18" s="267" t="s">
        <v>476</v>
      </c>
      <c r="Q18" s="267" t="s">
        <v>476</v>
      </c>
      <c r="R18" s="267" t="s">
        <v>476</v>
      </c>
      <c r="S18" s="267" t="s">
        <v>476</v>
      </c>
      <c r="T18" s="267" t="s">
        <v>476</v>
      </c>
      <c r="U18" s="267" t="s">
        <v>476</v>
      </c>
      <c r="V18" s="267" t="s">
        <v>476</v>
      </c>
      <c r="W18" s="267" t="s">
        <v>476</v>
      </c>
      <c r="X18" s="267" t="s">
        <v>476</v>
      </c>
      <c r="Y18" s="267" t="s">
        <v>476</v>
      </c>
      <c r="Z18" s="267" t="s">
        <v>476</v>
      </c>
      <c r="AA18" s="267" t="s">
        <v>476</v>
      </c>
      <c r="AB18" s="267" t="s">
        <v>476</v>
      </c>
      <c r="AC18" s="267" t="s">
        <v>476</v>
      </c>
      <c r="AD18" s="267" t="s">
        <v>476</v>
      </c>
      <c r="AE18" s="267" t="s">
        <v>476</v>
      </c>
      <c r="AF18" s="724" t="s">
        <v>476</v>
      </c>
      <c r="AG18" s="542"/>
      <c r="AH18" s="7"/>
      <c r="AI18" s="7"/>
      <c r="AJ18" s="7"/>
      <c r="AK18" s="11"/>
      <c r="AL18" s="11"/>
      <c r="AM18" s="11"/>
      <c r="AN18" s="11"/>
    </row>
    <row r="19" spans="1:40" ht="15">
      <c r="A19" s="1080" t="s">
        <v>477</v>
      </c>
      <c r="B19" s="241">
        <v>12</v>
      </c>
      <c r="C19" s="465" t="s">
        <v>478</v>
      </c>
      <c r="D19" s="714">
        <f>D22-D20-D21</f>
        <v>373351</v>
      </c>
      <c r="E19" s="715">
        <f>E22-E20-E21</f>
        <v>471462</v>
      </c>
      <c r="F19" s="716">
        <f>F22-F20-F21</f>
        <v>551490</v>
      </c>
      <c r="G19" s="717">
        <f>G17-G10-G9-G11</f>
        <v>381352.39043105365</v>
      </c>
      <c r="H19" s="715">
        <f t="shared" ref="H19:AF19" si="20">H17-H10-H9-H11</f>
        <v>401611.63829215436</v>
      </c>
      <c r="I19" s="718">
        <f t="shared" si="20"/>
        <v>445025.35530847107</v>
      </c>
      <c r="J19" s="719">
        <f t="shared" si="20"/>
        <v>497254.69881692453</v>
      </c>
      <c r="K19" s="720">
        <f t="shared" si="20"/>
        <v>546358.91317596403</v>
      </c>
      <c r="L19" s="718">
        <f t="shared" si="20"/>
        <v>588802.02637509885</v>
      </c>
      <c r="M19" s="718">
        <f t="shared" si="20"/>
        <v>635979.3111401191</v>
      </c>
      <c r="N19" s="718">
        <f t="shared" si="20"/>
        <v>687353.95277715626</v>
      </c>
      <c r="O19" s="718">
        <f t="shared" si="20"/>
        <v>731653.30169488024</v>
      </c>
      <c r="P19" s="718">
        <f t="shared" si="20"/>
        <v>780258.71568079456</v>
      </c>
      <c r="Q19" s="718">
        <f t="shared" si="20"/>
        <v>832337.63216803304</v>
      </c>
      <c r="R19" s="718">
        <f t="shared" si="20"/>
        <v>888093.77994576015</v>
      </c>
      <c r="S19" s="718">
        <f t="shared" si="20"/>
        <v>947901.99393998529</v>
      </c>
      <c r="T19" s="718">
        <f t="shared" si="20"/>
        <v>997008.98687269515</v>
      </c>
      <c r="U19" s="718">
        <f t="shared" si="20"/>
        <v>1050744.1258847844</v>
      </c>
      <c r="V19" s="718">
        <f t="shared" si="20"/>
        <v>1107933.8511727788</v>
      </c>
      <c r="W19" s="718">
        <f t="shared" si="20"/>
        <v>1167753.7322233738</v>
      </c>
      <c r="X19" s="718">
        <f t="shared" si="20"/>
        <v>1231601.1788692584</v>
      </c>
      <c r="Y19" s="718">
        <f t="shared" si="20"/>
        <v>1290655.0606346489</v>
      </c>
      <c r="Z19" s="718">
        <f t="shared" si="20"/>
        <v>1354682.9801098278</v>
      </c>
      <c r="AA19" s="718">
        <f t="shared" si="20"/>
        <v>1423166.6346952701</v>
      </c>
      <c r="AB19" s="718">
        <f t="shared" si="20"/>
        <v>1496513.6803697487</v>
      </c>
      <c r="AC19" s="718">
        <f t="shared" si="20"/>
        <v>1575206.1341076994</v>
      </c>
      <c r="AD19" s="718">
        <f t="shared" si="20"/>
        <v>1659740.2561332844</v>
      </c>
      <c r="AE19" s="718">
        <f t="shared" si="20"/>
        <v>1750679.51221846</v>
      </c>
      <c r="AF19" s="721">
        <f t="shared" si="20"/>
        <v>1848650.5865179515</v>
      </c>
      <c r="AG19" s="542"/>
      <c r="AH19" s="7"/>
      <c r="AI19" s="7"/>
      <c r="AJ19" s="7"/>
      <c r="AK19" s="11"/>
      <c r="AL19" s="11"/>
      <c r="AM19" s="11"/>
      <c r="AN19" s="11"/>
    </row>
    <row r="20" spans="1:40" ht="15">
      <c r="A20" s="1080"/>
      <c r="B20" s="241">
        <v>13</v>
      </c>
      <c r="C20" s="264" t="s">
        <v>479</v>
      </c>
      <c r="D20" s="651">
        <v>0</v>
      </c>
      <c r="E20" s="652">
        <v>0</v>
      </c>
      <c r="F20" s="653">
        <v>0</v>
      </c>
      <c r="G20" s="520">
        <f>G11</f>
        <v>0</v>
      </c>
      <c r="H20" s="539">
        <f t="shared" ref="H20:AF20" si="21">H11</f>
        <v>0</v>
      </c>
      <c r="I20" s="539">
        <f t="shared" si="21"/>
        <v>0</v>
      </c>
      <c r="J20" s="540">
        <f t="shared" si="21"/>
        <v>0</v>
      </c>
      <c r="K20" s="520">
        <f t="shared" si="21"/>
        <v>0</v>
      </c>
      <c r="L20" s="539">
        <f t="shared" si="21"/>
        <v>0</v>
      </c>
      <c r="M20" s="539">
        <f t="shared" si="21"/>
        <v>0</v>
      </c>
      <c r="N20" s="539">
        <f t="shared" si="21"/>
        <v>0</v>
      </c>
      <c r="O20" s="539">
        <f t="shared" si="21"/>
        <v>0</v>
      </c>
      <c r="P20" s="539">
        <f t="shared" si="21"/>
        <v>0</v>
      </c>
      <c r="Q20" s="539">
        <f t="shared" si="21"/>
        <v>0</v>
      </c>
      <c r="R20" s="539">
        <f t="shared" si="21"/>
        <v>0</v>
      </c>
      <c r="S20" s="539">
        <f t="shared" si="21"/>
        <v>0</v>
      </c>
      <c r="T20" s="539">
        <f t="shared" si="21"/>
        <v>0</v>
      </c>
      <c r="U20" s="539">
        <f t="shared" si="21"/>
        <v>0</v>
      </c>
      <c r="V20" s="539">
        <f t="shared" si="21"/>
        <v>0</v>
      </c>
      <c r="W20" s="539">
        <f t="shared" si="21"/>
        <v>0</v>
      </c>
      <c r="X20" s="539">
        <f t="shared" si="21"/>
        <v>0</v>
      </c>
      <c r="Y20" s="539">
        <f t="shared" si="21"/>
        <v>0</v>
      </c>
      <c r="Z20" s="539">
        <f t="shared" si="21"/>
        <v>0</v>
      </c>
      <c r="AA20" s="539">
        <f t="shared" si="21"/>
        <v>0</v>
      </c>
      <c r="AB20" s="539">
        <f t="shared" si="21"/>
        <v>0</v>
      </c>
      <c r="AC20" s="539">
        <f t="shared" si="21"/>
        <v>0</v>
      </c>
      <c r="AD20" s="539">
        <f t="shared" si="21"/>
        <v>0</v>
      </c>
      <c r="AE20" s="539">
        <f t="shared" si="21"/>
        <v>0</v>
      </c>
      <c r="AF20" s="541">
        <f t="shared" si="21"/>
        <v>0</v>
      </c>
      <c r="AG20" s="542"/>
      <c r="AH20" s="7"/>
      <c r="AI20" s="7"/>
      <c r="AJ20" s="7"/>
      <c r="AK20" s="11"/>
      <c r="AL20" s="11"/>
      <c r="AM20" s="11"/>
      <c r="AN20" s="11"/>
    </row>
    <row r="21" spans="1:40" ht="15">
      <c r="A21" s="1080"/>
      <c r="B21" s="241">
        <v>14</v>
      </c>
      <c r="C21" s="264" t="s">
        <v>480</v>
      </c>
      <c r="D21" s="292">
        <f>Inputs!D62</f>
        <v>1282</v>
      </c>
      <c r="E21" s="291">
        <f>Inputs!C62</f>
        <v>-227977</v>
      </c>
      <c r="F21" s="355">
        <f>Inputs!B62</f>
        <v>-393164</v>
      </c>
      <c r="G21" s="391">
        <f>$D$60*(G6-F6)</f>
        <v>-68114.428352431598</v>
      </c>
      <c r="H21" s="486">
        <f t="shared" ref="H21:J21" si="22">$D$60*(H6-G6)</f>
        <v>-100657.18330779357</v>
      </c>
      <c r="I21" s="486">
        <f t="shared" si="22"/>
        <v>-158175.57376938988</v>
      </c>
      <c r="J21" s="487">
        <f t="shared" si="22"/>
        <v>-209366.94128021062</v>
      </c>
      <c r="K21" s="339">
        <f t="shared" ref="K21:AF21" si="23">$E$60*(K6-J6)</f>
        <v>-226116.29658262746</v>
      </c>
      <c r="L21" s="336">
        <f t="shared" si="23"/>
        <v>-244205.60030923798</v>
      </c>
      <c r="M21" s="336">
        <f t="shared" si="23"/>
        <v>-263742.048333977</v>
      </c>
      <c r="N21" s="336">
        <f t="shared" si="23"/>
        <v>-284841.41220069496</v>
      </c>
      <c r="O21" s="336">
        <f t="shared" si="23"/>
        <v>-230721.5438825629</v>
      </c>
      <c r="P21" s="336">
        <f t="shared" si="23"/>
        <v>-244564.83651551686</v>
      </c>
      <c r="Q21" s="336">
        <f t="shared" si="23"/>
        <v>-259238.72670644766</v>
      </c>
      <c r="R21" s="336">
        <f t="shared" si="23"/>
        <v>-274793.05030883459</v>
      </c>
      <c r="S21" s="336">
        <f t="shared" si="23"/>
        <v>-291280.63332736463</v>
      </c>
      <c r="T21" s="336">
        <f t="shared" si="23"/>
        <v>-205838.314218004</v>
      </c>
      <c r="U21" s="336">
        <f t="shared" si="23"/>
        <v>-214071.84678672507</v>
      </c>
      <c r="V21" s="336">
        <f t="shared" si="23"/>
        <v>-222634.72065819419</v>
      </c>
      <c r="W21" s="336">
        <f t="shared" si="23"/>
        <v>-231540.10948452196</v>
      </c>
      <c r="X21" s="336">
        <f t="shared" si="23"/>
        <v>-240801.71386390185</v>
      </c>
      <c r="Y21" s="336">
        <f t="shared" si="23"/>
        <v>-187825.33681384361</v>
      </c>
      <c r="Z21" s="336">
        <f t="shared" si="23"/>
        <v>-193460.0969182596</v>
      </c>
      <c r="AA21" s="336">
        <f t="shared" si="23"/>
        <v>-199263.89982580638</v>
      </c>
      <c r="AB21" s="336">
        <f t="shared" si="23"/>
        <v>-205241.81682058162</v>
      </c>
      <c r="AC21" s="336">
        <f t="shared" si="23"/>
        <v>-211399.07132519851</v>
      </c>
      <c r="AD21" s="336">
        <f t="shared" si="23"/>
        <v>-217741.0434649541</v>
      </c>
      <c r="AE21" s="336">
        <f t="shared" si="23"/>
        <v>-224273.27476890263</v>
      </c>
      <c r="AF21" s="340">
        <f t="shared" si="23"/>
        <v>-231001.47301196979</v>
      </c>
      <c r="AG21" s="542"/>
      <c r="AH21" s="7"/>
      <c r="AI21" s="7"/>
      <c r="AJ21" s="7"/>
      <c r="AK21" s="11"/>
      <c r="AL21" s="11"/>
      <c r="AM21" s="11"/>
      <c r="AN21" s="11"/>
    </row>
    <row r="22" spans="1:40" ht="15">
      <c r="A22" s="1080"/>
      <c r="B22" s="241">
        <v>15</v>
      </c>
      <c r="C22" s="272" t="s">
        <v>481</v>
      </c>
      <c r="D22" s="453">
        <f>Inputs!D59</f>
        <v>374633</v>
      </c>
      <c r="E22" s="454">
        <f>Inputs!C59</f>
        <v>243485</v>
      </c>
      <c r="F22" s="455">
        <f>Inputs!B59</f>
        <v>158326</v>
      </c>
      <c r="G22" s="482">
        <f t="shared" ref="G22:AF22" si="24">G19+G20+G21</f>
        <v>313237.96207862208</v>
      </c>
      <c r="H22" s="483">
        <f t="shared" si="24"/>
        <v>300954.45498436078</v>
      </c>
      <c r="I22" s="483">
        <f t="shared" si="24"/>
        <v>286849.78153908119</v>
      </c>
      <c r="J22" s="484">
        <f t="shared" si="24"/>
        <v>287887.75753671391</v>
      </c>
      <c r="K22" s="482">
        <f t="shared" si="24"/>
        <v>320242.61659333657</v>
      </c>
      <c r="L22" s="483">
        <f t="shared" si="24"/>
        <v>344596.4260658609</v>
      </c>
      <c r="M22" s="483">
        <f t="shared" si="24"/>
        <v>372237.2628061421</v>
      </c>
      <c r="N22" s="483">
        <f t="shared" si="24"/>
        <v>402512.5405764613</v>
      </c>
      <c r="O22" s="483">
        <f t="shared" si="24"/>
        <v>500931.75781231734</v>
      </c>
      <c r="P22" s="483">
        <f t="shared" si="24"/>
        <v>535693.8791652777</v>
      </c>
      <c r="Q22" s="483">
        <f t="shared" si="24"/>
        <v>573098.90546158538</v>
      </c>
      <c r="R22" s="483">
        <f t="shared" si="24"/>
        <v>613300.72963692551</v>
      </c>
      <c r="S22" s="483">
        <f t="shared" si="24"/>
        <v>656621.3606126206</v>
      </c>
      <c r="T22" s="483">
        <f t="shared" si="24"/>
        <v>791170.67265469115</v>
      </c>
      <c r="U22" s="483">
        <f t="shared" si="24"/>
        <v>836672.27909805928</v>
      </c>
      <c r="V22" s="483">
        <f t="shared" si="24"/>
        <v>885299.1305145846</v>
      </c>
      <c r="W22" s="483">
        <f t="shared" si="24"/>
        <v>936213.62273885193</v>
      </c>
      <c r="X22" s="483">
        <f t="shared" si="24"/>
        <v>990799.46500535659</v>
      </c>
      <c r="Y22" s="483">
        <f t="shared" si="24"/>
        <v>1102829.7238208053</v>
      </c>
      <c r="Z22" s="483">
        <f t="shared" si="24"/>
        <v>1161222.8831915683</v>
      </c>
      <c r="AA22" s="483">
        <f t="shared" si="24"/>
        <v>1223902.7348694638</v>
      </c>
      <c r="AB22" s="483">
        <f t="shared" si="24"/>
        <v>1291271.8635491671</v>
      </c>
      <c r="AC22" s="483">
        <f t="shared" si="24"/>
        <v>1363807.0627825009</v>
      </c>
      <c r="AD22" s="483">
        <f t="shared" si="24"/>
        <v>1441999.2126683304</v>
      </c>
      <c r="AE22" s="483">
        <f t="shared" si="24"/>
        <v>1526406.2374495573</v>
      </c>
      <c r="AF22" s="485">
        <f t="shared" si="24"/>
        <v>1617649.1135059816</v>
      </c>
      <c r="AG22" s="542"/>
      <c r="AH22" s="7"/>
      <c r="AI22" s="7"/>
      <c r="AJ22" s="7"/>
      <c r="AK22" s="11"/>
      <c r="AL22" s="11"/>
      <c r="AM22" s="11"/>
      <c r="AN22" s="11"/>
    </row>
    <row r="23" spans="1:40" ht="15">
      <c r="A23" s="1080"/>
      <c r="B23" s="241">
        <v>16</v>
      </c>
      <c r="C23" s="264" t="s">
        <v>482</v>
      </c>
      <c r="D23" s="292">
        <f>'Fin. Data'!D32</f>
        <v>-104971</v>
      </c>
      <c r="E23" s="291">
        <f>'Fin. Data'!C32</f>
        <v>-114106</v>
      </c>
      <c r="F23" s="647">
        <f>'Fin. Data'!B32</f>
        <v>-175076</v>
      </c>
      <c r="G23" s="646">
        <f t="shared" ref="G23:J23" si="25">G6*$D$62</f>
        <v>-160466.3442791187</v>
      </c>
      <c r="H23" s="336">
        <f t="shared" si="25"/>
        <v>-167315.51751054451</v>
      </c>
      <c r="I23" s="336">
        <f t="shared" si="25"/>
        <v>-178078.50401707075</v>
      </c>
      <c r="J23" s="462">
        <f t="shared" si="25"/>
        <v>-192324.78433843641</v>
      </c>
      <c r="K23" s="339">
        <f t="shared" ref="K23:AF23" si="26">K6*$E$62</f>
        <v>-159213.6</v>
      </c>
      <c r="L23" s="336">
        <f t="shared" si="26"/>
        <v>-171950.68800000002</v>
      </c>
      <c r="M23" s="336">
        <f t="shared" si="26"/>
        <v>-185706.74304000003</v>
      </c>
      <c r="N23" s="336">
        <f t="shared" si="26"/>
        <v>-200563.28248320002</v>
      </c>
      <c r="O23" s="336">
        <f t="shared" si="26"/>
        <v>-212597.07943219203</v>
      </c>
      <c r="P23" s="336">
        <f t="shared" si="26"/>
        <v>-225352.90419812358</v>
      </c>
      <c r="Q23" s="336">
        <f t="shared" si="26"/>
        <v>-238874.07845001097</v>
      </c>
      <c r="R23" s="336">
        <f t="shared" si="26"/>
        <v>-253206.52315701166</v>
      </c>
      <c r="S23" s="336">
        <f t="shared" si="26"/>
        <v>-268398.91454643238</v>
      </c>
      <c r="T23" s="336">
        <f t="shared" si="26"/>
        <v>-279134.87112828961</v>
      </c>
      <c r="U23" s="336">
        <f t="shared" si="26"/>
        <v>-290300.26597342122</v>
      </c>
      <c r="V23" s="336">
        <f t="shared" si="26"/>
        <v>-301912.27661235811</v>
      </c>
      <c r="W23" s="336">
        <f t="shared" si="26"/>
        <v>-313988.76767685253</v>
      </c>
      <c r="X23" s="336">
        <f t="shared" si="26"/>
        <v>-326548.31838392658</v>
      </c>
      <c r="Y23" s="336">
        <f t="shared" si="26"/>
        <v>-336344.76793544437</v>
      </c>
      <c r="Z23" s="336">
        <f t="shared" si="26"/>
        <v>-346435.11097350775</v>
      </c>
      <c r="AA23" s="336">
        <f t="shared" si="26"/>
        <v>-356828.16430271295</v>
      </c>
      <c r="AB23" s="336">
        <f t="shared" si="26"/>
        <v>-367533.00923179439</v>
      </c>
      <c r="AC23" s="336">
        <f t="shared" si="26"/>
        <v>-378558.99950874824</v>
      </c>
      <c r="AD23" s="336">
        <f t="shared" si="26"/>
        <v>-389915.76949401066</v>
      </c>
      <c r="AE23" s="336">
        <f t="shared" si="26"/>
        <v>-401613.24257883098</v>
      </c>
      <c r="AF23" s="340">
        <f t="shared" si="26"/>
        <v>-413661.63985619589</v>
      </c>
      <c r="AG23" s="543">
        <f>SUM(D23:AF23)</f>
        <v>-7510977.1671082359</v>
      </c>
      <c r="AH23" s="7"/>
      <c r="AI23" s="7"/>
      <c r="AJ23" s="7"/>
      <c r="AK23" s="11"/>
      <c r="AL23" s="11"/>
      <c r="AM23" s="11"/>
      <c r="AN23" s="11"/>
    </row>
    <row r="24" spans="1:40" ht="15">
      <c r="A24" s="1080"/>
      <c r="B24" s="241">
        <v>17</v>
      </c>
      <c r="C24" s="264" t="s">
        <v>483</v>
      </c>
      <c r="D24" s="648">
        <f>Inputs!D66</f>
        <v>-43371</v>
      </c>
      <c r="E24" s="649">
        <f>'Fin. Data'!C33</f>
        <v>-46221</v>
      </c>
      <c r="F24" s="650">
        <f>'Fin. Data'!B33</f>
        <v>-34920</v>
      </c>
      <c r="G24" s="339">
        <f>G6*$D$63</f>
        <v>-71455.042839724498</v>
      </c>
      <c r="H24" s="336">
        <f t="shared" ref="H24:J24" si="27">H6*$D$63</f>
        <v>-74504.953204834688</v>
      </c>
      <c r="I24" s="336">
        <f t="shared" si="27"/>
        <v>-79297.669492864996</v>
      </c>
      <c r="J24" s="462">
        <f t="shared" si="27"/>
        <v>-85641.483052294192</v>
      </c>
      <c r="K24" s="339">
        <f t="shared" ref="K24:AF24" si="28">K6*$E$63</f>
        <v>-79606.8</v>
      </c>
      <c r="L24" s="336">
        <f t="shared" si="28"/>
        <v>-85975.344000000012</v>
      </c>
      <c r="M24" s="336">
        <f t="shared" si="28"/>
        <v>-92853.371520000015</v>
      </c>
      <c r="N24" s="336">
        <f t="shared" si="28"/>
        <v>-100281.64124160001</v>
      </c>
      <c r="O24" s="336">
        <f t="shared" si="28"/>
        <v>-106298.53971609601</v>
      </c>
      <c r="P24" s="336">
        <f t="shared" si="28"/>
        <v>-112676.45209906179</v>
      </c>
      <c r="Q24" s="336">
        <f t="shared" si="28"/>
        <v>-119437.03922500549</v>
      </c>
      <c r="R24" s="336">
        <f t="shared" si="28"/>
        <v>-126603.26157850583</v>
      </c>
      <c r="S24" s="336">
        <f t="shared" si="28"/>
        <v>-134199.45727321619</v>
      </c>
      <c r="T24" s="336">
        <f t="shared" si="28"/>
        <v>-139567.43556414481</v>
      </c>
      <c r="U24" s="336">
        <f t="shared" si="28"/>
        <v>-145150.13298671061</v>
      </c>
      <c r="V24" s="336">
        <f t="shared" si="28"/>
        <v>-150956.13830617905</v>
      </c>
      <c r="W24" s="336">
        <f t="shared" si="28"/>
        <v>-156994.38383842626</v>
      </c>
      <c r="X24" s="336">
        <f t="shared" si="28"/>
        <v>-163274.15919196329</v>
      </c>
      <c r="Y24" s="336">
        <f t="shared" si="28"/>
        <v>-168172.38396772218</v>
      </c>
      <c r="Z24" s="336">
        <f t="shared" si="28"/>
        <v>-173217.55548675387</v>
      </c>
      <c r="AA24" s="336">
        <f t="shared" si="28"/>
        <v>-178414.08215135647</v>
      </c>
      <c r="AB24" s="336">
        <f t="shared" si="28"/>
        <v>-183766.5046158972</v>
      </c>
      <c r="AC24" s="336">
        <f t="shared" si="28"/>
        <v>-189279.49975437412</v>
      </c>
      <c r="AD24" s="336">
        <f t="shared" si="28"/>
        <v>-194957.88474700533</v>
      </c>
      <c r="AE24" s="336">
        <f t="shared" si="28"/>
        <v>-200806.62128941549</v>
      </c>
      <c r="AF24" s="340">
        <f t="shared" si="28"/>
        <v>-206830.81992809795</v>
      </c>
      <c r="AG24" s="542"/>
      <c r="AH24" s="544">
        <f>AG9-AG23</f>
        <v>4354226.0456774337</v>
      </c>
      <c r="AI24" s="7"/>
      <c r="AJ24" s="7"/>
      <c r="AK24" s="11"/>
      <c r="AL24" s="11"/>
      <c r="AM24" s="11"/>
      <c r="AN24" s="11"/>
    </row>
    <row r="25" spans="1:40" ht="15">
      <c r="A25" s="1080"/>
      <c r="B25" s="241">
        <v>18</v>
      </c>
      <c r="C25" s="264" t="s">
        <v>484</v>
      </c>
      <c r="D25" s="292">
        <f>Inputs!D67</f>
        <v>-11324</v>
      </c>
      <c r="E25" s="291">
        <f>Inputs!C67</f>
        <v>-20462</v>
      </c>
      <c r="F25" s="355">
        <f>Inputs!B67</f>
        <v>-19797</v>
      </c>
      <c r="G25" s="339">
        <f>(1+G5)*AVERAGE(D25:F25)</f>
        <v>-17705.735431195033</v>
      </c>
      <c r="H25" s="336">
        <f t="shared" ref="H25:AF25" si="29">(1+H5)*AVERAGE(E25:G25)</f>
        <v>-20146.27999742754</v>
      </c>
      <c r="I25" s="336">
        <f t="shared" si="29"/>
        <v>-20452.477208595144</v>
      </c>
      <c r="J25" s="462">
        <f t="shared" si="29"/>
        <v>-20989.617349398377</v>
      </c>
      <c r="K25" s="339">
        <f t="shared" si="29"/>
        <v>-22171.814839951581</v>
      </c>
      <c r="L25" s="336">
        <f t="shared" si="29"/>
        <v>-22901.007383260239</v>
      </c>
      <c r="M25" s="336">
        <f t="shared" si="29"/>
        <v>-23782.478246139672</v>
      </c>
      <c r="N25" s="336">
        <f t="shared" si="29"/>
        <v>-24787.90816896654</v>
      </c>
      <c r="O25" s="336">
        <f t="shared" si="29"/>
        <v>-25253.225808756146</v>
      </c>
      <c r="P25" s="336">
        <f t="shared" si="29"/>
        <v>-26084.342985764702</v>
      </c>
      <c r="Q25" s="336">
        <f t="shared" si="29"/>
        <v>-26897.668527098875</v>
      </c>
      <c r="R25" s="336">
        <f t="shared" si="29"/>
        <v>-27643.117186972304</v>
      </c>
      <c r="S25" s="336">
        <f t="shared" si="29"/>
        <v>-28487.545473942017</v>
      </c>
      <c r="T25" s="336">
        <f t="shared" si="29"/>
        <v>-28783.154811844575</v>
      </c>
      <c r="U25" s="336">
        <f t="shared" si="29"/>
        <v>-29436.790057223086</v>
      </c>
      <c r="V25" s="336">
        <f t="shared" si="29"/>
        <v>-30058.596652243355</v>
      </c>
      <c r="W25" s="336">
        <f t="shared" si="29"/>
        <v>-30603.227727387824</v>
      </c>
      <c r="X25" s="336">
        <f t="shared" si="29"/>
        <v>-31234.186338109481</v>
      </c>
      <c r="Y25" s="336">
        <f t="shared" si="29"/>
        <v>-31550.963679757628</v>
      </c>
      <c r="Z25" s="336">
        <f t="shared" si="29"/>
        <v>-32063.343025870858</v>
      </c>
      <c r="AA25" s="336">
        <f t="shared" si="29"/>
        <v>-32564.649278350036</v>
      </c>
      <c r="AB25" s="336">
        <f t="shared" si="29"/>
        <v>-33021.441554499295</v>
      </c>
      <c r="AC25" s="336">
        <f t="shared" si="29"/>
        <v>-33526.305624827262</v>
      </c>
      <c r="AD25" s="336">
        <f t="shared" si="29"/>
        <v>-34028.589450468957</v>
      </c>
      <c r="AE25" s="336">
        <f t="shared" si="29"/>
        <v>-34531.208909563131</v>
      </c>
      <c r="AF25" s="340">
        <f t="shared" si="29"/>
        <v>-35049.562368135055</v>
      </c>
      <c r="AG25" s="315"/>
      <c r="AH25" s="7"/>
      <c r="AI25" s="7"/>
      <c r="AJ25" s="7"/>
      <c r="AK25" s="11"/>
      <c r="AL25" s="11"/>
      <c r="AM25" s="11"/>
      <c r="AN25" s="11"/>
    </row>
    <row r="26" spans="1:40" ht="15">
      <c r="A26" s="1080"/>
      <c r="B26" s="241">
        <v>19</v>
      </c>
      <c r="C26" s="272" t="s">
        <v>485</v>
      </c>
      <c r="D26" s="289">
        <f t="shared" ref="D26:AF26" si="30">D23+D24+D25</f>
        <v>-159666</v>
      </c>
      <c r="E26" s="290">
        <f t="shared" si="30"/>
        <v>-180789</v>
      </c>
      <c r="F26" s="353">
        <f t="shared" si="30"/>
        <v>-229793</v>
      </c>
      <c r="G26" s="357">
        <f t="shared" si="30"/>
        <v>-249627.12255003824</v>
      </c>
      <c r="H26" s="356">
        <f t="shared" si="30"/>
        <v>-261966.75071280674</v>
      </c>
      <c r="I26" s="356">
        <f t="shared" si="30"/>
        <v>-277828.65071853087</v>
      </c>
      <c r="J26" s="461">
        <f t="shared" si="30"/>
        <v>-298955.884740129</v>
      </c>
      <c r="K26" s="357">
        <f t="shared" si="30"/>
        <v>-260992.2148399516</v>
      </c>
      <c r="L26" s="356">
        <f t="shared" si="30"/>
        <v>-280827.0393832603</v>
      </c>
      <c r="M26" s="356">
        <f t="shared" si="30"/>
        <v>-302342.59280613967</v>
      </c>
      <c r="N26" s="356">
        <f t="shared" si="30"/>
        <v>-325632.83189376653</v>
      </c>
      <c r="O26" s="356">
        <f t="shared" si="30"/>
        <v>-344148.84495704417</v>
      </c>
      <c r="P26" s="356">
        <f t="shared" si="30"/>
        <v>-364113.69928295008</v>
      </c>
      <c r="Q26" s="356">
        <f t="shared" si="30"/>
        <v>-385208.78620211536</v>
      </c>
      <c r="R26" s="356">
        <f t="shared" si="30"/>
        <v>-407452.90192248975</v>
      </c>
      <c r="S26" s="356">
        <f t="shared" si="30"/>
        <v>-431085.91729359055</v>
      </c>
      <c r="T26" s="356">
        <f t="shared" si="30"/>
        <v>-447485.461504279</v>
      </c>
      <c r="U26" s="356">
        <f t="shared" si="30"/>
        <v>-464887.18901735486</v>
      </c>
      <c r="V26" s="356">
        <f t="shared" si="30"/>
        <v>-482927.01157078048</v>
      </c>
      <c r="W26" s="356">
        <f t="shared" si="30"/>
        <v>-501586.37924266659</v>
      </c>
      <c r="X26" s="356">
        <f t="shared" si="30"/>
        <v>-521056.66391399939</v>
      </c>
      <c r="Y26" s="356">
        <f t="shared" si="30"/>
        <v>-536068.11558292422</v>
      </c>
      <c r="Z26" s="356">
        <f t="shared" si="30"/>
        <v>-551716.00948613253</v>
      </c>
      <c r="AA26" s="356">
        <f t="shared" si="30"/>
        <v>-567806.89573241945</v>
      </c>
      <c r="AB26" s="356">
        <f t="shared" si="30"/>
        <v>-584320.95540219091</v>
      </c>
      <c r="AC26" s="356">
        <f t="shared" si="30"/>
        <v>-601364.80488794961</v>
      </c>
      <c r="AD26" s="356">
        <f t="shared" si="30"/>
        <v>-618902.24369148503</v>
      </c>
      <c r="AE26" s="356">
        <f t="shared" si="30"/>
        <v>-636951.07277780958</v>
      </c>
      <c r="AF26" s="311">
        <f t="shared" si="30"/>
        <v>-655542.02215242886</v>
      </c>
      <c r="AG26" s="542"/>
      <c r="AH26" s="7"/>
      <c r="AI26" s="7"/>
      <c r="AJ26" s="7"/>
      <c r="AK26" s="11"/>
      <c r="AL26" s="11"/>
      <c r="AM26" s="11"/>
      <c r="AN26" s="11"/>
    </row>
    <row r="27" spans="1:40" ht="15">
      <c r="A27" s="1080"/>
      <c r="B27" s="241">
        <v>20</v>
      </c>
      <c r="C27" s="264" t="s">
        <v>486</v>
      </c>
      <c r="D27" s="292">
        <f>Inputs!D71+Inputs!D72</f>
        <v>-28085</v>
      </c>
      <c r="E27" s="291">
        <f>Inputs!C71+Inputs!C72</f>
        <v>-27507</v>
      </c>
      <c r="F27" s="354">
        <f>Inputs!B71+Inputs!B72</f>
        <v>-40953</v>
      </c>
      <c r="G27" s="358">
        <v>0</v>
      </c>
      <c r="H27" s="295">
        <v>0</v>
      </c>
      <c r="I27" s="295">
        <v>0</v>
      </c>
      <c r="J27" s="463">
        <v>0</v>
      </c>
      <c r="K27" s="358">
        <v>0</v>
      </c>
      <c r="L27" s="295">
        <v>0</v>
      </c>
      <c r="M27" s="295">
        <v>0</v>
      </c>
      <c r="N27" s="295">
        <v>0</v>
      </c>
      <c r="O27" s="295">
        <v>0</v>
      </c>
      <c r="P27" s="295">
        <v>0</v>
      </c>
      <c r="Q27" s="295">
        <v>0</v>
      </c>
      <c r="R27" s="295">
        <v>0</v>
      </c>
      <c r="S27" s="295">
        <v>0</v>
      </c>
      <c r="T27" s="295">
        <v>0</v>
      </c>
      <c r="U27" s="295">
        <v>0</v>
      </c>
      <c r="V27" s="295">
        <v>0</v>
      </c>
      <c r="W27" s="295">
        <v>0</v>
      </c>
      <c r="X27" s="295">
        <v>0</v>
      </c>
      <c r="Y27" s="295">
        <v>0</v>
      </c>
      <c r="Z27" s="295">
        <v>0</v>
      </c>
      <c r="AA27" s="295">
        <v>0</v>
      </c>
      <c r="AB27" s="295">
        <v>0</v>
      </c>
      <c r="AC27" s="295">
        <v>0</v>
      </c>
      <c r="AD27" s="295">
        <v>0</v>
      </c>
      <c r="AE27" s="295">
        <v>0</v>
      </c>
      <c r="AF27" s="296">
        <v>0</v>
      </c>
      <c r="AG27" s="542"/>
      <c r="AH27" s="7"/>
      <c r="AI27" s="7"/>
      <c r="AJ27" s="7"/>
      <c r="AK27" s="11"/>
      <c r="AL27" s="11"/>
      <c r="AM27" s="11"/>
      <c r="AN27" s="11"/>
    </row>
    <row r="28" spans="1:40" ht="15">
      <c r="A28" s="1080"/>
      <c r="B28" s="241">
        <v>21</v>
      </c>
      <c r="C28" s="264" t="s">
        <v>487</v>
      </c>
      <c r="D28" s="312">
        <f>+SUM(Inputs!D69:D70)</f>
        <v>149976</v>
      </c>
      <c r="E28" s="291">
        <f>+SUM(Inputs!C69:C70)</f>
        <v>8335</v>
      </c>
      <c r="F28" s="355">
        <f>+SUM(Inputs!B69:B70)</f>
        <v>-42259</v>
      </c>
      <c r="G28" s="339">
        <f>G44-F44</f>
        <v>-140976.15641190461</v>
      </c>
      <c r="H28" s="336">
        <f t="shared" ref="H28:AE28" si="31">H44-G44</f>
        <v>75995.70239923487</v>
      </c>
      <c r="I28" s="336">
        <f t="shared" si="31"/>
        <v>83147.318979988573</v>
      </c>
      <c r="J28" s="462">
        <f t="shared" si="31"/>
        <v>102081.56906300399</v>
      </c>
      <c r="K28" s="339">
        <f t="shared" si="31"/>
        <v>113185.47513636854</v>
      </c>
      <c r="L28" s="336">
        <f t="shared" si="31"/>
        <v>84483.485149831511</v>
      </c>
      <c r="M28" s="336">
        <f t="shared" si="31"/>
        <v>91538.312175879488</v>
      </c>
      <c r="N28" s="336">
        <f t="shared" si="31"/>
        <v>99190.653027455788</v>
      </c>
      <c r="O28" s="336">
        <f t="shared" si="31"/>
        <v>85469.853559256298</v>
      </c>
      <c r="P28" s="336">
        <f t="shared" si="31"/>
        <v>91260.625726098195</v>
      </c>
      <c r="Q28" s="336">
        <f t="shared" si="31"/>
        <v>97472.961701235967</v>
      </c>
      <c r="R28" s="336">
        <f t="shared" si="31"/>
        <v>104140.44622548646</v>
      </c>
      <c r="S28" s="336">
        <f t="shared" si="31"/>
        <v>111299.60656024236</v>
      </c>
      <c r="T28" s="336">
        <f t="shared" si="31"/>
        <v>89519.573698714608</v>
      </c>
      <c r="U28" s="336">
        <f t="shared" si="31"/>
        <v>94660.424584818771</v>
      </c>
      <c r="V28" s="336">
        <f t="shared" si="31"/>
        <v>100181.4214674437</v>
      </c>
      <c r="W28" s="336">
        <f t="shared" si="31"/>
        <v>106117.29140332551</v>
      </c>
      <c r="X28" s="336">
        <f t="shared" si="31"/>
        <v>112506.33420934388</v>
      </c>
      <c r="Y28" s="336">
        <f t="shared" si="31"/>
        <v>101463.05252057221</v>
      </c>
      <c r="Z28" s="336">
        <f t="shared" si="31"/>
        <v>107526.76176199736</v>
      </c>
      <c r="AA28" s="336">
        <f t="shared" si="31"/>
        <v>114110.18443021784</v>
      </c>
      <c r="AB28" s="336">
        <f t="shared" si="31"/>
        <v>121266.69907444017</v>
      </c>
      <c r="AC28" s="336">
        <f t="shared" si="31"/>
        <v>129055.51253742678</v>
      </c>
      <c r="AD28" s="336">
        <f t="shared" si="31"/>
        <v>137542.30763697624</v>
      </c>
      <c r="AE28" s="336">
        <f t="shared" si="31"/>
        <v>146799.96316973446</v>
      </c>
      <c r="AF28" s="340">
        <f>AF44-AE44</f>
        <v>156909.35432359623</v>
      </c>
      <c r="AG28" s="542"/>
      <c r="AH28" s="7"/>
      <c r="AI28" s="7"/>
      <c r="AJ28" s="7"/>
      <c r="AK28" s="11"/>
      <c r="AL28" s="11"/>
      <c r="AM28" s="11"/>
      <c r="AN28" s="11"/>
    </row>
    <row r="29" spans="1:40" ht="15">
      <c r="A29" s="1080"/>
      <c r="B29" s="241">
        <v>22</v>
      </c>
      <c r="C29" s="264" t="s">
        <v>488</v>
      </c>
      <c r="D29" s="312">
        <f>'Fin. Data'!D28</f>
        <v>0</v>
      </c>
      <c r="E29" s="291">
        <f>'Fin. Data'!C28</f>
        <v>0</v>
      </c>
      <c r="F29" s="354">
        <f>'Fin. Data'!B28</f>
        <v>0</v>
      </c>
      <c r="G29" s="339">
        <f>-G17*$D$65</f>
        <v>0</v>
      </c>
      <c r="H29" s="336">
        <f>-H17*$D$65</f>
        <v>0</v>
      </c>
      <c r="I29" s="336">
        <f>-I17*$D$65</f>
        <v>0</v>
      </c>
      <c r="J29" s="462">
        <f>-J17*$D$65</f>
        <v>0</v>
      </c>
      <c r="K29" s="339">
        <f t="shared" ref="K29:AF29" si="32">-K17*$E$65</f>
        <v>0</v>
      </c>
      <c r="L29" s="336">
        <f t="shared" si="32"/>
        <v>0</v>
      </c>
      <c r="M29" s="336">
        <f t="shared" si="32"/>
        <v>0</v>
      </c>
      <c r="N29" s="336">
        <f t="shared" si="32"/>
        <v>0</v>
      </c>
      <c r="O29" s="336">
        <f t="shared" si="32"/>
        <v>0</v>
      </c>
      <c r="P29" s="336">
        <f t="shared" si="32"/>
        <v>0</v>
      </c>
      <c r="Q29" s="336">
        <f t="shared" si="32"/>
        <v>0</v>
      </c>
      <c r="R29" s="336">
        <f t="shared" si="32"/>
        <v>0</v>
      </c>
      <c r="S29" s="336">
        <f t="shared" si="32"/>
        <v>0</v>
      </c>
      <c r="T29" s="336">
        <f t="shared" si="32"/>
        <v>0</v>
      </c>
      <c r="U29" s="336">
        <f t="shared" si="32"/>
        <v>0</v>
      </c>
      <c r="V29" s="336">
        <f t="shared" si="32"/>
        <v>0</v>
      </c>
      <c r="W29" s="336">
        <f t="shared" si="32"/>
        <v>0</v>
      </c>
      <c r="X29" s="336">
        <f t="shared" si="32"/>
        <v>0</v>
      </c>
      <c r="Y29" s="336">
        <f t="shared" si="32"/>
        <v>0</v>
      </c>
      <c r="Z29" s="336">
        <f t="shared" si="32"/>
        <v>0</v>
      </c>
      <c r="AA29" s="336">
        <f t="shared" si="32"/>
        <v>0</v>
      </c>
      <c r="AB29" s="336">
        <f t="shared" si="32"/>
        <v>0</v>
      </c>
      <c r="AC29" s="336">
        <f t="shared" si="32"/>
        <v>0</v>
      </c>
      <c r="AD29" s="336">
        <f t="shared" si="32"/>
        <v>0</v>
      </c>
      <c r="AE29" s="336">
        <f t="shared" si="32"/>
        <v>0</v>
      </c>
      <c r="AF29" s="340">
        <f t="shared" si="32"/>
        <v>0</v>
      </c>
      <c r="AG29" s="542"/>
      <c r="AH29" s="7"/>
      <c r="AI29" s="7"/>
      <c r="AJ29" s="7"/>
      <c r="AK29" s="11"/>
      <c r="AL29" s="11"/>
      <c r="AM29" s="11"/>
      <c r="AN29" s="11"/>
    </row>
    <row r="30" spans="1:40" s="7" customFormat="1" ht="15">
      <c r="A30" s="1080"/>
      <c r="B30" s="241">
        <v>23</v>
      </c>
      <c r="C30" s="264" t="s">
        <v>489</v>
      </c>
      <c r="D30" s="292">
        <f>'Fin. Data'!D27</f>
        <v>-46721</v>
      </c>
      <c r="E30" s="291">
        <f>'Fin. Data'!C27</f>
        <v>-49746</v>
      </c>
      <c r="F30" s="355">
        <f>'Fin. Data'!B27</f>
        <v>-61468</v>
      </c>
      <c r="G30" s="339">
        <f>-$D$64*G17</f>
        <v>-75091.86978088312</v>
      </c>
      <c r="H30" s="336">
        <f t="shared" ref="H30:J30" si="33">-$D$64*H17</f>
        <v>-78158.62472914996</v>
      </c>
      <c r="I30" s="336">
        <f t="shared" si="33"/>
        <v>-86990.916676351335</v>
      </c>
      <c r="J30" s="462">
        <f t="shared" si="33"/>
        <v>-97875.111789143644</v>
      </c>
      <c r="K30" s="339">
        <f>-$H$60*K17</f>
        <v>-168094.78346196646</v>
      </c>
      <c r="L30" s="336">
        <f>-$H$60*L17</f>
        <v>-180829.93825515499</v>
      </c>
      <c r="M30" s="336">
        <f>-$H$60*M17</f>
        <v>-195033.08652731526</v>
      </c>
      <c r="N30" s="336">
        <f t="shared" ref="N30:U30" si="34">-$H$60*N17</f>
        <v>-210445.79383369256</v>
      </c>
      <c r="O30" s="336">
        <f t="shared" si="34"/>
        <v>-222510.71510951227</v>
      </c>
      <c r="P30" s="336">
        <f t="shared" si="34"/>
        <v>-235765.67413859913</v>
      </c>
      <c r="Q30" s="336">
        <f t="shared" si="34"/>
        <v>-249824.1021820693</v>
      </c>
      <c r="R30" s="336">
        <f t="shared" si="34"/>
        <v>-264708.31815998786</v>
      </c>
      <c r="S30" s="336">
        <f t="shared" si="34"/>
        <v>-280502.84654348361</v>
      </c>
      <c r="T30" s="336">
        <f t="shared" si="34"/>
        <v>-291234.05128217366</v>
      </c>
      <c r="U30" s="336">
        <f t="shared" si="34"/>
        <v>-303005.39259958512</v>
      </c>
      <c r="V30" s="336">
        <f t="shared" ref="V30:X30" si="35">-$H$61*V17</f>
        <v>-472896.21425117023</v>
      </c>
      <c r="W30" s="336">
        <f t="shared" si="35"/>
        <v>-491382.30709173926</v>
      </c>
      <c r="X30" s="336">
        <f t="shared" si="35"/>
        <v>-510651.29789471329</v>
      </c>
      <c r="Y30" s="336">
        <f>-$H$61*Y17</f>
        <v>-525240.30260474095</v>
      </c>
      <c r="Z30" s="336">
        <f t="shared" ref="Z30:AF30" si="36">-$H$61*Z17</f>
        <v>-540868.31007619237</v>
      </c>
      <c r="AA30" s="336">
        <f t="shared" si="36"/>
        <v>-557018.3051784545</v>
      </c>
      <c r="AB30" s="336">
        <f t="shared" si="36"/>
        <v>-573706.14818411111</v>
      </c>
      <c r="AC30" s="336">
        <f t="shared" si="36"/>
        <v>-590967.08741192485</v>
      </c>
      <c r="AD30" s="336">
        <f t="shared" si="36"/>
        <v>-608816.87720774615</v>
      </c>
      <c r="AE30" s="336">
        <f t="shared" si="36"/>
        <v>-627280.42978899437</v>
      </c>
      <c r="AF30" s="340">
        <f t="shared" si="36"/>
        <v>-646385.94811530842</v>
      </c>
      <c r="AG30" s="542"/>
      <c r="AK30" s="11"/>
      <c r="AL30" s="11"/>
      <c r="AM30" s="11"/>
      <c r="AN30" s="11"/>
    </row>
    <row r="31" spans="1:40" s="3" customFormat="1" ht="15">
      <c r="A31" s="1080"/>
      <c r="B31" s="241">
        <v>24</v>
      </c>
      <c r="C31" s="264" t="s">
        <v>490</v>
      </c>
      <c r="D31" s="394">
        <f>Inputs!D75</f>
        <v>23772</v>
      </c>
      <c r="E31" s="393">
        <f>Inputs!C75</f>
        <v>20220</v>
      </c>
      <c r="F31" s="392">
        <f>Inputs!B75</f>
        <v>31592</v>
      </c>
      <c r="G31" s="339">
        <f>(1+G5)*AVERAGE(D31:F31)</f>
        <v>25944.018510583828</v>
      </c>
      <c r="H31" s="336">
        <f t="shared" ref="H31:AF31" si="37">(1+H5)*AVERAGE(E31:G31)</f>
        <v>27024.957653068774</v>
      </c>
      <c r="I31" s="336">
        <f t="shared" si="37"/>
        <v>30000.190373849462</v>
      </c>
      <c r="J31" s="462">
        <f t="shared" si="37"/>
        <v>29868.899953500746</v>
      </c>
      <c r="K31" s="517">
        <f t="shared" si="37"/>
        <v>31281.857272950834</v>
      </c>
      <c r="L31" s="518">
        <f t="shared" si="37"/>
        <v>32814.341136108378</v>
      </c>
      <c r="M31" s="518">
        <f t="shared" si="37"/>
        <v>33827.435410521583</v>
      </c>
      <c r="N31" s="518">
        <f t="shared" si="37"/>
        <v>35252.508175049094</v>
      </c>
      <c r="O31" s="518">
        <f t="shared" si="37"/>
        <v>36002.647268326604</v>
      </c>
      <c r="P31" s="518">
        <f t="shared" si="37"/>
        <v>37129.182101710372</v>
      </c>
      <c r="Q31" s="518">
        <f t="shared" si="37"/>
        <v>38295.799265930415</v>
      </c>
      <c r="R31" s="518">
        <f t="shared" si="37"/>
        <v>39371.095451375149</v>
      </c>
      <c r="S31" s="518">
        <f t="shared" si="37"/>
        <v>40561.280476052299</v>
      </c>
      <c r="T31" s="518">
        <f t="shared" si="37"/>
        <v>40985.767400364057</v>
      </c>
      <c r="U31" s="518">
        <f t="shared" si="37"/>
        <v>41918.289686967721</v>
      </c>
      <c r="V31" s="518">
        <f t="shared" si="37"/>
        <v>42801.317021973147</v>
      </c>
      <c r="W31" s="518">
        <f t="shared" si="37"/>
        <v>43577.863024559039</v>
      </c>
      <c r="X31" s="518">
        <f t="shared" si="37"/>
        <v>44476.456174279978</v>
      </c>
      <c r="Y31" s="518">
        <f t="shared" si="37"/>
        <v>44927.101769145513</v>
      </c>
      <c r="Z31" s="518">
        <f t="shared" si="37"/>
        <v>45656.954532341362</v>
      </c>
      <c r="AA31" s="518">
        <f t="shared" si="37"/>
        <v>46370.775950013289</v>
      </c>
      <c r="AB31" s="518">
        <f t="shared" si="37"/>
        <v>47021.159073015056</v>
      </c>
      <c r="AC31" s="518">
        <f t="shared" si="37"/>
        <v>47740.1187473436</v>
      </c>
      <c r="AD31" s="518">
        <f t="shared" si="37"/>
        <v>48455.338461161038</v>
      </c>
      <c r="AE31" s="518">
        <f t="shared" si="37"/>
        <v>49171.038256655098</v>
      </c>
      <c r="AF31" s="519">
        <f t="shared" si="37"/>
        <v>49909.163443038175</v>
      </c>
      <c r="AG31" s="542"/>
      <c r="AH31" s="559"/>
      <c r="AI31" s="559"/>
      <c r="AJ31" s="559"/>
      <c r="AK31" s="557"/>
      <c r="AL31" s="557"/>
      <c r="AM31" s="557"/>
      <c r="AN31" s="557"/>
    </row>
    <row r="32" spans="1:40" s="7" customFormat="1" ht="16.5" customHeight="1" thickBot="1">
      <c r="A32" s="1081"/>
      <c r="B32" s="242">
        <v>25</v>
      </c>
      <c r="C32" s="273" t="s">
        <v>491</v>
      </c>
      <c r="D32" s="453">
        <f t="shared" ref="D32:AF32" si="38">D27+D28+D29+D30+D31</f>
        <v>98942</v>
      </c>
      <c r="E32" s="454">
        <f t="shared" si="38"/>
        <v>-48698</v>
      </c>
      <c r="F32" s="455">
        <f t="shared" si="38"/>
        <v>-113088</v>
      </c>
      <c r="G32" s="458">
        <f t="shared" si="38"/>
        <v>-190124.00768220393</v>
      </c>
      <c r="H32" s="459">
        <f t="shared" si="38"/>
        <v>24862.035323153683</v>
      </c>
      <c r="I32" s="459">
        <f t="shared" si="38"/>
        <v>26156.5926774867</v>
      </c>
      <c r="J32" s="464">
        <f t="shared" si="38"/>
        <v>34075.357227361092</v>
      </c>
      <c r="K32" s="458">
        <f t="shared" si="38"/>
        <v>-23627.451052647095</v>
      </c>
      <c r="L32" s="459">
        <f t="shared" si="38"/>
        <v>-63532.111969215104</v>
      </c>
      <c r="M32" s="459">
        <f t="shared" si="38"/>
        <v>-69667.338940914196</v>
      </c>
      <c r="N32" s="459">
        <f t="shared" si="38"/>
        <v>-76002.632631187676</v>
      </c>
      <c r="O32" s="459">
        <f t="shared" si="38"/>
        <v>-101038.21428192937</v>
      </c>
      <c r="P32" s="459">
        <f t="shared" si="38"/>
        <v>-107375.86631079056</v>
      </c>
      <c r="Q32" s="459">
        <f t="shared" si="38"/>
        <v>-114055.34121490292</v>
      </c>
      <c r="R32" s="459">
        <f t="shared" si="38"/>
        <v>-121196.77648312625</v>
      </c>
      <c r="S32" s="459">
        <f t="shared" si="38"/>
        <v>-128641.95950718895</v>
      </c>
      <c r="T32" s="459">
        <f t="shared" si="38"/>
        <v>-160728.71018309501</v>
      </c>
      <c r="U32" s="459">
        <f t="shared" si="38"/>
        <v>-166426.67832779861</v>
      </c>
      <c r="V32" s="459">
        <f t="shared" si="38"/>
        <v>-329913.47576175339</v>
      </c>
      <c r="W32" s="459">
        <f t="shared" si="38"/>
        <v>-341687.15266385471</v>
      </c>
      <c r="X32" s="459">
        <f t="shared" si="38"/>
        <v>-353668.50751108944</v>
      </c>
      <c r="Y32" s="459">
        <f t="shared" si="38"/>
        <v>-378850.14831502322</v>
      </c>
      <c r="Z32" s="459">
        <f t="shared" si="38"/>
        <v>-387684.59378185368</v>
      </c>
      <c r="AA32" s="459">
        <f t="shared" si="38"/>
        <v>-396537.34479822335</v>
      </c>
      <c r="AB32" s="459">
        <f t="shared" si="38"/>
        <v>-405418.2900366559</v>
      </c>
      <c r="AC32" s="459">
        <f t="shared" si="38"/>
        <v>-414171.45612715447</v>
      </c>
      <c r="AD32" s="459">
        <f t="shared" si="38"/>
        <v>-422819.2311096089</v>
      </c>
      <c r="AE32" s="459">
        <f t="shared" si="38"/>
        <v>-431309.42836260481</v>
      </c>
      <c r="AF32" s="460">
        <f t="shared" si="38"/>
        <v>-439567.43034867401</v>
      </c>
      <c r="AG32" s="542"/>
      <c r="AK32" s="11"/>
      <c r="AL32" s="11"/>
      <c r="AM32" s="11"/>
      <c r="AN32" s="11"/>
    </row>
    <row r="33" spans="1:40" ht="14.1" thickBot="1">
      <c r="A33" s="1068"/>
      <c r="B33" s="1069"/>
      <c r="C33" s="1069"/>
      <c r="D33" s="1069"/>
      <c r="E33" s="1069"/>
      <c r="F33" s="1069"/>
      <c r="G33" s="1070"/>
      <c r="H33" s="1070"/>
      <c r="I33" s="1070"/>
      <c r="J33" s="1070"/>
      <c r="K33" s="1071"/>
      <c r="L33" s="1071"/>
      <c r="M33" s="1071"/>
      <c r="N33" s="1071"/>
      <c r="O33" s="1071"/>
      <c r="P33" s="1071"/>
      <c r="Q33" s="1071"/>
      <c r="R33" s="1071"/>
      <c r="S33" s="1071"/>
      <c r="T33" s="1071"/>
      <c r="U33" s="1071"/>
      <c r="V33" s="1071"/>
      <c r="W33" s="1071"/>
      <c r="X33" s="1071"/>
      <c r="Y33" s="1071"/>
      <c r="Z33" s="1071"/>
      <c r="AA33" s="1071"/>
      <c r="AB33" s="1071"/>
      <c r="AC33" s="1071"/>
      <c r="AD33" s="1071"/>
      <c r="AE33" s="1071"/>
      <c r="AF33" s="1072"/>
      <c r="AG33" s="7"/>
      <c r="AH33" s="7"/>
      <c r="AI33" s="7"/>
      <c r="AJ33" s="7"/>
      <c r="AK33" s="11"/>
      <c r="AL33" s="11"/>
      <c r="AM33" s="11"/>
      <c r="AN33" s="11"/>
    </row>
    <row r="34" spans="1:40" ht="15">
      <c r="A34" s="1094" t="s">
        <v>492</v>
      </c>
      <c r="B34" s="241">
        <v>26</v>
      </c>
      <c r="C34" s="245" t="s">
        <v>493</v>
      </c>
      <c r="D34" s="658">
        <f>D22+D26+D27+D28+D31</f>
        <v>360630</v>
      </c>
      <c r="E34" s="450">
        <f t="shared" ref="E34:AE34" si="39">E22+E26+E27+E28+E31</f>
        <v>63744</v>
      </c>
      <c r="F34" s="805">
        <f>F22+F26+F27+F28+F31</f>
        <v>-123087</v>
      </c>
      <c r="G34" s="494">
        <f t="shared" si="39"/>
        <v>-51421.298372736943</v>
      </c>
      <c r="H34" s="495">
        <f>H22+H26+H27+H28+H31</f>
        <v>142008.36432385768</v>
      </c>
      <c r="I34" s="495">
        <f t="shared" si="39"/>
        <v>122168.64017438835</v>
      </c>
      <c r="J34" s="496">
        <f t="shared" si="39"/>
        <v>120882.34181308965</v>
      </c>
      <c r="K34" s="493">
        <f t="shared" si="39"/>
        <v>203717.73416270435</v>
      </c>
      <c r="L34" s="451">
        <f t="shared" si="39"/>
        <v>181067.21296854049</v>
      </c>
      <c r="M34" s="451">
        <f>M22+M26+M27+M28+M31</f>
        <v>195260.41758640349</v>
      </c>
      <c r="N34" s="451">
        <f t="shared" si="39"/>
        <v>211322.86988519965</v>
      </c>
      <c r="O34" s="451">
        <f t="shared" si="39"/>
        <v>278255.41368285607</v>
      </c>
      <c r="P34" s="451">
        <f t="shared" si="39"/>
        <v>299969.98771013616</v>
      </c>
      <c r="Q34" s="451">
        <f t="shared" si="39"/>
        <v>323658.88022663642</v>
      </c>
      <c r="R34" s="451">
        <f t="shared" si="39"/>
        <v>349359.36939129734</v>
      </c>
      <c r="S34" s="451">
        <f t="shared" si="39"/>
        <v>377396.33035532472</v>
      </c>
      <c r="T34" s="451">
        <f t="shared" si="39"/>
        <v>474190.55224949081</v>
      </c>
      <c r="U34" s="451">
        <f t="shared" si="39"/>
        <v>508363.80435249093</v>
      </c>
      <c r="V34" s="451">
        <f t="shared" si="39"/>
        <v>545354.85743322095</v>
      </c>
      <c r="W34" s="451">
        <f t="shared" si="39"/>
        <v>584322.3979240699</v>
      </c>
      <c r="X34" s="451">
        <f t="shared" si="39"/>
        <v>626725.59147498105</v>
      </c>
      <c r="Y34" s="451">
        <f t="shared" si="39"/>
        <v>713151.76252759877</v>
      </c>
      <c r="Z34" s="451">
        <f t="shared" si="39"/>
        <v>762690.58999977447</v>
      </c>
      <c r="AA34" s="451">
        <f t="shared" si="39"/>
        <v>816576.79951727553</v>
      </c>
      <c r="AB34" s="451">
        <f t="shared" si="39"/>
        <v>875238.76629443141</v>
      </c>
      <c r="AC34" s="451">
        <f t="shared" si="39"/>
        <v>939237.8891793217</v>
      </c>
      <c r="AD34" s="451">
        <f t="shared" si="39"/>
        <v>1009094.6150749826</v>
      </c>
      <c r="AE34" s="451">
        <f t="shared" si="39"/>
        <v>1085426.1660981374</v>
      </c>
      <c r="AF34" s="452">
        <f>AF22+AF26+AF27+AF28+AF31</f>
        <v>1168925.6091201873</v>
      </c>
      <c r="AG34" s="542"/>
      <c r="AH34" s="7"/>
      <c r="AI34" s="7"/>
      <c r="AJ34" s="7"/>
      <c r="AK34" s="11"/>
      <c r="AL34" s="11"/>
      <c r="AM34" s="11"/>
      <c r="AN34" s="11"/>
    </row>
    <row r="35" spans="1:40" s="3" customFormat="1" ht="15">
      <c r="A35" s="1094"/>
      <c r="B35" s="241">
        <v>27</v>
      </c>
      <c r="C35" s="245" t="s">
        <v>494</v>
      </c>
      <c r="D35" s="362">
        <f>-1*(D29+D30)</f>
        <v>46721</v>
      </c>
      <c r="E35" s="359">
        <f t="shared" ref="E35:AF35" si="40">-1*(E29+E30)</f>
        <v>49746</v>
      </c>
      <c r="F35" s="366">
        <f t="shared" si="40"/>
        <v>61468</v>
      </c>
      <c r="G35" s="377">
        <f>-1*(G29+G30)</f>
        <v>75091.86978088312</v>
      </c>
      <c r="H35" s="313">
        <f t="shared" si="40"/>
        <v>78158.62472914996</v>
      </c>
      <c r="I35" s="313">
        <f>-1*(I29+I30)</f>
        <v>86990.916676351335</v>
      </c>
      <c r="J35" s="378">
        <f t="shared" si="40"/>
        <v>97875.111789143644</v>
      </c>
      <c r="K35" s="313">
        <f t="shared" si="40"/>
        <v>168094.78346196646</v>
      </c>
      <c r="L35" s="313">
        <f t="shared" si="40"/>
        <v>180829.93825515499</v>
      </c>
      <c r="M35" s="313">
        <f t="shared" si="40"/>
        <v>195033.08652731526</v>
      </c>
      <c r="N35" s="313">
        <f t="shared" si="40"/>
        <v>210445.79383369256</v>
      </c>
      <c r="O35" s="313">
        <f t="shared" si="40"/>
        <v>222510.71510951227</v>
      </c>
      <c r="P35" s="313">
        <f t="shared" si="40"/>
        <v>235765.67413859913</v>
      </c>
      <c r="Q35" s="313">
        <f t="shared" si="40"/>
        <v>249824.1021820693</v>
      </c>
      <c r="R35" s="313">
        <f t="shared" si="40"/>
        <v>264708.31815998786</v>
      </c>
      <c r="S35" s="313">
        <f t="shared" si="40"/>
        <v>280502.84654348361</v>
      </c>
      <c r="T35" s="313">
        <f t="shared" si="40"/>
        <v>291234.05128217366</v>
      </c>
      <c r="U35" s="313">
        <f t="shared" si="40"/>
        <v>303005.39259958512</v>
      </c>
      <c r="V35" s="313">
        <f t="shared" si="40"/>
        <v>472896.21425117023</v>
      </c>
      <c r="W35" s="313">
        <f t="shared" si="40"/>
        <v>491382.30709173926</v>
      </c>
      <c r="X35" s="313">
        <f t="shared" si="40"/>
        <v>510651.29789471329</v>
      </c>
      <c r="Y35" s="313">
        <f t="shared" si="40"/>
        <v>525240.30260474095</v>
      </c>
      <c r="Z35" s="313">
        <f t="shared" si="40"/>
        <v>540868.31007619237</v>
      </c>
      <c r="AA35" s="313">
        <f t="shared" si="40"/>
        <v>557018.3051784545</v>
      </c>
      <c r="AB35" s="313">
        <f t="shared" si="40"/>
        <v>573706.14818411111</v>
      </c>
      <c r="AC35" s="313">
        <f t="shared" si="40"/>
        <v>590967.08741192485</v>
      </c>
      <c r="AD35" s="313">
        <f t="shared" si="40"/>
        <v>608816.87720774615</v>
      </c>
      <c r="AE35" s="313">
        <f t="shared" si="40"/>
        <v>627280.42978899437</v>
      </c>
      <c r="AF35" s="378">
        <f t="shared" si="40"/>
        <v>646385.94811530842</v>
      </c>
      <c r="AG35" s="542"/>
      <c r="AH35" s="559"/>
      <c r="AI35" s="559"/>
      <c r="AJ35" s="559"/>
      <c r="AK35" s="557"/>
      <c r="AL35" s="557"/>
      <c r="AM35" s="557"/>
      <c r="AN35" s="557"/>
    </row>
    <row r="36" spans="1:40" s="7" customFormat="1" ht="15.95" thickBot="1">
      <c r="A36" s="1094"/>
      <c r="B36" s="242">
        <v>28</v>
      </c>
      <c r="C36" s="240" t="s">
        <v>495</v>
      </c>
      <c r="D36" s="432">
        <f>D34-D35</f>
        <v>313909</v>
      </c>
      <c r="E36" s="433">
        <f>E34-E35</f>
        <v>13998</v>
      </c>
      <c r="F36" s="367">
        <f>F34-F35</f>
        <v>-184555</v>
      </c>
      <c r="G36" s="379">
        <f>G34-G35</f>
        <v>-126513.16815362006</v>
      </c>
      <c r="H36" s="380">
        <f t="shared" ref="H36:AF36" si="41">H34-H35</f>
        <v>63849.739594707717</v>
      </c>
      <c r="I36" s="380">
        <f t="shared" si="41"/>
        <v>35177.723498037012</v>
      </c>
      <c r="J36" s="381">
        <f t="shared" si="41"/>
        <v>23007.230023946002</v>
      </c>
      <c r="K36" s="380">
        <f t="shared" si="41"/>
        <v>35622.950700737885</v>
      </c>
      <c r="L36" s="380">
        <f t="shared" si="41"/>
        <v>237.27471338550095</v>
      </c>
      <c r="M36" s="380">
        <f>M34-M35</f>
        <v>227.331059088232</v>
      </c>
      <c r="N36" s="380">
        <f t="shared" si="41"/>
        <v>877.07605150708696</v>
      </c>
      <c r="O36" s="380">
        <f t="shared" si="41"/>
        <v>55744.698573343805</v>
      </c>
      <c r="P36" s="380">
        <f t="shared" si="41"/>
        <v>64204.31357153703</v>
      </c>
      <c r="Q36" s="380">
        <f t="shared" si="41"/>
        <v>73834.778044567123</v>
      </c>
      <c r="R36" s="380">
        <f t="shared" si="41"/>
        <v>84651.05123130948</v>
      </c>
      <c r="S36" s="380">
        <f t="shared" si="41"/>
        <v>96893.483811841113</v>
      </c>
      <c r="T36" s="380">
        <f t="shared" si="41"/>
        <v>182956.50096731714</v>
      </c>
      <c r="U36" s="380">
        <f t="shared" si="41"/>
        <v>205358.41175290581</v>
      </c>
      <c r="V36" s="380">
        <f t="shared" si="41"/>
        <v>72458.643182050728</v>
      </c>
      <c r="W36" s="380">
        <f t="shared" si="41"/>
        <v>92940.090832330636</v>
      </c>
      <c r="X36" s="380">
        <f t="shared" si="41"/>
        <v>116074.29358026775</v>
      </c>
      <c r="Y36" s="380">
        <f t="shared" si="41"/>
        <v>187911.45992285782</v>
      </c>
      <c r="Z36" s="380">
        <f t="shared" si="41"/>
        <v>221822.2799235821</v>
      </c>
      <c r="AA36" s="380">
        <f t="shared" si="41"/>
        <v>259558.49433882104</v>
      </c>
      <c r="AB36" s="380">
        <f t="shared" si="41"/>
        <v>301532.6181103203</v>
      </c>
      <c r="AC36" s="380">
        <f t="shared" si="41"/>
        <v>348270.80176739686</v>
      </c>
      <c r="AD36" s="380">
        <f t="shared" si="41"/>
        <v>400277.73786723649</v>
      </c>
      <c r="AE36" s="380">
        <f t="shared" si="41"/>
        <v>458145.73630914302</v>
      </c>
      <c r="AF36" s="381">
        <f t="shared" si="41"/>
        <v>522539.66100487893</v>
      </c>
      <c r="AG36" s="542"/>
      <c r="AK36" s="11"/>
      <c r="AL36" s="11"/>
      <c r="AM36" s="11"/>
      <c r="AN36" s="11"/>
    </row>
    <row r="37" spans="1:40" ht="15.95" thickBot="1">
      <c r="A37" s="251"/>
      <c r="B37" s="249"/>
      <c r="C37" s="250"/>
      <c r="D37" s="456"/>
      <c r="E37" s="456"/>
      <c r="F37" s="456"/>
      <c r="G37" s="456"/>
      <c r="H37" s="456"/>
      <c r="I37" s="456"/>
      <c r="J37" s="456"/>
      <c r="K37" s="456"/>
      <c r="L37" s="456"/>
      <c r="M37" s="456"/>
      <c r="N37" s="456"/>
      <c r="O37" s="456"/>
      <c r="P37" s="456"/>
      <c r="Q37" s="456"/>
      <c r="R37" s="456"/>
      <c r="S37" s="456"/>
      <c r="T37" s="456"/>
      <c r="U37" s="456"/>
      <c r="V37" s="456"/>
      <c r="W37" s="456"/>
      <c r="X37" s="456"/>
      <c r="Y37" s="456"/>
      <c r="Z37" s="456"/>
      <c r="AA37" s="456"/>
      <c r="AB37" s="456"/>
      <c r="AC37" s="456"/>
      <c r="AD37" s="456"/>
      <c r="AE37" s="456"/>
      <c r="AF37" s="457"/>
      <c r="AG37" s="542"/>
      <c r="AH37" s="7"/>
      <c r="AI37" s="7"/>
      <c r="AJ37" s="7"/>
      <c r="AK37" s="11"/>
      <c r="AL37" s="11"/>
      <c r="AM37" s="11"/>
      <c r="AN37" s="11"/>
    </row>
    <row r="38" spans="1:40" ht="15">
      <c r="A38" s="1095" t="s">
        <v>496</v>
      </c>
      <c r="B38" s="243">
        <v>29</v>
      </c>
      <c r="C38" s="245" t="s">
        <v>497</v>
      </c>
      <c r="D38" s="360">
        <v>274077</v>
      </c>
      <c r="E38" s="361">
        <v>306540</v>
      </c>
      <c r="F38" s="365">
        <v>354123</v>
      </c>
      <c r="G38" s="369">
        <f>+F38+(-G10)</f>
        <v>393735.82562206232</v>
      </c>
      <c r="H38" s="370">
        <f t="shared" ref="H38:AF38" si="42">+G38+(-H10)</f>
        <v>437779.81203787116</v>
      </c>
      <c r="I38" s="370">
        <f t="shared" si="42"/>
        <v>486750.63673752465</v>
      </c>
      <c r="J38" s="371">
        <f t="shared" si="42"/>
        <v>541199.42457257444</v>
      </c>
      <c r="K38" s="497">
        <f t="shared" si="42"/>
        <v>601738.95019602682</v>
      </c>
      <c r="L38" s="370">
        <f t="shared" si="42"/>
        <v>669050.53431826131</v>
      </c>
      <c r="M38" s="370">
        <f t="shared" si="42"/>
        <v>743891.71139034326</v>
      </c>
      <c r="N38" s="370">
        <f t="shared" si="42"/>
        <v>827104.75500796526</v>
      </c>
      <c r="O38" s="370">
        <f t="shared" si="42"/>
        <v>919626.15698216367</v>
      </c>
      <c r="P38" s="370">
        <f t="shared" si="42"/>
        <v>1022497.1667556653</v>
      </c>
      <c r="Q38" s="370">
        <f t="shared" si="42"/>
        <v>1136875.5097770023</v>
      </c>
      <c r="R38" s="370">
        <f t="shared" si="42"/>
        <v>1264048.4167126985</v>
      </c>
      <c r="S38" s="370">
        <f t="shared" si="42"/>
        <v>1405447.1101301948</v>
      </c>
      <c r="T38" s="370">
        <f t="shared" si="42"/>
        <v>1562662.9116867692</v>
      </c>
      <c r="U38" s="370">
        <f t="shared" si="42"/>
        <v>1737465.1510971214</v>
      </c>
      <c r="V38" s="370">
        <f t="shared" si="42"/>
        <v>1931821.0784297725</v>
      </c>
      <c r="W38" s="370">
        <f t="shared" si="42"/>
        <v>2147918.0038281875</v>
      </c>
      <c r="X38" s="370">
        <f t="shared" si="42"/>
        <v>2388187.9138202923</v>
      </c>
      <c r="Y38" s="370">
        <f t="shared" si="42"/>
        <v>2655334.8412519475</v>
      </c>
      <c r="Z38" s="370">
        <f t="shared" si="42"/>
        <v>2952365.2968696281</v>
      </c>
      <c r="AA38" s="370">
        <f t="shared" si="42"/>
        <v>3282622.1050338107</v>
      </c>
      <c r="AB38" s="370">
        <f t="shared" si="42"/>
        <v>3649822.0243551522</v>
      </c>
      <c r="AC38" s="370">
        <f t="shared" si="42"/>
        <v>4058097.5766416262</v>
      </c>
      <c r="AD38" s="370">
        <f t="shared" si="42"/>
        <v>4512043.5549057275</v>
      </c>
      <c r="AE38" s="370">
        <f t="shared" si="42"/>
        <v>5016768.733839687</v>
      </c>
      <c r="AF38" s="371">
        <f t="shared" si="42"/>
        <v>5577953.3647159804</v>
      </c>
      <c r="AG38" s="543">
        <f>SUM(G38:AF38)</f>
        <v>51922808.566716045</v>
      </c>
      <c r="AH38" s="7"/>
      <c r="AI38" s="7"/>
      <c r="AJ38" s="7"/>
      <c r="AK38" s="11"/>
      <c r="AL38" s="11"/>
      <c r="AM38" s="11"/>
      <c r="AN38" s="11"/>
    </row>
    <row r="39" spans="1:40" ht="15">
      <c r="A39" s="1094"/>
      <c r="B39" s="243">
        <v>30</v>
      </c>
      <c r="C39" s="245" t="s">
        <v>498</v>
      </c>
      <c r="D39" s="362"/>
      <c r="E39" s="359"/>
      <c r="F39" s="366">
        <f>-SUM(D10:F10)</f>
        <v>102230</v>
      </c>
      <c r="G39" s="372">
        <f>F39-G10</f>
        <v>141842.82562206229</v>
      </c>
      <c r="H39" s="368">
        <f>G39-H10</f>
        <v>185886.81203787116</v>
      </c>
      <c r="I39" s="368">
        <f t="shared" ref="I39:AF39" si="43">H39-I10</f>
        <v>234857.63673752468</v>
      </c>
      <c r="J39" s="373">
        <f t="shared" si="43"/>
        <v>289306.4245725745</v>
      </c>
      <c r="K39" s="498">
        <f t="shared" si="43"/>
        <v>349845.95019602694</v>
      </c>
      <c r="L39" s="368">
        <f t="shared" si="43"/>
        <v>417157.53431826143</v>
      </c>
      <c r="M39" s="368">
        <f t="shared" si="43"/>
        <v>491998.71139034344</v>
      </c>
      <c r="N39" s="368">
        <f t="shared" si="43"/>
        <v>575211.75500796549</v>
      </c>
      <c r="O39" s="368">
        <f t="shared" si="43"/>
        <v>667733.1569821639</v>
      </c>
      <c r="P39" s="368">
        <f t="shared" si="43"/>
        <v>770604.16675566556</v>
      </c>
      <c r="Q39" s="368">
        <f t="shared" si="43"/>
        <v>884982.5097770025</v>
      </c>
      <c r="R39" s="368">
        <f t="shared" si="43"/>
        <v>1012155.4167126988</v>
      </c>
      <c r="S39" s="368">
        <f t="shared" si="43"/>
        <v>1153554.110130195</v>
      </c>
      <c r="T39" s="368">
        <f t="shared" si="43"/>
        <v>1310769.9116867695</v>
      </c>
      <c r="U39" s="368">
        <f t="shared" si="43"/>
        <v>1485572.1510971216</v>
      </c>
      <c r="V39" s="368">
        <f t="shared" si="43"/>
        <v>1679928.0784297728</v>
      </c>
      <c r="W39" s="368">
        <f t="shared" si="43"/>
        <v>1896025.0038281877</v>
      </c>
      <c r="X39" s="368">
        <f t="shared" si="43"/>
        <v>2136294.9138202923</v>
      </c>
      <c r="Y39" s="368">
        <f t="shared" si="43"/>
        <v>2403441.8412519475</v>
      </c>
      <c r="Z39" s="368">
        <f t="shared" si="43"/>
        <v>2700472.2968696281</v>
      </c>
      <c r="AA39" s="368">
        <f t="shared" si="43"/>
        <v>3030729.1050338107</v>
      </c>
      <c r="AB39" s="368">
        <f t="shared" si="43"/>
        <v>3397929.0243551522</v>
      </c>
      <c r="AC39" s="368">
        <f t="shared" si="43"/>
        <v>3806204.5766416262</v>
      </c>
      <c r="AD39" s="368">
        <f t="shared" si="43"/>
        <v>4260150.5549057275</v>
      </c>
      <c r="AE39" s="368">
        <f t="shared" si="43"/>
        <v>4764875.733839687</v>
      </c>
      <c r="AF39" s="373">
        <f t="shared" si="43"/>
        <v>5326060.3647159804</v>
      </c>
      <c r="AG39" s="543">
        <f>SUM(G39:AF39)</f>
        <v>45373590.56671606</v>
      </c>
      <c r="AH39" s="7"/>
      <c r="AI39" s="7"/>
      <c r="AJ39" s="7"/>
      <c r="AK39" s="11"/>
      <c r="AL39" s="11"/>
      <c r="AM39" s="11"/>
      <c r="AN39" s="11"/>
    </row>
    <row r="40" spans="1:40" ht="15">
      <c r="A40" s="1094"/>
      <c r="B40" s="243">
        <v>31</v>
      </c>
      <c r="C40" s="245" t="s">
        <v>499</v>
      </c>
      <c r="D40" s="362">
        <v>1533306</v>
      </c>
      <c r="E40" s="359">
        <v>1752487</v>
      </c>
      <c r="F40" s="366">
        <v>2025832</v>
      </c>
      <c r="G40" s="372">
        <f t="shared" ref="G40:AF40" si="44">F40+(-G23)</f>
        <v>2186298.3442791188</v>
      </c>
      <c r="H40" s="368">
        <f t="shared" si="44"/>
        <v>2353613.8617896633</v>
      </c>
      <c r="I40" s="368">
        <f t="shared" si="44"/>
        <v>2531692.3658067342</v>
      </c>
      <c r="J40" s="373">
        <f t="shared" si="44"/>
        <v>2724017.1501451707</v>
      </c>
      <c r="K40" s="498">
        <f t="shared" si="44"/>
        <v>2883230.7501451708</v>
      </c>
      <c r="L40" s="368">
        <f t="shared" si="44"/>
        <v>3055181.4381451709</v>
      </c>
      <c r="M40" s="368">
        <f t="shared" si="44"/>
        <v>3240888.181185171</v>
      </c>
      <c r="N40" s="368">
        <f t="shared" si="44"/>
        <v>3441451.4636683711</v>
      </c>
      <c r="O40" s="368">
        <f t="shared" si="44"/>
        <v>3654048.5431005629</v>
      </c>
      <c r="P40" s="368">
        <f t="shared" si="44"/>
        <v>3879401.4472986865</v>
      </c>
      <c r="Q40" s="368">
        <f t="shared" si="44"/>
        <v>4118275.5257486976</v>
      </c>
      <c r="R40" s="368">
        <f t="shared" si="44"/>
        <v>4371482.0489057088</v>
      </c>
      <c r="S40" s="368">
        <f t="shared" si="44"/>
        <v>4639880.9634521408</v>
      </c>
      <c r="T40" s="368">
        <f t="shared" si="44"/>
        <v>4919015.8345804308</v>
      </c>
      <c r="U40" s="368">
        <f t="shared" si="44"/>
        <v>5209316.1005538516</v>
      </c>
      <c r="V40" s="368">
        <f t="shared" si="44"/>
        <v>5511228.3771662097</v>
      </c>
      <c r="W40" s="368">
        <f t="shared" si="44"/>
        <v>5825217.1448430624</v>
      </c>
      <c r="X40" s="368">
        <f t="shared" si="44"/>
        <v>6151765.4632269889</v>
      </c>
      <c r="Y40" s="368">
        <f t="shared" si="44"/>
        <v>6488110.2311624335</v>
      </c>
      <c r="Z40" s="368">
        <f t="shared" si="44"/>
        <v>6834545.3421359416</v>
      </c>
      <c r="AA40" s="368">
        <f t="shared" si="44"/>
        <v>7191373.5064386548</v>
      </c>
      <c r="AB40" s="368">
        <f t="shared" si="44"/>
        <v>7558906.5156704495</v>
      </c>
      <c r="AC40" s="368">
        <f t="shared" si="44"/>
        <v>7937465.5151791973</v>
      </c>
      <c r="AD40" s="368">
        <f t="shared" si="44"/>
        <v>8327381.2846732084</v>
      </c>
      <c r="AE40" s="368">
        <f t="shared" si="44"/>
        <v>8728994.5272520389</v>
      </c>
      <c r="AF40" s="373">
        <f t="shared" si="44"/>
        <v>9142656.167108234</v>
      </c>
      <c r="AG40" s="543">
        <f>SUM(G40:AF40)</f>
        <v>132905438.09366105</v>
      </c>
      <c r="AH40" s="7"/>
      <c r="AI40" s="7"/>
      <c r="AJ40" s="7"/>
      <c r="AK40" s="11"/>
      <c r="AL40" s="11"/>
      <c r="AM40" s="11"/>
      <c r="AN40" s="11"/>
    </row>
    <row r="41" spans="1:40" ht="15.95" thickBot="1">
      <c r="A41" s="1096"/>
      <c r="B41" s="244">
        <v>32</v>
      </c>
      <c r="C41" s="240" t="s">
        <v>500</v>
      </c>
      <c r="D41" s="363">
        <v>885895</v>
      </c>
      <c r="E41" s="364">
        <v>1009123</v>
      </c>
      <c r="F41" s="367">
        <v>1124887</v>
      </c>
      <c r="G41" s="374">
        <f>F41-G9</f>
        <v>1173660.1815827198</v>
      </c>
      <c r="H41" s="375">
        <f>G41-H9</f>
        <v>1226296.6914905133</v>
      </c>
      <c r="I41" s="375">
        <f t="shared" ref="I41:AF41" si="45">H41-I9</f>
        <v>1282961.4278835971</v>
      </c>
      <c r="J41" s="376">
        <f t="shared" si="45"/>
        <v>1343913.5164423115</v>
      </c>
      <c r="K41" s="499">
        <f t="shared" si="45"/>
        <v>1409495.945339907</v>
      </c>
      <c r="L41" s="375">
        <f t="shared" si="45"/>
        <v>1478911.5419548838</v>
      </c>
      <c r="M41" s="375">
        <f t="shared" si="45"/>
        <v>1552466.9597046329</v>
      </c>
      <c r="N41" s="375">
        <f t="shared" si="45"/>
        <v>1630493.3842799359</v>
      </c>
      <c r="O41" s="375">
        <f t="shared" si="45"/>
        <v>1713348.4962268369</v>
      </c>
      <c r="P41" s="375">
        <f t="shared" si="45"/>
        <v>1801322.0167876321</v>
      </c>
      <c r="Q41" s="375">
        <f t="shared" si="45"/>
        <v>1894721.050479155</v>
      </c>
      <c r="R41" s="375">
        <f t="shared" si="45"/>
        <v>1993871.1280892491</v>
      </c>
      <c r="S41" s="375">
        <f t="shared" si="45"/>
        <v>2099117.3122530291</v>
      </c>
      <c r="T41" s="375">
        <f t="shared" si="45"/>
        <v>2210825.3693637159</v>
      </c>
      <c r="U41" s="375">
        <f t="shared" si="45"/>
        <v>2329253.7743391856</v>
      </c>
      <c r="V41" s="375">
        <f t="shared" si="45"/>
        <v>2454671.3410940296</v>
      </c>
      <c r="W41" s="375">
        <f t="shared" si="45"/>
        <v>2587357.6360994228</v>
      </c>
      <c r="X41" s="375">
        <f t="shared" si="45"/>
        <v>2727603.4084853875</v>
      </c>
      <c r="Y41" s="375">
        <f t="shared" si="45"/>
        <v>2875711.0373471463</v>
      </c>
      <c r="Z41" s="375">
        <f t="shared" si="45"/>
        <v>3031916.3783789733</v>
      </c>
      <c r="AA41" s="375">
        <f t="shared" si="45"/>
        <v>3196462.3629459701</v>
      </c>
      <c r="AB41" s="375">
        <f t="shared" si="45"/>
        <v>3369599.2103541922</v>
      </c>
      <c r="AC41" s="375">
        <f t="shared" si="45"/>
        <v>3551584.6464888761</v>
      </c>
      <c r="AD41" s="375">
        <f t="shared" si="45"/>
        <v>3742684.1290118159</v>
      </c>
      <c r="AE41" s="375">
        <f t="shared" si="45"/>
        <v>3943171.0793146589</v>
      </c>
      <c r="AF41" s="376">
        <f t="shared" si="45"/>
        <v>4153327.1214308026</v>
      </c>
      <c r="AG41" s="543">
        <f>SUM(G41:AF41)</f>
        <v>60774747.147168577</v>
      </c>
      <c r="AH41" s="7"/>
      <c r="AI41" s="7"/>
      <c r="AJ41" s="7"/>
      <c r="AK41" s="11"/>
      <c r="AL41" s="11"/>
      <c r="AM41" s="11"/>
      <c r="AN41" s="11"/>
    </row>
    <row r="42" spans="1:40" s="7" customFormat="1" ht="15.95" thickBot="1">
      <c r="A42" s="1086"/>
      <c r="B42" s="1087"/>
      <c r="C42" s="1087"/>
      <c r="D42" s="1088"/>
      <c r="E42" s="1088"/>
      <c r="F42" s="1088"/>
      <c r="G42" s="1088"/>
      <c r="H42" s="1088"/>
      <c r="I42" s="1088"/>
      <c r="J42" s="1088"/>
      <c r="K42" s="1088"/>
      <c r="L42" s="1088"/>
      <c r="M42" s="1088"/>
      <c r="N42" s="1088"/>
      <c r="O42" s="1088"/>
      <c r="P42" s="1088"/>
      <c r="Q42" s="1088"/>
      <c r="R42" s="1088"/>
      <c r="S42" s="1088"/>
      <c r="T42" s="1088"/>
      <c r="U42" s="1088"/>
      <c r="V42" s="1088"/>
      <c r="W42" s="1088"/>
      <c r="X42" s="1088"/>
      <c r="Y42" s="1088"/>
      <c r="Z42" s="1088"/>
      <c r="AA42" s="1088"/>
      <c r="AB42" s="1088"/>
      <c r="AC42" s="1088"/>
      <c r="AD42" s="1088"/>
      <c r="AE42" s="1088"/>
      <c r="AF42" s="1089"/>
      <c r="AG42" s="542"/>
      <c r="AK42" s="11"/>
      <c r="AL42" s="11"/>
      <c r="AM42" s="11"/>
      <c r="AN42" s="11"/>
    </row>
    <row r="43" spans="1:40" ht="15" customHeight="1">
      <c r="A43" s="1082" t="s">
        <v>501</v>
      </c>
      <c r="B43" s="241">
        <v>33</v>
      </c>
      <c r="C43" s="245" t="s">
        <v>502</v>
      </c>
      <c r="D43" s="764">
        <f>'Fin. Data'!D39</f>
        <v>736098</v>
      </c>
      <c r="E43" s="765">
        <f>E36+D43</f>
        <v>750096</v>
      </c>
      <c r="F43" s="766">
        <f>F36+E43</f>
        <v>565541</v>
      </c>
      <c r="G43" s="382">
        <f>G36+F43</f>
        <v>439027.83184637991</v>
      </c>
      <c r="H43" s="383">
        <f t="shared" ref="H43:AF43" si="46">H36+G43</f>
        <v>502877.57144108764</v>
      </c>
      <c r="I43" s="383">
        <f t="shared" si="46"/>
        <v>538055.29493912461</v>
      </c>
      <c r="J43" s="384">
        <f t="shared" si="46"/>
        <v>561062.52496307064</v>
      </c>
      <c r="K43" s="500">
        <f t="shared" si="46"/>
        <v>596685.47566380852</v>
      </c>
      <c r="L43" s="383">
        <f t="shared" si="46"/>
        <v>596922.75037719402</v>
      </c>
      <c r="M43" s="383">
        <f t="shared" si="46"/>
        <v>597150.08143628226</v>
      </c>
      <c r="N43" s="383">
        <f t="shared" si="46"/>
        <v>598027.1574877894</v>
      </c>
      <c r="O43" s="383">
        <f t="shared" si="46"/>
        <v>653771.85606113321</v>
      </c>
      <c r="P43" s="383">
        <f t="shared" si="46"/>
        <v>717976.16963267024</v>
      </c>
      <c r="Q43" s="383">
        <f t="shared" si="46"/>
        <v>791810.94767723733</v>
      </c>
      <c r="R43" s="383">
        <f t="shared" si="46"/>
        <v>876461.99890854675</v>
      </c>
      <c r="S43" s="383">
        <f t="shared" si="46"/>
        <v>973355.48272038787</v>
      </c>
      <c r="T43" s="383">
        <f t="shared" si="46"/>
        <v>1156311.9836877049</v>
      </c>
      <c r="U43" s="383">
        <f t="shared" si="46"/>
        <v>1361670.3954406106</v>
      </c>
      <c r="V43" s="383">
        <f t="shared" si="46"/>
        <v>1434129.0386226613</v>
      </c>
      <c r="W43" s="383">
        <f t="shared" si="46"/>
        <v>1527069.1294549918</v>
      </c>
      <c r="X43" s="383">
        <f t="shared" si="46"/>
        <v>1643143.4230352596</v>
      </c>
      <c r="Y43" s="383">
        <f t="shared" si="46"/>
        <v>1831054.8829581174</v>
      </c>
      <c r="Z43" s="383">
        <f t="shared" si="46"/>
        <v>2052877.1628816994</v>
      </c>
      <c r="AA43" s="383">
        <f t="shared" si="46"/>
        <v>2312435.6572205205</v>
      </c>
      <c r="AB43" s="383">
        <f t="shared" si="46"/>
        <v>2613968.2753308406</v>
      </c>
      <c r="AC43" s="383">
        <f t="shared" si="46"/>
        <v>2962239.0770982374</v>
      </c>
      <c r="AD43" s="383">
        <f t="shared" si="46"/>
        <v>3362516.814965474</v>
      </c>
      <c r="AE43" s="383">
        <f t="shared" si="46"/>
        <v>3820662.5512746172</v>
      </c>
      <c r="AF43" s="384">
        <f t="shared" si="46"/>
        <v>4343202.2122794958</v>
      </c>
      <c r="AG43" s="542"/>
      <c r="AH43" s="7"/>
      <c r="AI43" s="7"/>
      <c r="AJ43" s="7"/>
      <c r="AK43" s="11"/>
      <c r="AL43" s="11"/>
      <c r="AM43" s="11"/>
      <c r="AN43" s="11"/>
    </row>
    <row r="44" spans="1:40" ht="15">
      <c r="A44" s="1080"/>
      <c r="B44" s="241">
        <v>34</v>
      </c>
      <c r="C44" s="245" t="s">
        <v>311</v>
      </c>
      <c r="D44" s="767">
        <f>'Fin. Data'!D58</f>
        <v>674932</v>
      </c>
      <c r="E44" s="319">
        <f>'Fin. Data'!C58</f>
        <v>460332</v>
      </c>
      <c r="F44" s="768">
        <f>'Fin. Data'!B58</f>
        <v>813766</v>
      </c>
      <c r="G44" s="372">
        <f>G12*Assumptions!$I$18</f>
        <v>672789.84358809539</v>
      </c>
      <c r="H44" s="368">
        <f>H12*Assumptions!$I$18</f>
        <v>748785.54598733026</v>
      </c>
      <c r="I44" s="368">
        <f>I12*Assumptions!$I$18</f>
        <v>831932.86496731883</v>
      </c>
      <c r="J44" s="373">
        <f>J12*Assumptions!$I$18</f>
        <v>934014.43403032282</v>
      </c>
      <c r="K44" s="372">
        <f>K12*Assumptions!$I$18</f>
        <v>1047199.9091666914</v>
      </c>
      <c r="L44" s="368">
        <f>L12*Assumptions!$I$18</f>
        <v>1131683.3943165229</v>
      </c>
      <c r="M44" s="368">
        <f>M12*Assumptions!$I$18</f>
        <v>1223221.7064924024</v>
      </c>
      <c r="N44" s="368">
        <f>N12*Assumptions!$I$18</f>
        <v>1322412.3595198581</v>
      </c>
      <c r="O44" s="498">
        <f>O12*Assumptions!$I$18</f>
        <v>1407882.2130791144</v>
      </c>
      <c r="P44" s="368">
        <f>P12*Assumptions!$I$18</f>
        <v>1499142.8388052126</v>
      </c>
      <c r="Q44" s="368">
        <f>Q12*Assumptions!$I$18</f>
        <v>1596615.8005064486</v>
      </c>
      <c r="R44" s="368">
        <f>R12*Assumptions!$I$18</f>
        <v>1700756.2467319351</v>
      </c>
      <c r="S44" s="368">
        <f>S12*Assumptions!$I$18</f>
        <v>1812055.8532921774</v>
      </c>
      <c r="T44" s="368">
        <f>T12*Assumptions!$I$18</f>
        <v>1901575.426990892</v>
      </c>
      <c r="U44" s="368">
        <f>U12*Assumptions!$I$18</f>
        <v>1996235.8515757108</v>
      </c>
      <c r="V44" s="368">
        <f>V12*Assumptions!$I$18</f>
        <v>2096417.2730431545</v>
      </c>
      <c r="W44" s="368">
        <f>W12*Assumptions!$I$18</f>
        <v>2202534.56444648</v>
      </c>
      <c r="X44" s="368">
        <f>X12*Assumptions!$I$18</f>
        <v>2315040.8986558239</v>
      </c>
      <c r="Y44" s="368">
        <f>Y12*Assumptions!$I$18</f>
        <v>2416503.9511763961</v>
      </c>
      <c r="Z44" s="368">
        <f>Z12*Assumptions!$I$18</f>
        <v>2524030.7129383935</v>
      </c>
      <c r="AA44" s="368">
        <f>AA12*Assumptions!$I$18</f>
        <v>2638140.8973686113</v>
      </c>
      <c r="AB44" s="368">
        <f>AB12*Assumptions!$I$18</f>
        <v>2759407.5964430515</v>
      </c>
      <c r="AC44" s="368">
        <f>AC12*Assumptions!$I$18</f>
        <v>2888463.1089804783</v>
      </c>
      <c r="AD44" s="368">
        <f>AD12*Assumptions!$I$18</f>
        <v>3026005.4166174545</v>
      </c>
      <c r="AE44" s="368">
        <f>AE12*Assumptions!$I$18</f>
        <v>3172805.379787189</v>
      </c>
      <c r="AF44" s="373">
        <f>AF12*Assumptions!$I$18</f>
        <v>3329714.7341107852</v>
      </c>
      <c r="AG44" s="556"/>
      <c r="AH44" s="11"/>
      <c r="AI44" s="11"/>
      <c r="AJ44" s="11"/>
      <c r="AK44" s="11"/>
      <c r="AL44" s="11"/>
      <c r="AM44" s="11"/>
      <c r="AN44" s="11"/>
    </row>
    <row r="45" spans="1:40" ht="15">
      <c r="A45" s="1080"/>
      <c r="B45" s="241">
        <v>35</v>
      </c>
      <c r="C45" s="245" t="s">
        <v>503</v>
      </c>
      <c r="D45" s="769"/>
      <c r="E45" s="442"/>
      <c r="F45" s="770">
        <f>1/((1+$F$50)^G50)</f>
        <v>1</v>
      </c>
      <c r="G45" s="385">
        <f>1/((1+$F$50)^G49)</f>
        <v>0.91335895244304333</v>
      </c>
      <c r="H45" s="314">
        <f t="shared" ref="H45:AF45" si="47">1/((1+$F$50)^H49)</f>
        <v>0.8342245760078536</v>
      </c>
      <c r="I45" s="314">
        <f t="shared" si="47"/>
        <v>0.76194648484477512</v>
      </c>
      <c r="J45" s="386">
        <f t="shared" si="47"/>
        <v>0.69593064321548304</v>
      </c>
      <c r="K45" s="440">
        <f t="shared" si="47"/>
        <v>0.63563448326030703</v>
      </c>
      <c r="L45" s="314">
        <f t="shared" si="47"/>
        <v>0.5805624457673092</v>
      </c>
      <c r="M45" s="314">
        <f t="shared" si="47"/>
        <v>0.53026190729380074</v>
      </c>
      <c r="N45" s="314">
        <f t="shared" si="47"/>
        <v>0.484319460166316</v>
      </c>
      <c r="O45" s="314">
        <f t="shared" si="47"/>
        <v>0.44235751478528668</v>
      </c>
      <c r="P45" s="314">
        <f t="shared" si="47"/>
        <v>0.4040311963095975</v>
      </c>
      <c r="Q45" s="314">
        <f t="shared" si="47"/>
        <v>0.36902551021564356</v>
      </c>
      <c r="R45" s="314">
        <f t="shared" si="47"/>
        <v>0.33705275343531982</v>
      </c>
      <c r="S45" s="314">
        <f t="shared" si="47"/>
        <v>0.30785014979572711</v>
      </c>
      <c r="T45" s="314">
        <f t="shared" si="47"/>
        <v>0.2811776903268593</v>
      </c>
      <c r="U45" s="314">
        <f t="shared" si="47"/>
        <v>0.25681616068729463</v>
      </c>
      <c r="V45" s="314">
        <f t="shared" si="47"/>
        <v>0.23456533949579175</v>
      </c>
      <c r="W45" s="314">
        <f t="shared" si="47"/>
        <v>0.21424235276132317</v>
      </c>
      <c r="X45" s="314">
        <f t="shared" si="47"/>
        <v>0.19568017088701509</v>
      </c>
      <c r="Y45" s="314">
        <f t="shared" si="47"/>
        <v>0.17872623589523984</v>
      </c>
      <c r="Z45" s="314">
        <f t="shared" si="47"/>
        <v>0.16324120759136451</v>
      </c>
      <c r="AA45" s="314">
        <f t="shared" si="47"/>
        <v>0.14909781836118607</v>
      </c>
      <c r="AB45" s="314">
        <f t="shared" si="47"/>
        <v>0.13617982718991606</v>
      </c>
      <c r="AC45" s="314">
        <f t="shared" si="47"/>
        <v>0.12438106430605642</v>
      </c>
      <c r="AD45" s="314">
        <f t="shared" si="47"/>
        <v>0.1136045585983305</v>
      </c>
      <c r="AE45" s="314">
        <f t="shared" si="47"/>
        <v>0.10376174063412547</v>
      </c>
      <c r="AF45" s="386">
        <f t="shared" si="47"/>
        <v>9.477171472925161E-2</v>
      </c>
      <c r="AG45" s="556"/>
      <c r="AH45" s="11"/>
      <c r="AI45" s="11"/>
      <c r="AJ45" s="11"/>
      <c r="AK45" s="11"/>
      <c r="AL45" s="11"/>
      <c r="AM45" s="11"/>
      <c r="AN45" s="11"/>
    </row>
    <row r="46" spans="1:40" ht="15">
      <c r="A46" s="1080"/>
      <c r="B46" s="241">
        <v>36</v>
      </c>
      <c r="C46" s="245" t="s">
        <v>504</v>
      </c>
      <c r="D46" s="771"/>
      <c r="E46" s="772" t="s">
        <v>505</v>
      </c>
      <c r="F46" s="386">
        <f>1/((1+$F$50+0.001)^G50)</f>
        <v>1</v>
      </c>
      <c r="G46" s="739">
        <f>1/((1+$F$50+0.001)^G49)</f>
        <v>0.91252548911822484</v>
      </c>
      <c r="H46" s="314">
        <f t="shared" ref="H46:AF46" si="48">1/((1+$F$50+0.001)^H49)</f>
        <v>0.83270276829045553</v>
      </c>
      <c r="I46" s="314">
        <f t="shared" si="48"/>
        <v>0.75986250092434782</v>
      </c>
      <c r="J46" s="386">
        <f t="shared" si="48"/>
        <v>0.69339390031858805</v>
      </c>
      <c r="K46" s="440">
        <f t="shared" si="48"/>
        <v>0.63273960803981333</v>
      </c>
      <c r="L46" s="314">
        <f t="shared" si="48"/>
        <v>0.57739102031100442</v>
      </c>
      <c r="M46" s="314">
        <f t="shared" si="48"/>
        <v>0.5268840232217703</v>
      </c>
      <c r="N46" s="314">
        <f t="shared" si="48"/>
        <v>0.48079510099902406</v>
      </c>
      <c r="O46" s="314">
        <f t="shared" si="48"/>
        <v>0.4387377847047807</v>
      </c>
      <c r="P46" s="314">
        <f t="shared" si="48"/>
        <v>0.40035941158237648</v>
      </c>
      <c r="Q46" s="314">
        <f t="shared" si="48"/>
        <v>0.36533816787729284</v>
      </c>
      <c r="R46" s="314">
        <f t="shared" si="48"/>
        <v>0.33338039033578282</v>
      </c>
      <c r="S46" s="314">
        <f t="shared" si="48"/>
        <v>0.30421810375358493</v>
      </c>
      <c r="T46" s="314">
        <f t="shared" si="48"/>
        <v>0.27760677392635896</v>
      </c>
      <c r="U46" s="314">
        <f t="shared" si="48"/>
        <v>0.25332325715968318</v>
      </c>
      <c r="V46" s="314">
        <f t="shared" si="48"/>
        <v>0.23116392914466175</v>
      </c>
      <c r="W46" s="314">
        <f t="shared" si="48"/>
        <v>0.21094297750922314</v>
      </c>
      <c r="X46" s="314">
        <f t="shared" si="48"/>
        <v>0.19249084372765857</v>
      </c>
      <c r="Y46" s="314">
        <f t="shared" si="48"/>
        <v>0.17565280132336142</v>
      </c>
      <c r="Z46" s="314">
        <f t="shared" si="48"/>
        <v>0.16028765844258674</v>
      </c>
      <c r="AA46" s="314">
        <f t="shared" si="48"/>
        <v>0.14626657391993644</v>
      </c>
      <c r="AB46" s="314">
        <f t="shared" si="48"/>
        <v>0.133471976907937</v>
      </c>
      <c r="AC46" s="314">
        <f t="shared" si="48"/>
        <v>0.12179658101149161</v>
      </c>
      <c r="AD46" s="314">
        <f t="shared" si="48"/>
        <v>0.1111424846604389</v>
      </c>
      <c r="AE46" s="314">
        <f t="shared" si="48"/>
        <v>0.1014203501765818</v>
      </c>
      <c r="AF46" s="386">
        <f t="shared" si="48"/>
        <v>9.2548654651426948E-2</v>
      </c>
      <c r="AG46" s="556"/>
      <c r="AH46" s="11"/>
      <c r="AI46" s="11"/>
      <c r="AJ46" s="11"/>
      <c r="AK46" s="11"/>
      <c r="AL46" s="11"/>
      <c r="AM46" s="11"/>
      <c r="AN46" s="11"/>
    </row>
    <row r="47" spans="1:40" ht="15.95" thickBot="1">
      <c r="A47" s="1081"/>
      <c r="B47" s="242">
        <v>37</v>
      </c>
      <c r="C47" s="240" t="s">
        <v>506</v>
      </c>
      <c r="D47" s="773"/>
      <c r="E47" s="774" t="s">
        <v>507</v>
      </c>
      <c r="F47" s="389">
        <f>1/((1+$F$50+0.005)^G50)</f>
        <v>1</v>
      </c>
      <c r="G47" s="387">
        <f t="shared" ref="G47:AF47" si="49">1/((1+$F$50+0.005)^G49)</f>
        <v>0.90920679162926044</v>
      </c>
      <c r="H47" s="388">
        <f t="shared" si="49"/>
        <v>0.82665698994477332</v>
      </c>
      <c r="I47" s="388">
        <f t="shared" si="49"/>
        <v>0.75160214960558924</v>
      </c>
      <c r="J47" s="389">
        <f t="shared" si="49"/>
        <v>0.68336177902455308</v>
      </c>
      <c r="K47" s="501">
        <f t="shared" si="49"/>
        <v>0.62131717062897762</v>
      </c>
      <c r="L47" s="388">
        <f t="shared" si="49"/>
        <v>0.56490579129174245</v>
      </c>
      <c r="M47" s="388">
        <f t="shared" si="49"/>
        <v>0.51361618207315374</v>
      </c>
      <c r="N47" s="388">
        <f t="shared" si="49"/>
        <v>0.46698332103160217</v>
      </c>
      <c r="O47" s="388">
        <f t="shared" si="49"/>
        <v>0.42458440705952</v>
      </c>
      <c r="P47" s="388">
        <f t="shared" si="49"/>
        <v>0.38603502651839799</v>
      </c>
      <c r="Q47" s="388">
        <f t="shared" si="49"/>
        <v>0.35098566791730912</v>
      </c>
      <c r="R47" s="388">
        <f t="shared" si="49"/>
        <v>0.31911855303494968</v>
      </c>
      <c r="S47" s="388">
        <f t="shared" si="49"/>
        <v>0.29014475575427862</v>
      </c>
      <c r="T47" s="388">
        <f t="shared" si="49"/>
        <v>0.26380158248740299</v>
      </c>
      <c r="U47" s="388">
        <f t="shared" si="49"/>
        <v>0.2398501904400934</v>
      </c>
      <c r="V47" s="388">
        <f t="shared" si="49"/>
        <v>0.21807342212170441</v>
      </c>
      <c r="W47" s="388">
        <f t="shared" si="49"/>
        <v>0.19827383646688829</v>
      </c>
      <c r="X47" s="388">
        <f t="shared" si="49"/>
        <v>0.18027191871808415</v>
      </c>
      <c r="Y47" s="388">
        <f t="shared" si="49"/>
        <v>0.16390445283852009</v>
      </c>
      <c r="Z47" s="388">
        <f t="shared" si="49"/>
        <v>0.14902304169906028</v>
      </c>
      <c r="AA47" s="388">
        <f t="shared" si="49"/>
        <v>0.13549276162203611</v>
      </c>
      <c r="AB47" s="388">
        <f t="shared" si="49"/>
        <v>0.12319093908335961</v>
      </c>
      <c r="AC47" s="388">
        <f t="shared" si="49"/>
        <v>0.11200603848177706</v>
      </c>
      <c r="AD47" s="388">
        <f t="shared" si="49"/>
        <v>0.10183665089111998</v>
      </c>
      <c r="AE47" s="388">
        <f t="shared" si="49"/>
        <v>9.2590574626984279E-2</v>
      </c>
      <c r="AF47" s="389">
        <f t="shared" si="49"/>
        <v>8.4183979291709968E-2</v>
      </c>
      <c r="AG47" s="556"/>
      <c r="AH47" s="11"/>
      <c r="AI47" s="11"/>
      <c r="AJ47" s="11"/>
      <c r="AK47" s="11"/>
      <c r="AL47" s="11"/>
      <c r="AM47" s="11"/>
      <c r="AN47" s="11"/>
    </row>
    <row r="48" spans="1:40" ht="15.95" thickBot="1">
      <c r="A48" s="1090" t="s">
        <v>476</v>
      </c>
      <c r="B48" s="1091"/>
      <c r="C48" s="1091"/>
      <c r="D48" s="1092"/>
      <c r="E48" s="1092"/>
      <c r="F48" s="1092"/>
      <c r="G48" s="1092"/>
      <c r="H48" s="1092"/>
      <c r="I48" s="1092"/>
      <c r="J48" s="1092"/>
      <c r="K48" s="1092"/>
      <c r="L48" s="1092"/>
      <c r="M48" s="1092"/>
      <c r="N48" s="1092"/>
      <c r="O48" s="1092"/>
      <c r="P48" s="1092"/>
      <c r="Q48" s="1092"/>
      <c r="R48" s="1092"/>
      <c r="S48" s="1092"/>
      <c r="T48" s="1092"/>
      <c r="U48" s="1092"/>
      <c r="V48" s="1092"/>
      <c r="W48" s="1092"/>
      <c r="X48" s="1092"/>
      <c r="Y48" s="1092"/>
      <c r="Z48" s="1092"/>
      <c r="AA48" s="1092"/>
      <c r="AB48" s="1092"/>
      <c r="AC48" s="1092"/>
      <c r="AD48" s="1092"/>
      <c r="AE48" s="1092"/>
      <c r="AF48" s="1093"/>
      <c r="AG48" s="556"/>
      <c r="AH48" s="11"/>
      <c r="AI48" s="11"/>
      <c r="AJ48" s="558"/>
      <c r="AK48" s="11"/>
      <c r="AL48" s="11"/>
      <c r="AM48" s="11"/>
      <c r="AN48" s="11"/>
    </row>
    <row r="49" spans="1:40" ht="15">
      <c r="A49" s="1097" t="s">
        <v>508</v>
      </c>
      <c r="B49" s="1099">
        <v>38</v>
      </c>
      <c r="C49" s="256" t="s">
        <v>509</v>
      </c>
      <c r="D49" s="246" t="s">
        <v>510</v>
      </c>
      <c r="E49" s="247" t="s">
        <v>511</v>
      </c>
      <c r="F49" s="257" t="s">
        <v>239</v>
      </c>
      <c r="G49" s="315">
        <v>1</v>
      </c>
      <c r="H49" s="316">
        <v>2</v>
      </c>
      <c r="I49" s="316">
        <v>3</v>
      </c>
      <c r="J49" s="315">
        <v>4</v>
      </c>
      <c r="K49" s="316">
        <v>5</v>
      </c>
      <c r="L49" s="316">
        <v>6</v>
      </c>
      <c r="M49" s="315">
        <v>7</v>
      </c>
      <c r="N49" s="316">
        <v>8</v>
      </c>
      <c r="O49" s="316">
        <v>9</v>
      </c>
      <c r="P49" s="315">
        <v>10</v>
      </c>
      <c r="Q49" s="316">
        <v>11</v>
      </c>
      <c r="R49" s="316">
        <v>12</v>
      </c>
      <c r="S49" s="315">
        <v>13</v>
      </c>
      <c r="T49" s="316">
        <v>14</v>
      </c>
      <c r="U49" s="316">
        <v>15</v>
      </c>
      <c r="V49" s="315">
        <v>16</v>
      </c>
      <c r="W49" s="316">
        <v>17</v>
      </c>
      <c r="X49" s="316">
        <v>18</v>
      </c>
      <c r="Y49" s="315">
        <v>19</v>
      </c>
      <c r="Z49" s="316">
        <v>20</v>
      </c>
      <c r="AA49" s="316">
        <v>21</v>
      </c>
      <c r="AB49" s="315">
        <v>22</v>
      </c>
      <c r="AC49" s="316">
        <v>23</v>
      </c>
      <c r="AD49" s="316">
        <v>24</v>
      </c>
      <c r="AE49" s="315">
        <v>25</v>
      </c>
      <c r="AF49" s="316">
        <v>26</v>
      </c>
      <c r="AG49" s="556"/>
      <c r="AH49" s="11"/>
      <c r="AI49" s="11"/>
      <c r="AJ49" s="11"/>
      <c r="AK49" s="11"/>
      <c r="AL49" s="11"/>
      <c r="AM49" s="11"/>
      <c r="AN49" s="11"/>
    </row>
    <row r="50" spans="1:40" ht="15">
      <c r="A50" s="1098"/>
      <c r="B50" s="1100"/>
      <c r="C50" s="252">
        <v>3.4000000000000002E-2</v>
      </c>
      <c r="D50" s="253">
        <f>Assumptions!G7</f>
        <v>5.3359799999999999E-2</v>
      </c>
      <c r="E50" s="254">
        <v>7.4999999999999997E-3</v>
      </c>
      <c r="F50" s="255">
        <f>E50+D50+C50</f>
        <v>9.4859799999999994E-2</v>
      </c>
      <c r="G50" s="315">
        <v>0</v>
      </c>
      <c r="S50" s="239"/>
      <c r="T50" s="239"/>
      <c r="U50" s="239"/>
      <c r="V50" s="239"/>
      <c r="W50" s="239"/>
      <c r="X50" s="239"/>
      <c r="Y50" s="239"/>
      <c r="Z50" s="239"/>
      <c r="AA50" s="239"/>
      <c r="AB50" s="239"/>
      <c r="AC50" s="239"/>
      <c r="AD50" s="239"/>
      <c r="AE50" s="239"/>
      <c r="AF50" s="239"/>
      <c r="AG50" s="555"/>
      <c r="AH50" s="11"/>
      <c r="AI50" s="11"/>
      <c r="AJ50" s="11"/>
      <c r="AK50" s="11"/>
      <c r="AL50" s="11"/>
      <c r="AM50" s="11"/>
      <c r="AN50" s="11"/>
    </row>
    <row r="51" spans="1:40" ht="15">
      <c r="A51" s="239"/>
      <c r="C51" s="239"/>
      <c r="D51" s="239"/>
      <c r="G51"/>
      <c r="H51" s="239"/>
      <c r="I51" s="239"/>
      <c r="J51" s="239"/>
      <c r="K51" s="239"/>
      <c r="S51" s="239"/>
      <c r="T51" s="239"/>
      <c r="U51" s="239"/>
      <c r="V51" s="239"/>
      <c r="W51" s="239"/>
      <c r="X51" s="239"/>
      <c r="Y51" s="239"/>
      <c r="Z51" s="239"/>
      <c r="AA51" s="239"/>
      <c r="AB51" s="239"/>
      <c r="AC51" s="239"/>
      <c r="AD51" s="239"/>
      <c r="AE51" s="239"/>
      <c r="AF51" s="239"/>
      <c r="AG51" s="555"/>
      <c r="AH51" s="11"/>
      <c r="AI51" s="11"/>
      <c r="AJ51" s="11"/>
      <c r="AK51" s="11"/>
      <c r="AL51" s="11"/>
      <c r="AM51" s="11"/>
      <c r="AN51" s="11"/>
    </row>
    <row r="52" spans="1:40" ht="15" customHeight="1">
      <c r="A52" s="1077" t="s">
        <v>512</v>
      </c>
      <c r="C52" s="469" t="s">
        <v>476</v>
      </c>
      <c r="D52" s="470" t="s">
        <v>452</v>
      </c>
      <c r="E52" s="471" t="s">
        <v>453</v>
      </c>
      <c r="F52" s="470" t="s">
        <v>513</v>
      </c>
      <c r="G52" s="239"/>
      <c r="I52" s="516"/>
      <c r="J52" s="516"/>
      <c r="K52" s="239"/>
      <c r="S52" s="239"/>
      <c r="T52" s="239"/>
      <c r="U52" s="239"/>
      <c r="V52" s="239"/>
      <c r="W52" s="239"/>
      <c r="X52" s="239"/>
      <c r="Y52" s="239"/>
      <c r="Z52" s="239"/>
      <c r="AA52" s="239"/>
      <c r="AB52" s="239"/>
      <c r="AC52" s="239"/>
      <c r="AD52" s="239"/>
      <c r="AE52" s="239"/>
      <c r="AF52" s="239"/>
      <c r="AG52" s="555"/>
      <c r="AH52" s="11"/>
      <c r="AI52" s="11"/>
      <c r="AJ52" s="11"/>
      <c r="AK52" s="11"/>
      <c r="AL52" s="11"/>
      <c r="AM52" s="11"/>
      <c r="AN52" s="11"/>
    </row>
    <row r="53" spans="1:40" ht="15" customHeight="1">
      <c r="A53" s="1078"/>
      <c r="C53" s="472" t="s">
        <v>514</v>
      </c>
      <c r="D53" s="428">
        <f>-Assumptions!G22</f>
        <v>-2.4075629954862916E-2</v>
      </c>
      <c r="E53" s="428">
        <f>-Assumptions!G22</f>
        <v>-2.4075629954862916E-2</v>
      </c>
      <c r="F53" s="473" t="s">
        <v>515</v>
      </c>
      <c r="G53" s="521"/>
      <c r="I53" s="239"/>
      <c r="J53" s="239"/>
      <c r="K53" s="239"/>
      <c r="S53" s="239"/>
      <c r="T53" s="239"/>
      <c r="U53" s="239"/>
      <c r="V53" s="239"/>
      <c r="W53" s="239"/>
      <c r="X53" s="239"/>
      <c r="Y53" s="239"/>
      <c r="Z53" s="239"/>
      <c r="AA53" s="239"/>
      <c r="AB53" s="239"/>
      <c r="AC53" s="239"/>
      <c r="AD53" s="239"/>
      <c r="AE53" s="239"/>
      <c r="AF53" s="239"/>
      <c r="AG53" s="555"/>
      <c r="AH53" s="11"/>
      <c r="AI53" s="11"/>
      <c r="AJ53" s="11"/>
      <c r="AK53" s="11"/>
      <c r="AL53" s="11"/>
      <c r="AM53" s="11"/>
      <c r="AN53" s="11"/>
    </row>
    <row r="54" spans="1:40" ht="15" customHeight="1">
      <c r="A54" s="1078"/>
      <c r="C54" s="474" t="s">
        <v>516</v>
      </c>
      <c r="D54" s="429">
        <f>-Assumptions!G26</f>
        <v>-0.11186177012524545</v>
      </c>
      <c r="E54" s="429">
        <f>-Assumptions!G26</f>
        <v>-0.11186177012524545</v>
      </c>
      <c r="F54" s="475" t="s">
        <v>517</v>
      </c>
      <c r="G54" s="239"/>
      <c r="I54" s="239"/>
      <c r="J54" s="239"/>
      <c r="K54" s="239"/>
      <c r="S54" s="239"/>
      <c r="T54" s="239"/>
      <c r="U54" s="239"/>
      <c r="V54" s="239"/>
      <c r="W54" s="239"/>
      <c r="X54" s="239"/>
      <c r="Y54" s="239"/>
      <c r="Z54" s="239"/>
      <c r="AA54" s="239"/>
      <c r="AB54" s="239"/>
      <c r="AC54" s="239"/>
      <c r="AD54" s="239"/>
      <c r="AE54" s="239"/>
      <c r="AF54" s="239"/>
      <c r="AG54" s="555"/>
      <c r="AH54" s="11"/>
      <c r="AI54" s="11"/>
      <c r="AJ54" s="11"/>
      <c r="AK54" s="11"/>
      <c r="AL54" s="11"/>
      <c r="AM54" s="11"/>
      <c r="AN54" s="11"/>
    </row>
    <row r="55" spans="1:40" ht="15" customHeight="1">
      <c r="A55" s="1078"/>
      <c r="C55" s="441" t="s">
        <v>518</v>
      </c>
      <c r="D55" s="430">
        <v>0</v>
      </c>
      <c r="E55" s="476">
        <v>0</v>
      </c>
      <c r="F55" s="473" t="s">
        <v>519</v>
      </c>
      <c r="G55" s="239"/>
      <c r="I55" s="239"/>
      <c r="J55" s="239"/>
      <c r="K55" s="239"/>
      <c r="L55" s="239"/>
      <c r="M55" s="239"/>
      <c r="N55" s="239"/>
      <c r="O55" s="239"/>
      <c r="P55" s="239"/>
      <c r="Q55" s="239"/>
      <c r="R55" s="239"/>
      <c r="S55" s="239"/>
      <c r="T55" s="239"/>
      <c r="U55" s="239"/>
      <c r="V55" s="239"/>
      <c r="W55" s="239"/>
      <c r="X55" s="239"/>
      <c r="Y55" s="239"/>
      <c r="Z55" s="239"/>
      <c r="AA55" s="239"/>
      <c r="AB55" s="239"/>
      <c r="AC55" s="239"/>
      <c r="AD55" s="239"/>
      <c r="AE55" s="239"/>
      <c r="AF55" s="239"/>
      <c r="AG55" s="555"/>
      <c r="AH55" s="11"/>
      <c r="AI55" s="11"/>
      <c r="AJ55" s="11"/>
      <c r="AK55" s="11"/>
      <c r="AL55" s="11"/>
      <c r="AM55" s="11"/>
      <c r="AN55" s="11"/>
    </row>
    <row r="56" spans="1:40" ht="15" customHeight="1">
      <c r="A56" s="1078"/>
      <c r="C56" s="474" t="s">
        <v>520</v>
      </c>
      <c r="D56" s="429">
        <v>0.30599999999999999</v>
      </c>
      <c r="E56" s="431">
        <v>0.30599999999999999</v>
      </c>
      <c r="F56" s="473" t="s">
        <v>521</v>
      </c>
      <c r="G56" s="239"/>
      <c r="I56" s="239"/>
      <c r="J56" s="239"/>
      <c r="K56" s="239"/>
      <c r="L56" s="239"/>
      <c r="M56" s="239"/>
      <c r="N56" s="239"/>
      <c r="O56" s="239"/>
      <c r="P56" s="239"/>
      <c r="Q56" s="239"/>
      <c r="R56" s="239"/>
      <c r="S56" s="239"/>
      <c r="T56" s="239"/>
      <c r="U56" s="239"/>
      <c r="V56" s="239"/>
      <c r="W56" s="239"/>
      <c r="X56" s="239"/>
      <c r="Y56" s="239"/>
      <c r="Z56" s="239"/>
      <c r="AA56" s="239"/>
      <c r="AB56" s="239"/>
      <c r="AC56" s="239"/>
      <c r="AD56" s="239"/>
      <c r="AE56" s="239"/>
      <c r="AF56" s="239"/>
      <c r="AG56" s="555"/>
      <c r="AH56" s="11"/>
      <c r="AI56" s="11"/>
      <c r="AJ56" s="11"/>
      <c r="AK56" s="11"/>
      <c r="AL56" s="11"/>
      <c r="AM56" s="11"/>
      <c r="AN56" s="11"/>
    </row>
    <row r="57" spans="1:40" ht="15" customHeight="1">
      <c r="A57" s="1078"/>
      <c r="C57" s="441" t="s">
        <v>522</v>
      </c>
      <c r="D57" s="434">
        <f>C50+0.0142</f>
        <v>4.8200000000000007E-2</v>
      </c>
      <c r="E57" s="434">
        <f>C50+0.0142</f>
        <v>4.8200000000000007E-2</v>
      </c>
      <c r="F57" s="473" t="s">
        <v>523</v>
      </c>
      <c r="G57" s="239"/>
      <c r="I57" s="239"/>
      <c r="J57" s="239"/>
      <c r="K57" s="239"/>
      <c r="L57" s="239"/>
      <c r="M57" s="239"/>
      <c r="N57" s="239"/>
      <c r="O57" s="239"/>
      <c r="P57" s="239"/>
      <c r="Q57" s="239"/>
      <c r="R57" s="239"/>
      <c r="S57" s="239"/>
      <c r="T57" s="239"/>
      <c r="U57" s="239"/>
      <c r="V57" s="239"/>
      <c r="W57" s="239"/>
      <c r="X57" s="239"/>
      <c r="Y57" s="239"/>
      <c r="Z57" s="239"/>
      <c r="AA57" s="239"/>
      <c r="AB57" s="239"/>
      <c r="AC57" s="239"/>
      <c r="AD57" s="239"/>
      <c r="AE57" s="239"/>
      <c r="AF57" s="239"/>
      <c r="AG57" s="555"/>
      <c r="AH57" s="11"/>
      <c r="AI57" s="11"/>
      <c r="AJ57" s="11"/>
      <c r="AK57" s="11"/>
      <c r="AL57" s="11"/>
      <c r="AM57" s="11"/>
      <c r="AN57" s="11"/>
    </row>
    <row r="58" spans="1:40" ht="15" customHeight="1">
      <c r="A58" s="1078"/>
      <c r="C58" s="474" t="s">
        <v>524</v>
      </c>
      <c r="D58" s="435">
        <f>C50</f>
        <v>3.4000000000000002E-2</v>
      </c>
      <c r="E58" s="431">
        <v>0.01</v>
      </c>
      <c r="F58" s="473" t="s">
        <v>525</v>
      </c>
      <c r="G58" s="239"/>
      <c r="H58" s="239"/>
      <c r="I58" s="240"/>
      <c r="J58" s="262"/>
      <c r="K58" s="262"/>
      <c r="L58" s="262"/>
      <c r="M58" s="262"/>
      <c r="N58" s="262"/>
      <c r="O58" s="239"/>
      <c r="P58" s="239"/>
      <c r="Q58" s="239"/>
      <c r="R58" s="239"/>
      <c r="S58" s="239"/>
      <c r="T58" s="239"/>
      <c r="U58" s="239"/>
      <c r="V58" s="239"/>
      <c r="W58" s="239"/>
      <c r="X58" s="239"/>
      <c r="Y58" s="239"/>
      <c r="Z58" s="239"/>
      <c r="AA58" s="239"/>
      <c r="AB58" s="239"/>
      <c r="AC58" s="239"/>
      <c r="AD58" s="239"/>
      <c r="AE58" s="239"/>
      <c r="AF58" s="239"/>
      <c r="AG58" s="555"/>
      <c r="AH58" s="11"/>
      <c r="AI58" s="11"/>
      <c r="AJ58" s="11"/>
      <c r="AK58" s="11"/>
      <c r="AL58" s="11"/>
      <c r="AM58" s="11"/>
      <c r="AN58" s="11"/>
    </row>
    <row r="59" spans="1:40" ht="15" customHeight="1">
      <c r="A59" s="1078"/>
      <c r="C59" s="441" t="s">
        <v>526</v>
      </c>
      <c r="D59" s="430" t="s">
        <v>519</v>
      </c>
      <c r="E59" s="476" t="s">
        <v>519</v>
      </c>
      <c r="F59" s="475" t="s">
        <v>527</v>
      </c>
      <c r="G59" s="239"/>
      <c r="H59" s="239"/>
      <c r="I59" s="239"/>
      <c r="J59" s="263"/>
      <c r="K59" s="263"/>
      <c r="L59" s="263"/>
      <c r="M59" s="263"/>
      <c r="N59" s="262"/>
      <c r="O59" s="239"/>
      <c r="P59" s="239"/>
      <c r="Q59" s="239"/>
      <c r="R59" s="239"/>
      <c r="S59" s="239"/>
      <c r="T59" s="239"/>
      <c r="U59" s="239"/>
      <c r="V59" s="239"/>
      <c r="W59" s="239"/>
      <c r="X59" s="239"/>
      <c r="Y59" s="239"/>
      <c r="Z59" s="239"/>
      <c r="AA59" s="239"/>
      <c r="AB59" s="239"/>
      <c r="AC59" s="239"/>
      <c r="AD59" s="239"/>
      <c r="AE59" s="239"/>
      <c r="AF59" s="239"/>
      <c r="AG59" s="555"/>
      <c r="AH59" s="11"/>
      <c r="AI59" s="11"/>
      <c r="AJ59" s="11"/>
      <c r="AK59" s="11"/>
      <c r="AL59" s="11"/>
      <c r="AM59" s="11"/>
      <c r="AN59" s="11"/>
    </row>
    <row r="60" spans="1:40" ht="15" customHeight="1">
      <c r="A60" s="1078"/>
      <c r="C60" s="469" t="s">
        <v>528</v>
      </c>
      <c r="D60" s="489">
        <f>Assumptions!I37</f>
        <v>-0.57518390461596325</v>
      </c>
      <c r="E60" s="489">
        <f>Assumptions!I37</f>
        <v>-0.57518390461596325</v>
      </c>
      <c r="F60" s="477" t="s">
        <v>529</v>
      </c>
      <c r="G60" s="239"/>
      <c r="H60" s="743">
        <v>0.4</v>
      </c>
      <c r="I60" s="239"/>
      <c r="J60" s="262"/>
      <c r="K60" s="262"/>
      <c r="L60" s="262"/>
      <c r="M60" s="262"/>
      <c r="N60" s="262"/>
      <c r="O60" s="239"/>
      <c r="P60" s="239"/>
      <c r="Q60" s="239"/>
      <c r="R60" s="239"/>
      <c r="S60" s="239"/>
      <c r="T60" s="239"/>
      <c r="U60" s="239"/>
      <c r="V60" s="239"/>
      <c r="W60" s="239"/>
      <c r="X60" s="239"/>
      <c r="Y60" s="239"/>
      <c r="Z60" s="239"/>
      <c r="AA60" s="239"/>
      <c r="AB60" s="239"/>
      <c r="AC60" s="239"/>
      <c r="AD60" s="239"/>
      <c r="AE60" s="239"/>
      <c r="AF60" s="239"/>
      <c r="AG60" s="555"/>
      <c r="AH60" s="11"/>
      <c r="AI60" s="11"/>
      <c r="AJ60" s="11"/>
      <c r="AK60" s="11"/>
      <c r="AL60" s="11"/>
      <c r="AM60" s="11"/>
      <c r="AN60" s="11"/>
    </row>
    <row r="61" spans="1:40" ht="15" customHeight="1">
      <c r="A61" s="1078"/>
      <c r="C61" s="478" t="s">
        <v>530</v>
      </c>
      <c r="D61" s="490" t="s">
        <v>519</v>
      </c>
      <c r="E61" s="490" t="s">
        <v>519</v>
      </c>
      <c r="F61" s="473" t="s">
        <v>531</v>
      </c>
      <c r="G61" s="239"/>
      <c r="H61" s="743">
        <v>0.6</v>
      </c>
      <c r="I61" s="239"/>
      <c r="J61" s="239"/>
      <c r="K61" s="239"/>
      <c r="L61" s="239"/>
      <c r="M61" s="239"/>
      <c r="N61" s="239"/>
      <c r="O61" s="239"/>
      <c r="P61" s="239"/>
      <c r="Q61" s="239"/>
      <c r="R61" s="239"/>
      <c r="S61" s="239"/>
      <c r="T61" s="239"/>
      <c r="U61" s="239"/>
      <c r="V61" s="239"/>
      <c r="W61" s="239"/>
      <c r="X61" s="239"/>
      <c r="Y61" s="239"/>
      <c r="Z61" s="239"/>
      <c r="AA61" s="239"/>
      <c r="AB61" s="239"/>
      <c r="AC61" s="239"/>
      <c r="AD61" s="239"/>
      <c r="AE61" s="239"/>
      <c r="AF61" s="239"/>
      <c r="AG61" s="555"/>
      <c r="AH61" s="11"/>
      <c r="AI61" s="11"/>
      <c r="AJ61" s="11"/>
      <c r="AK61" s="11"/>
      <c r="AL61" s="11"/>
      <c r="AM61" s="11"/>
      <c r="AN61" s="11"/>
    </row>
    <row r="62" spans="1:40" ht="15" customHeight="1">
      <c r="A62" s="1078"/>
      <c r="C62" s="478" t="s">
        <v>532</v>
      </c>
      <c r="D62" s="429">
        <f>-Assumptions!I14</f>
        <v>-3.9138132751004563E-2</v>
      </c>
      <c r="E62" s="429">
        <v>-0.03</v>
      </c>
      <c r="F62" s="473" t="s">
        <v>533</v>
      </c>
      <c r="G62" s="239"/>
      <c r="H62" s="239"/>
      <c r="I62" s="239"/>
      <c r="J62" s="239"/>
      <c r="K62" s="239"/>
      <c r="L62" s="239"/>
      <c r="M62" s="239"/>
      <c r="N62" s="239"/>
      <c r="O62" s="239"/>
      <c r="P62" s="239"/>
      <c r="Q62" s="239"/>
      <c r="R62" s="239"/>
      <c r="S62" s="239"/>
      <c r="T62" s="239"/>
      <c r="U62" s="239"/>
      <c r="V62" s="239"/>
      <c r="W62" s="239"/>
      <c r="X62" s="239"/>
      <c r="Y62" s="239"/>
      <c r="Z62" s="239"/>
      <c r="AA62" s="239"/>
      <c r="AB62" s="239"/>
      <c r="AC62" s="239"/>
      <c r="AD62" s="239"/>
      <c r="AE62" s="239"/>
      <c r="AF62" s="239"/>
      <c r="AG62" s="555"/>
      <c r="AH62" s="11"/>
      <c r="AI62" s="11"/>
      <c r="AJ62" s="11"/>
      <c r="AK62" s="11"/>
      <c r="AL62" s="11"/>
      <c r="AM62" s="11"/>
      <c r="AN62" s="11"/>
    </row>
    <row r="63" spans="1:40" ht="15" customHeight="1">
      <c r="A63" s="1078"/>
      <c r="C63" s="478" t="s">
        <v>534</v>
      </c>
      <c r="D63" s="429">
        <f>-Assumptions!I30</f>
        <v>-1.7428059229201098E-2</v>
      </c>
      <c r="E63" s="429">
        <v>-1.4999999999999999E-2</v>
      </c>
      <c r="F63" s="473" t="s">
        <v>533</v>
      </c>
      <c r="G63" s="239"/>
      <c r="H63" s="239"/>
      <c r="I63" s="239"/>
      <c r="J63" s="239"/>
      <c r="K63" s="239"/>
      <c r="L63" s="239"/>
      <c r="M63" s="239"/>
      <c r="N63" s="239"/>
      <c r="O63" s="239"/>
      <c r="P63" s="239"/>
      <c r="Q63" s="239"/>
      <c r="R63" s="239"/>
      <c r="S63" s="239"/>
      <c r="T63" s="239"/>
      <c r="U63" s="239"/>
      <c r="V63" s="239"/>
      <c r="W63" s="239"/>
      <c r="X63" s="239"/>
      <c r="Y63" s="239"/>
      <c r="Z63" s="239"/>
      <c r="AA63" s="239"/>
      <c r="AB63" s="239"/>
      <c r="AC63" s="239"/>
      <c r="AD63" s="239"/>
      <c r="AE63" s="239"/>
      <c r="AF63" s="239"/>
      <c r="AG63" s="555"/>
      <c r="AH63" s="11"/>
      <c r="AI63" s="11"/>
      <c r="AJ63" s="11"/>
      <c r="AK63" s="11"/>
      <c r="AL63" s="11"/>
      <c r="AM63" s="11"/>
      <c r="AN63" s="11"/>
    </row>
    <row r="64" spans="1:40" ht="15" customHeight="1">
      <c r="A64" s="1078"/>
      <c r="C64" s="478" t="s">
        <v>142</v>
      </c>
      <c r="D64" s="490">
        <f>-Assumptions!I39</f>
        <v>0.25631565285388458</v>
      </c>
      <c r="E64" s="490" t="s">
        <v>535</v>
      </c>
      <c r="F64" s="473" t="s">
        <v>536</v>
      </c>
      <c r="G64" s="239"/>
      <c r="I64" s="239"/>
      <c r="J64" s="239"/>
      <c r="K64" s="239"/>
      <c r="L64" s="239"/>
      <c r="M64" s="239"/>
      <c r="N64" s="239"/>
      <c r="O64" s="239"/>
      <c r="P64" s="239"/>
      <c r="Q64" s="239"/>
      <c r="R64" s="239"/>
      <c r="S64" s="239"/>
      <c r="T64" s="239"/>
      <c r="U64" s="239"/>
      <c r="V64" s="239"/>
      <c r="W64" s="239"/>
      <c r="X64" s="239"/>
      <c r="Y64" s="239"/>
      <c r="Z64" s="239"/>
      <c r="AA64" s="239"/>
      <c r="AB64" s="239"/>
      <c r="AC64" s="239"/>
      <c r="AD64" s="239"/>
      <c r="AE64" s="239"/>
      <c r="AF64" s="239"/>
      <c r="AG64" s="239"/>
    </row>
    <row r="65" spans="1:33" ht="15" customHeight="1">
      <c r="A65" s="1078"/>
      <c r="C65" s="478" t="s">
        <v>537</v>
      </c>
      <c r="D65" s="491">
        <v>0</v>
      </c>
      <c r="E65" s="491">
        <v>0</v>
      </c>
      <c r="F65" s="473" t="s">
        <v>519</v>
      </c>
      <c r="G65" s="239"/>
      <c r="I65" s="239"/>
      <c r="J65" s="239"/>
      <c r="K65" s="239"/>
      <c r="L65" s="239"/>
      <c r="M65" s="239"/>
      <c r="N65" s="239"/>
      <c r="O65" s="239"/>
      <c r="P65" s="239"/>
      <c r="Q65" s="239"/>
      <c r="R65" s="239"/>
      <c r="S65" s="239"/>
      <c r="T65" s="239"/>
      <c r="U65" s="239"/>
      <c r="V65" s="239"/>
      <c r="W65" s="239"/>
      <c r="X65" s="239"/>
      <c r="Y65" s="239"/>
      <c r="Z65" s="239"/>
      <c r="AA65" s="239"/>
      <c r="AB65" s="239"/>
      <c r="AC65" s="239"/>
      <c r="AD65" s="239"/>
      <c r="AE65" s="239"/>
      <c r="AF65" s="239"/>
      <c r="AG65" s="239"/>
    </row>
    <row r="66" spans="1:33" ht="15" customHeight="1">
      <c r="A66" s="1078"/>
      <c r="C66" s="478" t="s">
        <v>538</v>
      </c>
      <c r="D66" s="492">
        <f>Assumptions!I34</f>
        <v>2.6661327465795154E-2</v>
      </c>
      <c r="E66" s="492">
        <v>0.03</v>
      </c>
      <c r="F66" s="473" t="s">
        <v>533</v>
      </c>
      <c r="G66" s="239"/>
      <c r="I66" s="239"/>
      <c r="J66" s="239"/>
      <c r="K66" s="239"/>
      <c r="L66" s="239"/>
      <c r="M66" s="239"/>
      <c r="N66" s="239"/>
      <c r="O66" s="239"/>
      <c r="P66" s="239"/>
      <c r="Q66" s="239"/>
      <c r="R66" s="239"/>
      <c r="S66" s="239"/>
      <c r="T66" s="239"/>
      <c r="U66" s="239"/>
      <c r="V66" s="239"/>
      <c r="W66" s="239"/>
      <c r="X66" s="239"/>
      <c r="Y66" s="239"/>
      <c r="Z66" s="239"/>
      <c r="AA66" s="239"/>
      <c r="AB66" s="239"/>
      <c r="AC66" s="239"/>
      <c r="AD66" s="239"/>
      <c r="AE66" s="239"/>
      <c r="AF66" s="239"/>
      <c r="AG66" s="239"/>
    </row>
    <row r="67" spans="1:33" ht="15.75" customHeight="1">
      <c r="A67" s="1079"/>
      <c r="C67" s="478" t="s">
        <v>539</v>
      </c>
      <c r="D67" s="435" t="s">
        <v>519</v>
      </c>
      <c r="E67" s="435" t="s">
        <v>519</v>
      </c>
      <c r="F67" s="473" t="s">
        <v>519</v>
      </c>
      <c r="G67" s="239"/>
      <c r="J67" s="239"/>
      <c r="K67" s="239"/>
      <c r="L67" s="239"/>
      <c r="M67" s="239"/>
      <c r="N67" s="239"/>
      <c r="O67" s="239"/>
      <c r="P67" s="239"/>
      <c r="Q67" s="239"/>
      <c r="R67" s="239"/>
      <c r="S67" s="239"/>
      <c r="T67" s="239"/>
      <c r="U67" s="239"/>
      <c r="V67" s="239"/>
      <c r="W67" s="239"/>
      <c r="X67" s="239"/>
      <c r="Y67" s="239"/>
      <c r="Z67" s="239"/>
      <c r="AA67" s="239"/>
      <c r="AB67" s="239"/>
      <c r="AC67" s="239"/>
      <c r="AD67" s="239"/>
      <c r="AE67" s="239"/>
      <c r="AF67" s="239"/>
      <c r="AG67" s="239"/>
    </row>
    <row r="68" spans="1:33" ht="15">
      <c r="A68" s="239"/>
      <c r="C68" s="239"/>
      <c r="D68" s="239"/>
      <c r="E68" s="239"/>
      <c r="F68" s="239"/>
      <c r="G68" s="239"/>
      <c r="H68" s="239"/>
      <c r="I68" s="239"/>
      <c r="J68" s="239"/>
      <c r="K68" s="239"/>
      <c r="L68" s="239"/>
      <c r="M68" s="239"/>
      <c r="N68" s="239"/>
      <c r="O68" s="239"/>
      <c r="P68" s="239"/>
      <c r="Q68" s="239"/>
      <c r="R68" s="239"/>
      <c r="S68" s="239"/>
      <c r="T68" s="239"/>
      <c r="U68" s="239"/>
      <c r="V68" s="239"/>
      <c r="W68" s="239"/>
      <c r="X68" s="239"/>
      <c r="Y68" s="239"/>
      <c r="Z68" s="239"/>
      <c r="AA68" s="239"/>
      <c r="AB68" s="239"/>
      <c r="AC68" s="239"/>
      <c r="AD68" s="239"/>
      <c r="AE68" s="239"/>
      <c r="AF68" s="239"/>
      <c r="AG68" s="239"/>
    </row>
    <row r="69" spans="1:33" ht="15">
      <c r="A69" s="1077" t="s">
        <v>118</v>
      </c>
      <c r="C69" s="317"/>
      <c r="D69" s="436" t="s">
        <v>540</v>
      </c>
      <c r="E69" s="2"/>
      <c r="G69" s="239"/>
      <c r="H69" s="239"/>
      <c r="I69" s="239"/>
      <c r="J69" s="239"/>
      <c r="K69" s="239"/>
      <c r="L69" s="239"/>
      <c r="M69" s="239"/>
      <c r="N69" s="239"/>
      <c r="O69" s="239"/>
      <c r="P69" s="239"/>
      <c r="Q69" s="239"/>
      <c r="R69" s="239"/>
      <c r="S69" s="239"/>
      <c r="T69" s="239"/>
      <c r="U69" s="239"/>
      <c r="V69" s="239"/>
      <c r="W69" s="239"/>
      <c r="X69" s="239"/>
      <c r="Y69" s="239"/>
      <c r="Z69" s="239"/>
      <c r="AA69" s="239"/>
      <c r="AB69" s="239"/>
      <c r="AC69" s="239"/>
      <c r="AD69" s="239"/>
      <c r="AE69" s="239"/>
      <c r="AF69" s="239"/>
      <c r="AG69" s="239"/>
    </row>
    <row r="70" spans="1:33" ht="15">
      <c r="A70" s="1078"/>
      <c r="C70" s="317" t="s">
        <v>541</v>
      </c>
      <c r="D70" s="655">
        <f>SUMPRODUCT(G35:AF35,G45:AF45)+((AF43-AF44)*AF45)</f>
        <v>2331046.2432995131</v>
      </c>
      <c r="E70" s="390">
        <f>D70/D72</f>
        <v>0.57712668903324593</v>
      </c>
      <c r="G70" s="239"/>
      <c r="H70" s="239"/>
      <c r="I70" s="239"/>
      <c r="J70" s="239"/>
      <c r="K70" s="239"/>
      <c r="L70" s="239"/>
      <c r="M70" s="239"/>
      <c r="N70" s="239"/>
      <c r="O70" s="239"/>
      <c r="P70" s="239"/>
      <c r="Q70" s="239"/>
      <c r="R70" s="239"/>
      <c r="S70" s="239"/>
      <c r="T70" s="239"/>
      <c r="U70" s="239"/>
      <c r="V70" s="239"/>
      <c r="W70" s="239"/>
      <c r="X70" s="239"/>
      <c r="Y70" s="239"/>
      <c r="Z70" s="239"/>
      <c r="AA70" s="239"/>
      <c r="AB70" s="239"/>
      <c r="AC70" s="239"/>
      <c r="AD70" s="239"/>
      <c r="AE70" s="239"/>
      <c r="AF70" s="239"/>
      <c r="AG70" s="239"/>
    </row>
    <row r="71" spans="1:33" ht="15">
      <c r="A71" s="1078"/>
      <c r="C71" s="317" t="s">
        <v>542</v>
      </c>
      <c r="D71" s="655">
        <f>(AF34/(F50-AF5))*AF45</f>
        <v>1708008.4176524617</v>
      </c>
      <c r="E71" s="390">
        <f>D71/D72</f>
        <v>0.42287331096675401</v>
      </c>
      <c r="G71" s="239"/>
      <c r="H71" s="239"/>
      <c r="I71" s="239"/>
      <c r="J71" s="239"/>
      <c r="K71" s="239"/>
      <c r="L71" s="239"/>
      <c r="M71" s="239"/>
      <c r="N71" s="239"/>
      <c r="O71" s="239"/>
      <c r="P71" s="239"/>
      <c r="Q71" s="239"/>
      <c r="R71" s="239"/>
      <c r="S71" s="239"/>
      <c r="T71" s="239"/>
      <c r="U71" s="239"/>
      <c r="V71" s="239"/>
      <c r="W71" s="239"/>
      <c r="X71" s="239"/>
      <c r="Y71" s="239"/>
      <c r="Z71" s="239"/>
      <c r="AA71" s="239"/>
      <c r="AB71" s="239"/>
      <c r="AC71" s="239"/>
      <c r="AD71" s="239"/>
      <c r="AE71" s="239"/>
      <c r="AF71" s="239"/>
      <c r="AG71" s="239"/>
    </row>
    <row r="72" spans="1:33" ht="15">
      <c r="A72" s="1078"/>
      <c r="C72" s="317" t="s">
        <v>543</v>
      </c>
      <c r="D72" s="655">
        <f>D70+D71</f>
        <v>4039054.6609519748</v>
      </c>
      <c r="E72" s="2"/>
      <c r="G72" s="239"/>
      <c r="H72" s="239"/>
      <c r="I72" s="239"/>
      <c r="J72" s="239"/>
      <c r="K72" s="239"/>
      <c r="L72" s="239"/>
      <c r="M72" s="239"/>
      <c r="N72" s="239"/>
      <c r="O72" s="239"/>
      <c r="P72" s="239"/>
      <c r="Q72" s="239"/>
      <c r="R72" s="239"/>
      <c r="S72" s="239"/>
      <c r="T72" s="239"/>
      <c r="U72" s="239"/>
      <c r="V72" s="239"/>
      <c r="W72" s="239"/>
      <c r="X72" s="239"/>
      <c r="Y72" s="239"/>
      <c r="Z72" s="239"/>
      <c r="AA72" s="239"/>
      <c r="AB72" s="239"/>
      <c r="AC72" s="239"/>
      <c r="AD72" s="239"/>
      <c r="AE72" s="239"/>
      <c r="AF72" s="239"/>
      <c r="AG72" s="239"/>
    </row>
    <row r="73" spans="1:33" ht="15">
      <c r="A73" s="1078"/>
      <c r="C73" s="740" t="s">
        <v>544</v>
      </c>
      <c r="D73" s="741">
        <f>OP!C17</f>
        <v>25025</v>
      </c>
      <c r="E73" s="318"/>
      <c r="G73" s="239"/>
      <c r="H73" s="239"/>
      <c r="I73" s="239"/>
      <c r="J73" s="239"/>
      <c r="K73" s="239"/>
      <c r="L73" s="239"/>
      <c r="M73" s="239"/>
      <c r="N73" s="239"/>
      <c r="O73" s="239"/>
      <c r="P73" s="239"/>
      <c r="Q73" s="239"/>
      <c r="R73" s="239"/>
      <c r="S73" s="239"/>
      <c r="T73" s="239"/>
      <c r="U73" s="239"/>
      <c r="V73" s="239"/>
      <c r="W73" s="239"/>
      <c r="X73" s="239"/>
      <c r="Y73" s="239"/>
      <c r="Z73" s="239"/>
      <c r="AA73" s="239"/>
      <c r="AB73" s="239"/>
      <c r="AC73" s="239"/>
      <c r="AD73" s="239"/>
      <c r="AE73" s="239"/>
      <c r="AF73" s="239"/>
      <c r="AG73" s="239"/>
    </row>
    <row r="74" spans="1:33" ht="15">
      <c r="A74" s="1078"/>
      <c r="C74" s="740" t="s">
        <v>545</v>
      </c>
      <c r="D74" s="437">
        <f>D75/D73-1</f>
        <v>-0.44854180110555364</v>
      </c>
      <c r="F74" s="304"/>
      <c r="H74" s="239"/>
      <c r="I74" s="239"/>
      <c r="J74" s="239"/>
      <c r="K74" s="239"/>
      <c r="L74" s="239"/>
      <c r="M74" s="239"/>
      <c r="N74" s="239"/>
      <c r="O74" s="239"/>
      <c r="P74" s="239"/>
      <c r="Q74" s="239"/>
      <c r="R74" s="239"/>
      <c r="S74" s="239"/>
      <c r="T74" s="239"/>
      <c r="U74" s="239"/>
      <c r="V74" s="239"/>
      <c r="W74" s="239"/>
      <c r="X74" s="239"/>
      <c r="Y74" s="239"/>
      <c r="Z74" s="239"/>
      <c r="AA74" s="239"/>
      <c r="AB74" s="239"/>
      <c r="AC74" s="239"/>
      <c r="AD74" s="239"/>
      <c r="AE74" s="239"/>
      <c r="AF74" s="239"/>
      <c r="AG74" s="239"/>
    </row>
    <row r="75" spans="1:33" ht="15">
      <c r="A75" s="1079"/>
      <c r="C75" s="438" t="s">
        <v>546</v>
      </c>
      <c r="D75" s="644">
        <f>D72*1000000/OP!C18</f>
        <v>13800.24142733352</v>
      </c>
      <c r="F75" s="657"/>
    </row>
    <row r="76" spans="1:33" ht="15">
      <c r="A76" s="415"/>
      <c r="C76" s="318"/>
      <c r="D76" s="742"/>
    </row>
    <row r="77" spans="1:33" ht="15">
      <c r="A77" s="1073" t="s">
        <v>547</v>
      </c>
      <c r="C77" s="468" t="s">
        <v>548</v>
      </c>
      <c r="D77" s="741">
        <f>(SUMPRODUCT(G35:AF35,G45:AF45)+((AF43-AF44)*AF45)+(AF34/(F50+0.001-AF5))*AF45)*1000000/OP!C18</f>
        <v>13711.632689005783</v>
      </c>
      <c r="E77" s="439">
        <f>D77/D75-1</f>
        <v>-6.4208107368494138E-3</v>
      </c>
    </row>
    <row r="78" spans="1:33" ht="15">
      <c r="A78" s="1074"/>
      <c r="C78" s="468" t="s">
        <v>549</v>
      </c>
      <c r="D78" s="741">
        <f>(SUMPRODUCT(G35:AF35,G45:AF45)+((AF43-AF44)*AF45)+(AF34/(F50+0.005-AF5))*AF45)*1000000/OP!C18</f>
        <v>13382.565325733092</v>
      </c>
      <c r="E78" s="439">
        <f>D78/D75-1</f>
        <v>-3.0265854680857629E-2</v>
      </c>
    </row>
    <row r="79" spans="1:33" ht="15">
      <c r="A79" s="466"/>
      <c r="C79" s="467"/>
      <c r="D79" s="742"/>
      <c r="E79" s="439"/>
    </row>
    <row r="80" spans="1:33" ht="15">
      <c r="A80" s="479" t="s">
        <v>550</v>
      </c>
      <c r="J80" s="5"/>
    </row>
    <row r="81" spans="1:12">
      <c r="A81" s="656" t="s">
        <v>551</v>
      </c>
      <c r="G81" s="1"/>
      <c r="H81" s="1"/>
      <c r="I81" s="1"/>
      <c r="J81" s="4"/>
    </row>
    <row r="82" spans="1:12">
      <c r="A82" s="656" t="s">
        <v>552</v>
      </c>
      <c r="G82" s="1"/>
      <c r="H82" s="1"/>
      <c r="I82" s="1"/>
      <c r="J82" s="4"/>
    </row>
    <row r="83" spans="1:12">
      <c r="A83" s="656" t="s">
        <v>553</v>
      </c>
      <c r="G83" s="1"/>
      <c r="H83" s="1"/>
      <c r="I83" s="1"/>
      <c r="K83" s="4"/>
    </row>
    <row r="84" spans="1:12">
      <c r="L84" s="5"/>
    </row>
    <row r="85" spans="1:12">
      <c r="G85" s="1"/>
      <c r="H85" s="1"/>
      <c r="I85" s="1"/>
    </row>
    <row r="86" spans="1:12">
      <c r="G86" s="1"/>
      <c r="H86" s="1"/>
      <c r="I86" s="1"/>
    </row>
    <row r="87" spans="1:12">
      <c r="G87" s="1"/>
      <c r="H87" s="1"/>
      <c r="I87" s="1"/>
    </row>
  </sheetData>
  <mergeCells count="16">
    <mergeCell ref="A33:AF33"/>
    <mergeCell ref="A77:A78"/>
    <mergeCell ref="A1:AF2"/>
    <mergeCell ref="A69:A75"/>
    <mergeCell ref="A5:A17"/>
    <mergeCell ref="A19:A32"/>
    <mergeCell ref="A43:A47"/>
    <mergeCell ref="A52:A67"/>
    <mergeCell ref="G3:J3"/>
    <mergeCell ref="K3:AF3"/>
    <mergeCell ref="A42:AF42"/>
    <mergeCell ref="A48:AF48"/>
    <mergeCell ref="A34:A36"/>
    <mergeCell ref="A38:A41"/>
    <mergeCell ref="A49:A50"/>
    <mergeCell ref="B49:B50"/>
  </mergeCells>
  <phoneticPr fontId="0" type="noConversion"/>
  <conditionalFormatting sqref="D74">
    <cfRule type="cellIs" dxfId="1" priority="1" operator="lessThan">
      <formula>0</formula>
    </cfRule>
    <cfRule type="cellIs" dxfId="0" priority="2" operator="greaterThan">
      <formula>0%</formula>
    </cfRule>
  </conditionalFormatting>
  <hyperlinks>
    <hyperlink ref="A81" r:id="rId1" xr:uid="{F609CD16-644F-4195-BC5A-C162B758D080}"/>
    <hyperlink ref="A82" r:id="rId2" xr:uid="{BA7B2D55-B3C7-44AE-9C76-5CD9B2D5ABFA}"/>
    <hyperlink ref="A83" r:id="rId3" xr:uid="{3F98333E-8950-4C58-BE0D-EBE2A399F6C1}"/>
  </hyperlinks>
  <pageMargins left="0.75" right="0.75" top="1" bottom="1" header="0" footer="0"/>
  <pageSetup orientation="portrait" r:id="rId4"/>
  <headerFooter alignWithMargins="0"/>
  <ignoredErrors>
    <ignoredError sqref="G15 J25 I5:J5 J13:K13 J16 J32" evalError="1"/>
  </ignoredErrors>
  <drawing r:id="rId5"/>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0E68D-290A-4EFC-9E23-4BE8006DACAF}">
  <dimension ref="B2:L47"/>
  <sheetViews>
    <sheetView topLeftCell="A15" workbookViewId="0">
      <selection activeCell="G61" sqref="G61"/>
    </sheetView>
  </sheetViews>
  <sheetFormatPr defaultColWidth="8.85546875" defaultRowHeight="12.95"/>
  <cols>
    <col min="2" max="2" width="35.42578125" customWidth="1"/>
    <col min="3" max="3" width="18.42578125" customWidth="1"/>
    <col min="4" max="7" width="21.42578125" customWidth="1"/>
    <col min="9" max="9" width="21.42578125" customWidth="1"/>
    <col min="14" max="14" width="10.42578125" customWidth="1"/>
  </cols>
  <sheetData>
    <row r="2" spans="2:9">
      <c r="B2" t="s">
        <v>554</v>
      </c>
      <c r="C2" s="304">
        <f>107941/373384</f>
        <v>0.2890884451395882</v>
      </c>
    </row>
    <row r="4" spans="2:9">
      <c r="B4" t="s">
        <v>194</v>
      </c>
      <c r="C4" t="s">
        <v>195</v>
      </c>
      <c r="D4" t="s">
        <v>555</v>
      </c>
    </row>
    <row r="5" spans="2:9">
      <c r="B5" s="304">
        <v>0.17</v>
      </c>
      <c r="C5" t="s">
        <v>196</v>
      </c>
      <c r="E5" s="304">
        <v>6.0699999999999997E-2</v>
      </c>
    </row>
    <row r="6" spans="2:9">
      <c r="B6" s="304">
        <v>0.32</v>
      </c>
      <c r="C6" t="s">
        <v>556</v>
      </c>
      <c r="E6" s="304">
        <v>0.05</v>
      </c>
      <c r="G6" t="s">
        <v>557</v>
      </c>
    </row>
    <row r="7" spans="2:9">
      <c r="B7" s="304">
        <v>0.18</v>
      </c>
      <c r="C7" t="s">
        <v>198</v>
      </c>
      <c r="E7" s="304">
        <v>0.05</v>
      </c>
      <c r="G7" s="304">
        <f>E5*B5+E6*B6+E7*B7+E8*B8+E9*B9+E10*B10</f>
        <v>5.3359799999999999E-2</v>
      </c>
    </row>
    <row r="8" spans="2:9">
      <c r="B8" s="304">
        <v>0.15</v>
      </c>
      <c r="C8" t="s">
        <v>238</v>
      </c>
      <c r="E8" s="304">
        <v>0.05</v>
      </c>
    </row>
    <row r="9" spans="2:9">
      <c r="B9" s="304">
        <v>0.12</v>
      </c>
      <c r="C9" t="s">
        <v>200</v>
      </c>
      <c r="E9" s="304">
        <v>6.0699999999999997E-2</v>
      </c>
    </row>
    <row r="10" spans="2:9">
      <c r="B10" s="304">
        <v>0.06</v>
      </c>
      <c r="C10" t="s">
        <v>201</v>
      </c>
      <c r="E10" s="641">
        <f>AVERAGEA(E5:E9)</f>
        <v>5.4279999999999995E-2</v>
      </c>
    </row>
    <row r="12" spans="2:9">
      <c r="B12" t="s">
        <v>130</v>
      </c>
      <c r="C12" s="14">
        <v>2022</v>
      </c>
      <c r="D12" s="14">
        <v>2021</v>
      </c>
      <c r="E12" s="14">
        <v>2020</v>
      </c>
      <c r="F12" s="14">
        <v>2019</v>
      </c>
      <c r="G12" s="14">
        <v>2018</v>
      </c>
    </row>
    <row r="13" spans="2:9">
      <c r="B13" t="s">
        <v>558</v>
      </c>
      <c r="C13" s="642">
        <v>175076</v>
      </c>
      <c r="D13" s="642">
        <v>114106</v>
      </c>
      <c r="E13" s="642">
        <v>104971</v>
      </c>
      <c r="F13" s="642">
        <v>98094</v>
      </c>
      <c r="G13" s="642">
        <v>85487</v>
      </c>
      <c r="I13" t="s">
        <v>559</v>
      </c>
    </row>
    <row r="14" spans="2:9">
      <c r="B14" t="s">
        <v>560</v>
      </c>
      <c r="C14" s="642">
        <v>3981578</v>
      </c>
      <c r="D14" s="642">
        <v>3109106</v>
      </c>
      <c r="E14" s="642">
        <v>2493386</v>
      </c>
      <c r="F14" s="642">
        <v>2550305</v>
      </c>
      <c r="G14" s="642">
        <v>2481109</v>
      </c>
      <c r="I14" s="304">
        <f>AVERAGE(C15:G15)</f>
        <v>3.9138132751004563E-2</v>
      </c>
    </row>
    <row r="15" spans="2:9">
      <c r="B15" t="s">
        <v>561</v>
      </c>
      <c r="C15" s="304">
        <f>C13/C14</f>
        <v>4.3971510792956962E-2</v>
      </c>
      <c r="D15" s="304">
        <f t="shared" ref="D15:G15" si="0">D13/D14</f>
        <v>3.6700582096589822E-2</v>
      </c>
      <c r="E15" s="304">
        <f t="shared" si="0"/>
        <v>4.2099779175787465E-2</v>
      </c>
      <c r="F15" s="304">
        <f t="shared" si="0"/>
        <v>3.8463634741726968E-2</v>
      </c>
      <c r="G15" s="304">
        <f t="shared" si="0"/>
        <v>3.4455156947961578E-2</v>
      </c>
    </row>
    <row r="17" spans="2:9">
      <c r="B17" t="s">
        <v>562</v>
      </c>
      <c r="C17" s="660">
        <f>'Fin. Data'!B58</f>
        <v>813766</v>
      </c>
      <c r="D17" s="660">
        <f>'Fin. Data'!C58</f>
        <v>460332</v>
      </c>
      <c r="E17" s="660">
        <f>'Fin. Data'!D58</f>
        <v>674932</v>
      </c>
      <c r="F17" s="660">
        <f>'Fin. Data'!E58</f>
        <v>447903</v>
      </c>
      <c r="G17" s="660">
        <f>'Fin. Data'!F58</f>
        <v>493254</v>
      </c>
      <c r="I17" t="s">
        <v>559</v>
      </c>
    </row>
    <row r="18" spans="2:9">
      <c r="B18" t="s">
        <v>58</v>
      </c>
      <c r="C18" s="642">
        <f>'Fin. Data'!B19</f>
        <v>537584</v>
      </c>
      <c r="D18" s="642">
        <f>'Fin. Data'!C19</f>
        <v>449532</v>
      </c>
      <c r="E18" s="642">
        <f>'Fin. Data'!D19</f>
        <v>380172</v>
      </c>
      <c r="F18" s="642">
        <f>'Fin. Data'!E19</f>
        <v>359040</v>
      </c>
      <c r="G18" s="642">
        <f>'Fin. Data'!F19</f>
        <v>378846</v>
      </c>
      <c r="I18" s="643">
        <f>AVERAGE(C19:G19)</f>
        <v>1.3725194797472624</v>
      </c>
    </row>
    <row r="19" spans="2:9">
      <c r="B19" t="s">
        <v>66</v>
      </c>
      <c r="C19" s="643">
        <f>'Fin. Data'!B58/'Fin. Data'!B19</f>
        <v>1.5137466888895503</v>
      </c>
      <c r="D19" s="643">
        <f>'Fin. Data'!C58/'Fin. Data'!C19</f>
        <v>1.0240249859854249</v>
      </c>
      <c r="E19" s="643">
        <f>'Fin. Data'!D58/'Fin. Data'!D19</f>
        <v>1.775333270204013</v>
      </c>
      <c r="F19" s="643">
        <f>'Fin. Data'!E58/'Fin. Data'!E19</f>
        <v>1.2475016711229947</v>
      </c>
      <c r="G19" s="643">
        <f>'Fin. Data'!F58/'Fin. Data'!F19</f>
        <v>1.301990782534328</v>
      </c>
    </row>
    <row r="21" spans="2:9">
      <c r="B21" t="s">
        <v>563</v>
      </c>
      <c r="C21" s="642">
        <v>51181</v>
      </c>
      <c r="D21" s="642">
        <v>40952</v>
      </c>
      <c r="E21" s="642">
        <v>36178</v>
      </c>
      <c r="G21" t="s">
        <v>559</v>
      </c>
    </row>
    <row r="22" spans="2:9">
      <c r="B22" t="s">
        <v>564</v>
      </c>
      <c r="C22" s="642">
        <v>2025832</v>
      </c>
      <c r="D22" s="642">
        <v>1752487</v>
      </c>
      <c r="E22" s="642">
        <v>1533306</v>
      </c>
      <c r="G22" s="304">
        <f>AVERAGE(C23:E23)</f>
        <v>2.4075629954862916E-2</v>
      </c>
    </row>
    <row r="23" spans="2:9">
      <c r="B23" t="s">
        <v>565</v>
      </c>
      <c r="C23" s="304">
        <f>C21/C22</f>
        <v>2.5264187751007982E-2</v>
      </c>
      <c r="D23" s="304">
        <f t="shared" ref="D23:E23" si="1">D21/D22</f>
        <v>2.3367933685100088E-2</v>
      </c>
      <c r="E23" s="304">
        <f t="shared" si="1"/>
        <v>2.359476842848068E-2</v>
      </c>
    </row>
    <row r="25" spans="2:9">
      <c r="B25" t="s">
        <v>566</v>
      </c>
      <c r="C25" s="642">
        <v>39496</v>
      </c>
      <c r="D25" s="642">
        <v>32684</v>
      </c>
      <c r="E25" s="642">
        <v>30050</v>
      </c>
      <c r="G25" t="s">
        <v>559</v>
      </c>
    </row>
    <row r="26" spans="2:9">
      <c r="B26" t="s">
        <v>530</v>
      </c>
      <c r="C26" s="642">
        <v>274077</v>
      </c>
      <c r="D26" s="642">
        <v>306540</v>
      </c>
      <c r="E26" s="642">
        <v>354123</v>
      </c>
      <c r="G26" s="304">
        <f>AVERAGE(C27:E27)</f>
        <v>0.11186177012524545</v>
      </c>
    </row>
    <row r="27" spans="2:9">
      <c r="B27" t="s">
        <v>567</v>
      </c>
      <c r="C27" s="304">
        <f>C25/C26</f>
        <v>0.14410548860356762</v>
      </c>
      <c r="D27" s="304">
        <f t="shared" ref="D27:E27" si="2">D25/D26</f>
        <v>0.10662230051543028</v>
      </c>
      <c r="E27" s="304">
        <f t="shared" si="2"/>
        <v>8.4857521256738483E-2</v>
      </c>
    </row>
    <row r="28" spans="2:9">
      <c r="C28" s="642"/>
      <c r="D28" s="642"/>
      <c r="E28" s="642"/>
      <c r="F28" s="642"/>
      <c r="G28" s="642"/>
    </row>
    <row r="29" spans="2:9">
      <c r="B29" t="s">
        <v>568</v>
      </c>
      <c r="C29" s="642">
        <v>34920</v>
      </c>
      <c r="D29" s="642">
        <v>46221</v>
      </c>
      <c r="E29" s="642">
        <v>43371</v>
      </c>
      <c r="F29" s="642">
        <v>41285</v>
      </c>
      <c r="G29" s="642">
        <v>74237</v>
      </c>
      <c r="I29" t="s">
        <v>559</v>
      </c>
    </row>
    <row r="30" spans="2:9">
      <c r="B30" t="s">
        <v>560</v>
      </c>
      <c r="C30" s="642">
        <v>3981578</v>
      </c>
      <c r="D30" s="642">
        <v>3109106</v>
      </c>
      <c r="E30" s="642">
        <v>2493386</v>
      </c>
      <c r="F30" s="642">
        <v>2550305</v>
      </c>
      <c r="G30" s="642">
        <v>2481109</v>
      </c>
      <c r="I30" s="304">
        <f>AVERAGE(C31:G31)</f>
        <v>1.7428059229201098E-2</v>
      </c>
    </row>
    <row r="31" spans="2:9">
      <c r="B31" t="s">
        <v>569</v>
      </c>
      <c r="C31" s="304">
        <f>C29/C30</f>
        <v>8.7703920405427203E-3</v>
      </c>
      <c r="D31" s="304">
        <f>D29/D30</f>
        <v>1.4866331350555434E-2</v>
      </c>
      <c r="E31" s="304">
        <f>E29/E30</f>
        <v>1.7394418674044052E-2</v>
      </c>
      <c r="F31" s="304">
        <f>F29/F30</f>
        <v>1.6188259835588293E-2</v>
      </c>
      <c r="G31" s="304">
        <f>G29/G30</f>
        <v>2.9920894245274995E-2</v>
      </c>
    </row>
    <row r="33" spans="2:12">
      <c r="B33" t="s">
        <v>538</v>
      </c>
      <c r="C33" s="303">
        <f>Inputs!B49+Inputs!B45</f>
        <v>127039</v>
      </c>
      <c r="D33" s="303">
        <f>Inputs!C49+Inputs!C45</f>
        <v>102384</v>
      </c>
      <c r="E33" s="303">
        <f>Inputs!D49+Inputs!D45</f>
        <v>85375</v>
      </c>
      <c r="F33" s="303">
        <f>Inputs!E49+Inputs!E45</f>
        <v>75782</v>
      </c>
      <c r="G33" s="303">
        <f>Inputs!F49+Inputs!F45</f>
        <v>11200</v>
      </c>
      <c r="I33" t="s">
        <v>559</v>
      </c>
    </row>
    <row r="34" spans="2:12">
      <c r="B34" t="s">
        <v>560</v>
      </c>
      <c r="C34" s="642">
        <v>3981578</v>
      </c>
      <c r="D34" s="642">
        <v>3109106</v>
      </c>
      <c r="E34" s="642">
        <v>2493386</v>
      </c>
      <c r="F34" s="642">
        <v>2550305</v>
      </c>
      <c r="G34" s="642">
        <v>2481109</v>
      </c>
      <c r="I34" s="304">
        <f>AVERAGE(C35:G35)</f>
        <v>2.6661327465795154E-2</v>
      </c>
    </row>
    <row r="35" spans="2:12">
      <c r="B35" t="s">
        <v>570</v>
      </c>
      <c r="C35" s="304">
        <f>C33/C34</f>
        <v>3.1906696289762504E-2</v>
      </c>
      <c r="D35" s="304">
        <f t="shared" ref="D35:G35" si="3">D33/D34</f>
        <v>3.2930366478338149E-2</v>
      </c>
      <c r="E35" s="304">
        <f t="shared" si="3"/>
        <v>3.4240586896693896E-2</v>
      </c>
      <c r="F35" s="304">
        <f t="shared" si="3"/>
        <v>2.9714877240173233E-2</v>
      </c>
      <c r="G35" s="304">
        <f t="shared" si="3"/>
        <v>4.5141104240079737E-3</v>
      </c>
    </row>
    <row r="36" spans="2:12">
      <c r="I36" t="s">
        <v>559</v>
      </c>
    </row>
    <row r="37" spans="2:12">
      <c r="B37" t="s">
        <v>571</v>
      </c>
      <c r="C37" s="304">
        <f>Inputs!B62/(Inputs!B6-Inputs!C6)</f>
        <v>-0.45063222659294511</v>
      </c>
      <c r="D37" s="304">
        <f>Inputs!C62/(Inputs!C6-Inputs!D6)</f>
        <v>-0.3702608328460989</v>
      </c>
      <c r="E37" s="304">
        <f>Inputs!D62/(Inputs!D6-Inputs!E6)</f>
        <v>-2.2523234772220173E-2</v>
      </c>
      <c r="F37" s="304">
        <f>Inputs!E62/(Inputs!E6-Inputs!F6)</f>
        <v>-1.3815682987455922</v>
      </c>
      <c r="G37" s="304">
        <f>Inputs!F62/(Inputs!F6-Inputs!G6)</f>
        <v>-0.65093493012296055</v>
      </c>
      <c r="H37" s="304"/>
      <c r="I37" s="304">
        <f>AVERAGE(C37:G37)</f>
        <v>-0.57518390461596325</v>
      </c>
    </row>
    <row r="38" spans="2:12">
      <c r="J38" s="304"/>
      <c r="K38" s="304"/>
      <c r="L38" s="304"/>
    </row>
    <row r="39" spans="2:12">
      <c r="B39" t="s">
        <v>572</v>
      </c>
      <c r="C39" s="304">
        <f>'Fin. Data'!B36</f>
        <v>-0.23847452037787822</v>
      </c>
      <c r="D39" s="304">
        <f>'Fin. Data'!C36</f>
        <v>-0.22849662394929035</v>
      </c>
      <c r="E39" s="304">
        <f>'Fin. Data'!D36</f>
        <v>-0.29901440000000001</v>
      </c>
      <c r="F39" s="304">
        <f>'Fin. Data'!E36</f>
        <v>-0.29127521495677439</v>
      </c>
      <c r="G39" s="304">
        <f>'Fin. Data'!F36</f>
        <v>-0.22431750498547995</v>
      </c>
      <c r="I39" s="304">
        <f>AVERAGE(C39:G39)</f>
        <v>-0.25631565285388458</v>
      </c>
    </row>
    <row r="41" spans="2:12" ht="52.5" customHeight="1">
      <c r="B41" s="663" t="s">
        <v>573</v>
      </c>
      <c r="C41" s="757" t="str">
        <f>Peers!C74</f>
        <v>Daikin Industries,Ltd. (6367.T)</v>
      </c>
      <c r="D41" s="758" t="e" vm="1">
        <f>Peers!D74</f>
        <v>#VALUE!</v>
      </c>
      <c r="E41" s="759" t="e" vm="2">
        <f>Peers!E74</f>
        <v>#VALUE!</v>
      </c>
      <c r="F41" s="760" t="e" vm="3">
        <f>Peers!F74</f>
        <v>#VALUE!</v>
      </c>
      <c r="G41" s="761" t="e" vm="4">
        <f>Peers!G74</f>
        <v>#VALUE!</v>
      </c>
      <c r="I41" s="665" t="s">
        <v>559</v>
      </c>
    </row>
    <row r="42" spans="2:12">
      <c r="B42" t="s">
        <v>293</v>
      </c>
      <c r="C42" s="642">
        <f>102202*1000</f>
        <v>102202000</v>
      </c>
      <c r="D42" s="775">
        <f>(295*1000000)*147.37</f>
        <v>43474150000</v>
      </c>
      <c r="E42" s="642">
        <f>(539*1000000)*147.37</f>
        <v>79432430000</v>
      </c>
      <c r="F42" s="642">
        <f>(212.2*1000000)*147.37</f>
        <v>31271914000</v>
      </c>
      <c r="G42" s="642">
        <f>212.3*1000000000</f>
        <v>212300000000</v>
      </c>
      <c r="I42" s="664">
        <f>(C42*0.0076+D42+E42+F42+G42*0.0076)/5</f>
        <v>31158550147.040001</v>
      </c>
    </row>
    <row r="43" spans="2:12">
      <c r="B43" t="s">
        <v>131</v>
      </c>
      <c r="C43" s="642">
        <f>Peers!C10*1000</f>
        <v>3981578000</v>
      </c>
      <c r="D43" s="642">
        <f>(25299*1000000)*147.37</f>
        <v>3728313630000</v>
      </c>
      <c r="E43" s="642">
        <f>20421*1000000*147.37</f>
        <v>3009442770000</v>
      </c>
      <c r="F43" s="642">
        <f>12640.8*1000000*147.37</f>
        <v>1862874696000</v>
      </c>
      <c r="G43" s="642">
        <f>Peers!G10*1000000</f>
        <v>692443000000</v>
      </c>
      <c r="I43" s="664">
        <f>(C43*0.0076+D43+E43+F43+G43*0.0076)/5</f>
        <v>1721184784558.5601</v>
      </c>
    </row>
    <row r="44" spans="2:12">
      <c r="B44" t="s">
        <v>294</v>
      </c>
      <c r="C44" s="304">
        <f>C42/C43</f>
        <v>2.5668717277421163E-2</v>
      </c>
      <c r="D44" s="304">
        <f>D42/D43</f>
        <v>1.1660539942290209E-2</v>
      </c>
      <c r="E44" s="304">
        <f>E42/E43</f>
        <v>2.639439792370599E-2</v>
      </c>
      <c r="F44" s="304">
        <f>F42/F43</f>
        <v>1.6786912220745524E-2</v>
      </c>
      <c r="G44" s="304">
        <f>G42/G43</f>
        <v>0.30659563314236693</v>
      </c>
      <c r="I44" s="304">
        <f t="shared" ref="I44" si="4">AVERAGE(C44:G44)</f>
        <v>7.7421240101305966E-2</v>
      </c>
    </row>
    <row r="45" spans="2:12">
      <c r="E45" s="664"/>
      <c r="G45" s="304">
        <f>59.1/1947.1</f>
        <v>3.0352832417441324E-2</v>
      </c>
    </row>
    <row r="46" spans="2:12">
      <c r="B46" t="s">
        <v>574</v>
      </c>
      <c r="C46" s="664">
        <f>C42*0.0076</f>
        <v>776735.2</v>
      </c>
      <c r="G46" s="664">
        <f>G42*0.0076</f>
        <v>1613480000</v>
      </c>
    </row>
    <row r="47" spans="2:12">
      <c r="B47" t="s">
        <v>575</v>
      </c>
      <c r="C47" s="664">
        <f>C43*0.0076</f>
        <v>30259992.800000001</v>
      </c>
      <c r="E47" s="664"/>
      <c r="G47" s="664">
        <f>G43*0.0076</f>
        <v>5262566800</v>
      </c>
    </row>
  </sheetData>
  <phoneticPr fontId="106"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zoomScale="85" workbookViewId="0">
      <selection activeCell="B6" sqref="B6"/>
    </sheetView>
  </sheetViews>
  <sheetFormatPr defaultColWidth="11.42578125" defaultRowHeight="12.95"/>
  <cols>
    <col min="1" max="1" width="36.42578125" style="11" customWidth="1"/>
    <col min="2" max="10" width="12.42578125" style="43" customWidth="1"/>
    <col min="11" max="12" width="12.42578125" style="52" customWidth="1"/>
    <col min="13" max="13" width="12.42578125" style="52" bestFit="1" customWidth="1"/>
    <col min="14" max="16384" width="11.42578125" style="42"/>
  </cols>
  <sheetData>
    <row r="1" spans="1:25" ht="15.95">
      <c r="A1" s="1102" t="str">
        <f>Inputs!H3</f>
        <v>Daikin Industries,Ltd. (6367.T)</v>
      </c>
      <c r="B1" s="1102"/>
      <c r="C1" s="1102"/>
      <c r="D1" s="1102"/>
      <c r="E1" s="1102"/>
      <c r="F1" s="1102"/>
      <c r="G1" s="1102"/>
      <c r="H1" s="1102"/>
      <c r="I1" s="1102"/>
      <c r="J1" s="1102"/>
      <c r="K1" s="1102"/>
      <c r="L1" s="1102"/>
      <c r="M1" s="1102"/>
    </row>
    <row r="2" spans="1:25" ht="12">
      <c r="A2" s="1103" t="str">
        <f>Inputs!G2</f>
        <v>Figures in Millions of JPY</v>
      </c>
      <c r="B2" s="1103"/>
      <c r="C2" s="1103"/>
      <c r="D2" s="1103"/>
      <c r="E2" s="1103"/>
      <c r="F2" s="1103"/>
      <c r="G2" s="1103"/>
      <c r="H2" s="1103"/>
      <c r="I2" s="1103"/>
      <c r="J2" s="1103"/>
      <c r="K2" s="1103"/>
      <c r="L2" s="1103"/>
      <c r="M2" s="1103"/>
    </row>
    <row r="3" spans="1:25" ht="20.100000000000001">
      <c r="A3" s="1101" t="s">
        <v>576</v>
      </c>
      <c r="B3" s="1101"/>
      <c r="C3" s="1101"/>
      <c r="D3" s="1101"/>
      <c r="E3" s="1101"/>
      <c r="F3" s="1101"/>
      <c r="G3" s="1101"/>
      <c r="H3" s="1101"/>
      <c r="I3" s="1101"/>
      <c r="J3" s="1101"/>
      <c r="K3" s="1101"/>
      <c r="L3" s="1101"/>
      <c r="M3" s="1101"/>
    </row>
    <row r="4" spans="1:25">
      <c r="A4" s="125"/>
      <c r="B4" s="54">
        <f>OP!J17</f>
        <v>2022</v>
      </c>
      <c r="C4" s="44">
        <f>B4-1</f>
        <v>2021</v>
      </c>
      <c r="D4" s="44">
        <f t="shared" ref="D4:M4" si="0">C4-1</f>
        <v>2020</v>
      </c>
      <c r="E4" s="44">
        <f t="shared" si="0"/>
        <v>2019</v>
      </c>
      <c r="F4" s="44">
        <f t="shared" si="0"/>
        <v>2018</v>
      </c>
      <c r="G4" s="44">
        <f t="shared" si="0"/>
        <v>2017</v>
      </c>
      <c r="H4" s="44">
        <f t="shared" si="0"/>
        <v>2016</v>
      </c>
      <c r="I4" s="44">
        <f t="shared" si="0"/>
        <v>2015</v>
      </c>
      <c r="J4" s="44">
        <f>I4-1</f>
        <v>2014</v>
      </c>
      <c r="K4" s="44">
        <f t="shared" si="0"/>
        <v>2013</v>
      </c>
      <c r="L4" s="44">
        <f t="shared" si="0"/>
        <v>2012</v>
      </c>
      <c r="M4" s="44">
        <f t="shared" si="0"/>
        <v>2011</v>
      </c>
    </row>
    <row r="5" spans="1:25">
      <c r="A5" s="126" t="s">
        <v>131</v>
      </c>
      <c r="B5" s="56">
        <f>_xlfn.XLOOKUP($A5,Inputs!$A:$A,Inputs!B:B,,0)</f>
        <v>3981578</v>
      </c>
      <c r="C5" s="56">
        <f>_xlfn.XLOOKUP($A5,Inputs!$A:$A,Inputs!C:C,,0)</f>
        <v>3109106</v>
      </c>
      <c r="D5" s="56">
        <f>_xlfn.XLOOKUP($A5,Inputs!$A:$A,Inputs!D:D,,0)</f>
        <v>2493386</v>
      </c>
      <c r="E5" s="56">
        <f>_xlfn.XLOOKUP($A5,Inputs!$A:$A,Inputs!E:E,,0)</f>
        <v>2550305</v>
      </c>
      <c r="F5" s="56">
        <f>_xlfn.XLOOKUP($A5,Inputs!$A:$A,Inputs!F:F,,0)</f>
        <v>2481109</v>
      </c>
      <c r="G5" s="56">
        <f>_xlfn.XLOOKUP($A5,Inputs!$A:$A,Inputs!G:G,,0)</f>
        <v>2290560</v>
      </c>
      <c r="H5" s="56">
        <f>_xlfn.XLOOKUP($A5,Inputs!$A:$A,Inputs!H:H,,0)</f>
        <v>2043968</v>
      </c>
      <c r="I5" s="56">
        <f>_xlfn.XLOOKUP($A5,Inputs!$A:$A,Inputs!I:I,,0)</f>
        <v>2043691</v>
      </c>
      <c r="J5" s="56">
        <f>_xlfn.XLOOKUP($A5,Inputs!$A:$A,Inputs!J:J,,0)</f>
        <v>1915013</v>
      </c>
      <c r="K5" s="56">
        <f>_xlfn.XLOOKUP($A5,Inputs!$A:$A,Inputs!K:K,,0)</f>
        <v>1787679</v>
      </c>
      <c r="L5" s="56">
        <f>_xlfn.XLOOKUP($A5,Inputs!$A:$A,Inputs!L:L,,0)</f>
        <v>1290903</v>
      </c>
      <c r="M5" s="57">
        <f>_xlfn.XLOOKUP($A5,Inputs!$A:$A,Inputs!M:M,,0)</f>
        <v>1218700</v>
      </c>
    </row>
    <row r="6" spans="1:25">
      <c r="A6" s="127" t="s">
        <v>577</v>
      </c>
      <c r="B6" s="59">
        <f t="shared" ref="B6:L6" si="1">IFERROR(B5/C5-1,"-")</f>
        <v>0.28061828705743719</v>
      </c>
      <c r="C6" s="59">
        <f t="shared" si="1"/>
        <v>0.2469413079242444</v>
      </c>
      <c r="D6" s="59">
        <f t="shared" si="1"/>
        <v>-2.2318507002103694E-2</v>
      </c>
      <c r="E6" s="59">
        <f t="shared" si="1"/>
        <v>2.7889141508897763E-2</v>
      </c>
      <c r="F6" s="59">
        <f t="shared" si="1"/>
        <v>8.3188827186365E-2</v>
      </c>
      <c r="G6" s="59">
        <f t="shared" si="1"/>
        <v>0.12064376741710237</v>
      </c>
      <c r="H6" s="59">
        <f t="shared" si="1"/>
        <v>1.3553908100583101E-4</v>
      </c>
      <c r="I6" s="59">
        <f t="shared" si="1"/>
        <v>6.7194321918441213E-2</v>
      </c>
      <c r="J6" s="59">
        <f t="shared" si="1"/>
        <v>7.1228671366615703E-2</v>
      </c>
      <c r="K6" s="59">
        <f t="shared" si="1"/>
        <v>0.384828294612376</v>
      </c>
      <c r="L6" s="59">
        <f t="shared" si="1"/>
        <v>5.924591778124233E-2</v>
      </c>
      <c r="M6" s="60" t="str">
        <f>IFERROR(M5/#REF!-1,"-")</f>
        <v>-</v>
      </c>
      <c r="N6" s="488"/>
    </row>
    <row r="7" spans="1:25">
      <c r="A7" s="126" t="s">
        <v>578</v>
      </c>
      <c r="B7" s="56">
        <f>_xlfn.XLOOKUP($A7,Inputs!$A:$A,Inputs!B:B,,0)</f>
        <v>1331476</v>
      </c>
      <c r="C7" s="56">
        <f>_xlfn.XLOOKUP($A7,Inputs!$A:$A,Inputs!C:C,,0)</f>
        <v>1057339</v>
      </c>
      <c r="D7" s="56">
        <f>_xlfn.XLOOKUP($A7,Inputs!$A:$A,Inputs!D:D,,0)</f>
        <v>864136</v>
      </c>
      <c r="E7" s="56">
        <f>_xlfn.XLOOKUP($A7,Inputs!$A:$A,Inputs!E:E,,0)</f>
        <v>884898</v>
      </c>
      <c r="F7" s="56">
        <f>_xlfn.XLOOKUP($A7,Inputs!$A:$A,Inputs!F:F,,0)</f>
        <v>868923</v>
      </c>
      <c r="G7" s="56">
        <f>_xlfn.XLOOKUP($A7,Inputs!$A:$A,Inputs!G:G,,0)</f>
        <v>798829</v>
      </c>
      <c r="H7" s="56">
        <f>_xlfn.XLOOKUP($A7,Inputs!$A:$A,Inputs!H:H,,0)</f>
        <v>730935</v>
      </c>
      <c r="I7" s="56">
        <f>_xlfn.XLOOKUP($A7,Inputs!$A:$A,Inputs!I:I,,0)</f>
        <v>711576</v>
      </c>
      <c r="J7" s="56">
        <f>_xlfn.XLOOKUP($A7,Inputs!$A:$A,Inputs!J:J,,0)</f>
        <v>649901</v>
      </c>
      <c r="K7" s="56">
        <f>_xlfn.XLOOKUP($A7,Inputs!$A:$A,Inputs!K:K,,0)</f>
        <v>568323</v>
      </c>
      <c r="L7" s="56">
        <f>_xlfn.XLOOKUP($A7,Inputs!$A:$A,Inputs!L:L,,0)</f>
        <v>388047</v>
      </c>
      <c r="M7" s="57">
        <f>_xlfn.XLOOKUP($A7,Inputs!$A:$A,Inputs!M:M,,0)</f>
        <v>371901</v>
      </c>
    </row>
    <row r="8" spans="1:25">
      <c r="A8" s="127" t="s">
        <v>579</v>
      </c>
      <c r="B8" s="59">
        <f>IFERROR(B7/B$5,"-")</f>
        <v>0.33440912120772215</v>
      </c>
      <c r="C8" s="59">
        <f t="shared" ref="C8:M8" si="2">IFERROR(C7/C$5,"-")</f>
        <v>0.34007814464994118</v>
      </c>
      <c r="D8" s="59">
        <f t="shared" si="2"/>
        <v>0.3465712890021842</v>
      </c>
      <c r="E8" s="59">
        <f t="shared" si="2"/>
        <v>0.34697732232027151</v>
      </c>
      <c r="F8" s="59">
        <f t="shared" si="2"/>
        <v>0.35021556892502503</v>
      </c>
      <c r="G8" s="59">
        <f t="shared" si="2"/>
        <v>0.34874834101704388</v>
      </c>
      <c r="H8" s="59">
        <f t="shared" si="2"/>
        <v>0.35760589206876037</v>
      </c>
      <c r="I8" s="59">
        <f t="shared" si="2"/>
        <v>0.34818179460593601</v>
      </c>
      <c r="J8" s="59">
        <f t="shared" si="2"/>
        <v>0.33937158651142318</v>
      </c>
      <c r="K8" s="59">
        <f t="shared" si="2"/>
        <v>0.31791110148969698</v>
      </c>
      <c r="L8" s="59">
        <f t="shared" si="2"/>
        <v>0.3006012070620333</v>
      </c>
      <c r="M8" s="60">
        <f t="shared" si="2"/>
        <v>0.30516205793058176</v>
      </c>
    </row>
    <row r="9" spans="1:25">
      <c r="A9" s="126" t="s">
        <v>580</v>
      </c>
      <c r="B9" s="56">
        <f t="shared" ref="B9:M9" si="3">B5-B11</f>
        <v>3616685</v>
      </c>
      <c r="C9" s="56">
        <f t="shared" si="3"/>
        <v>2797804</v>
      </c>
      <c r="D9" s="56">
        <f t="shared" si="3"/>
        <v>2255459</v>
      </c>
      <c r="E9" s="56">
        <f t="shared" si="3"/>
        <v>2308651</v>
      </c>
      <c r="F9" s="56">
        <f t="shared" si="3"/>
        <v>2205850</v>
      </c>
      <c r="G9" s="56">
        <f t="shared" si="3"/>
        <v>2039744</v>
      </c>
      <c r="H9" s="56">
        <f t="shared" si="3"/>
        <v>1813155</v>
      </c>
      <c r="I9" s="56">
        <f t="shared" si="3"/>
        <v>1828205</v>
      </c>
      <c r="J9" s="56">
        <f t="shared" si="3"/>
        <v>1729722</v>
      </c>
      <c r="K9" s="56">
        <f t="shared" si="3"/>
        <v>1632476</v>
      </c>
      <c r="L9" s="56">
        <f t="shared" si="3"/>
        <v>1215551</v>
      </c>
      <c r="M9" s="57">
        <f t="shared" si="3"/>
        <v>1139702</v>
      </c>
    </row>
    <row r="10" spans="1:25">
      <c r="A10" s="127" t="s">
        <v>579</v>
      </c>
      <c r="B10" s="59">
        <f>IFERROR(B9/B$5,"-")</f>
        <v>0.90835467746707466</v>
      </c>
      <c r="C10" s="59">
        <f t="shared" ref="C10:M10" si="4">IFERROR(C9/C$5,"-")</f>
        <v>0.89987411172214782</v>
      </c>
      <c r="D10" s="59">
        <f t="shared" si="4"/>
        <v>0.90457674824515744</v>
      </c>
      <c r="E10" s="59">
        <f t="shared" si="4"/>
        <v>0.90524505892432472</v>
      </c>
      <c r="F10" s="59">
        <f t="shared" si="4"/>
        <v>0.88905807846410623</v>
      </c>
      <c r="G10" s="59">
        <f t="shared" si="4"/>
        <v>0.89050013970382791</v>
      </c>
      <c r="H10" s="59">
        <f t="shared" si="4"/>
        <v>0.88707602075962055</v>
      </c>
      <c r="I10" s="59">
        <f t="shared" si="4"/>
        <v>0.8945603811926558</v>
      </c>
      <c r="J10" s="59">
        <f t="shared" si="4"/>
        <v>0.90324295448647085</v>
      </c>
      <c r="K10" s="59">
        <f t="shared" si="4"/>
        <v>0.91318184081146558</v>
      </c>
      <c r="L10" s="59">
        <f t="shared" si="4"/>
        <v>0.94162845697933928</v>
      </c>
      <c r="M10" s="60">
        <f t="shared" si="4"/>
        <v>0.9351784688602609</v>
      </c>
    </row>
    <row r="11" spans="1:25">
      <c r="A11" s="126" t="s">
        <v>300</v>
      </c>
      <c r="B11" s="56">
        <f>_xlfn.XLOOKUP($A11,Inputs!$A:$A,Inputs!B:B,,0)</f>
        <v>364893</v>
      </c>
      <c r="C11" s="56">
        <f>_xlfn.XLOOKUP($A11,Inputs!$A:$A,Inputs!C:C,,0)</f>
        <v>311302</v>
      </c>
      <c r="D11" s="56">
        <f>_xlfn.XLOOKUP($A11,Inputs!$A:$A,Inputs!D:D,,0)</f>
        <v>237927</v>
      </c>
      <c r="E11" s="56">
        <f>_xlfn.XLOOKUP($A11,Inputs!$A:$A,Inputs!E:E,,0)</f>
        <v>241654</v>
      </c>
      <c r="F11" s="56">
        <f>_xlfn.XLOOKUP($A11,Inputs!$A:$A,Inputs!F:F,,0)</f>
        <v>275259</v>
      </c>
      <c r="G11" s="56">
        <f>_xlfn.XLOOKUP($A11,Inputs!$A:$A,Inputs!G:G,,0)</f>
        <v>250816</v>
      </c>
      <c r="H11" s="56">
        <f>_xlfn.XLOOKUP($A11,Inputs!$A:$A,Inputs!H:H,,0)</f>
        <v>230813</v>
      </c>
      <c r="I11" s="56">
        <f>_xlfn.XLOOKUP($A11,Inputs!$A:$A,Inputs!I:I,,0)</f>
        <v>215486</v>
      </c>
      <c r="J11" s="56">
        <f>_xlfn.XLOOKUP($A11,Inputs!$A:$A,Inputs!J:J,,0)</f>
        <v>185291</v>
      </c>
      <c r="K11" s="56">
        <f>_xlfn.XLOOKUP($A11,Inputs!$A:$A,Inputs!K:K,,0)</f>
        <v>155203</v>
      </c>
      <c r="L11" s="56">
        <f>_xlfn.XLOOKUP($A11,Inputs!$A:$A,Inputs!L:L,,0)</f>
        <v>75352</v>
      </c>
      <c r="M11" s="57">
        <f>_xlfn.XLOOKUP($A11,Inputs!$A:$A,Inputs!M:M,,0)</f>
        <v>78998</v>
      </c>
    </row>
    <row r="12" spans="1:25">
      <c r="A12" s="127" t="s">
        <v>132</v>
      </c>
      <c r="B12" s="59">
        <f t="shared" ref="B12:M12" si="5">IFERROR(B11/B$5,"-")</f>
        <v>9.1645322532925386E-2</v>
      </c>
      <c r="C12" s="59">
        <f t="shared" si="5"/>
        <v>0.10012588827785222</v>
      </c>
      <c r="D12" s="59">
        <f t="shared" si="5"/>
        <v>9.5423251754842606E-2</v>
      </c>
      <c r="E12" s="59">
        <f t="shared" si="5"/>
        <v>9.4754941075675267E-2</v>
      </c>
      <c r="F12" s="59">
        <f t="shared" si="5"/>
        <v>0.11094192153589383</v>
      </c>
      <c r="G12" s="59">
        <f t="shared" si="5"/>
        <v>0.10949986029617212</v>
      </c>
      <c r="H12" s="59">
        <f t="shared" si="5"/>
        <v>0.1129239792403795</v>
      </c>
      <c r="I12" s="59">
        <f t="shared" si="5"/>
        <v>0.10543961880734416</v>
      </c>
      <c r="J12" s="59">
        <f t="shared" si="5"/>
        <v>9.675704551352915E-2</v>
      </c>
      <c r="K12" s="59">
        <f t="shared" si="5"/>
        <v>8.6818159188534402E-2</v>
      </c>
      <c r="L12" s="59">
        <f t="shared" si="5"/>
        <v>5.8371543020660728E-2</v>
      </c>
      <c r="M12" s="60">
        <f t="shared" si="5"/>
        <v>6.4821531139739069E-2</v>
      </c>
    </row>
    <row r="13" spans="1:25">
      <c r="A13" s="126" t="s">
        <v>581</v>
      </c>
      <c r="B13" s="59">
        <f t="shared" ref="B13" si="6">IFERROR(B12/C12-1,"-")</f>
        <v>-8.4699031297410521E-2</v>
      </c>
      <c r="C13" s="59">
        <f t="shared" ref="C13" si="7">IFERROR(C12/D12-1,"-")</f>
        <v>4.928187246323823E-2</v>
      </c>
      <c r="D13" s="59">
        <f t="shared" ref="D13" si="8">IFERROR(D12/E12-1,"-")</f>
        <v>7.0530430559141433E-3</v>
      </c>
      <c r="E13" s="59">
        <f t="shared" ref="E13" si="9">IFERROR(E12/F12-1,"-")</f>
        <v>-0.14590499457846029</v>
      </c>
      <c r="F13" s="59">
        <f t="shared" ref="F13" si="10">IFERROR(F12/G12-1,"-")</f>
        <v>1.3169525840683871E-2</v>
      </c>
      <c r="G13" s="59">
        <f t="shared" ref="G13" si="11">IFERROR(G12/H12-1,"-")</f>
        <v>-3.0322336914097914E-2</v>
      </c>
      <c r="H13" s="59">
        <f t="shared" ref="H13" si="12">IFERROR(H12/I12-1,"-")</f>
        <v>7.098243068111354E-2</v>
      </c>
      <c r="I13" s="59">
        <f t="shared" ref="I13" si="13">IFERROR(I12/J12-1,"-")</f>
        <v>8.9735824897639871E-2</v>
      </c>
      <c r="J13" s="59">
        <f t="shared" ref="J13" si="14">IFERROR(J12/K12-1,"-")</f>
        <v>0.11447934876632715</v>
      </c>
      <c r="K13" s="59">
        <f t="shared" ref="K13" si="15">IFERROR(K12/L12-1,"-")</f>
        <v>0.48733706007745825</v>
      </c>
      <c r="L13" s="59">
        <f t="shared" ref="L13" si="16">IFERROR(L12/M12-1,"-")</f>
        <v>-9.9503791497516092E-2</v>
      </c>
      <c r="M13" s="60" t="str">
        <f>IFERROR(M12/#REF!-1,"-")</f>
        <v>-</v>
      </c>
    </row>
    <row r="14" spans="1:25">
      <c r="A14" s="128" t="s">
        <v>301</v>
      </c>
      <c r="B14" s="56">
        <f>_xlfn.XLOOKUP($A14,Inputs!$A:$A,Inputs!B:B,,0)</f>
        <v>-8730</v>
      </c>
      <c r="C14" s="56">
        <f>_xlfn.XLOOKUP($A14,Inputs!$A:$A,Inputs!C:C,,0)</f>
        <v>-638</v>
      </c>
      <c r="D14" s="56">
        <f>_xlfn.XLOOKUP($A14,Inputs!$A:$A,Inputs!D:D,,0)</f>
        <v>2772</v>
      </c>
      <c r="E14" s="56">
        <f>_xlfn.XLOOKUP($A14,Inputs!$A:$A,Inputs!E:E,,0)</f>
        <v>-3039</v>
      </c>
      <c r="F14" s="56">
        <f>_xlfn.XLOOKUP($A14,Inputs!$A:$A,Inputs!F:F,,0)</f>
        <v>-2293</v>
      </c>
      <c r="G14" s="56">
        <f>_xlfn.XLOOKUP($A14,Inputs!$A:$A,Inputs!G:G,,0)</f>
        <v>-3838</v>
      </c>
      <c r="H14" s="56">
        <f>_xlfn.XLOOKUP($A14,Inputs!$A:$A,Inputs!H:H,,0)</f>
        <v>-3174</v>
      </c>
      <c r="I14" s="56">
        <f>_xlfn.XLOOKUP($A14,Inputs!$A:$A,Inputs!I:I,,0)</f>
        <v>-1526</v>
      </c>
      <c r="J14" s="56">
        <f>_xlfn.XLOOKUP($A14,Inputs!$A:$A,Inputs!J:J,,0)</f>
        <v>-3097</v>
      </c>
      <c r="K14" s="56">
        <f>_xlfn.XLOOKUP($A14,Inputs!$A:$A,Inputs!K:K,,0)</f>
        <v>-5129</v>
      </c>
      <c r="L14" s="56">
        <f>_xlfn.XLOOKUP($A14,Inputs!$A:$A,Inputs!L:L,,0)</f>
        <v>-4043</v>
      </c>
      <c r="M14" s="57">
        <f>_xlfn.XLOOKUP($A14,Inputs!$A:$A,Inputs!M:M,,0)</f>
        <v>-3165</v>
      </c>
    </row>
    <row r="15" spans="1:25">
      <c r="A15" s="126" t="s">
        <v>582</v>
      </c>
      <c r="B15" s="56">
        <f>_xlfn.XLOOKUP($A15,Inputs!$A:$A,Inputs!B:B,,0)</f>
        <v>9533</v>
      </c>
      <c r="C15" s="56">
        <f>_xlfn.XLOOKUP($A15,Inputs!$A:$A,Inputs!C:C,,0)</f>
        <v>9832</v>
      </c>
      <c r="D15" s="56">
        <f>_xlfn.XLOOKUP($A15,Inputs!$A:$A,Inputs!D:D,,0)</f>
        <v>-8652</v>
      </c>
      <c r="E15" s="56">
        <f>_xlfn.XLOOKUP($A15,Inputs!$A:$A,Inputs!E:E,,0)</f>
        <v>11099</v>
      </c>
      <c r="F15" s="56">
        <f>_xlfn.XLOOKUP($A15,Inputs!$A:$A,Inputs!F:F,,0)</f>
        <v>-4272</v>
      </c>
      <c r="G15" s="56">
        <f>_xlfn.XLOOKUP($A15,Inputs!$A:$A,Inputs!G:G,,0)</f>
        <v>-1017</v>
      </c>
      <c r="H15" s="56">
        <f>_xlfn.XLOOKUP($A15,Inputs!$A:$A,Inputs!H:H,,0)</f>
        <v>-3012</v>
      </c>
      <c r="I15" s="56">
        <f>_xlfn.XLOOKUP($A15,Inputs!$A:$A,Inputs!I:I,,0)</f>
        <v>-12882</v>
      </c>
      <c r="J15" s="56">
        <f>_xlfn.XLOOKUP($A15,Inputs!$A:$A,Inputs!J:J,,0)</f>
        <v>5446</v>
      </c>
      <c r="K15" s="56">
        <f>_xlfn.XLOOKUP($A15,Inputs!$A:$A,Inputs!K:K,,0)</f>
        <v>-1328</v>
      </c>
      <c r="L15" s="56">
        <f>_xlfn.XLOOKUP($A15,Inputs!$A:$A,Inputs!L:L,,0)</f>
        <v>6612</v>
      </c>
      <c r="M15" s="57">
        <f>_xlfn.XLOOKUP($A15,Inputs!$A:$A,Inputs!M:M,,0)</f>
        <v>1288</v>
      </c>
    </row>
    <row r="16" spans="1:25">
      <c r="A16" s="128" t="s">
        <v>67</v>
      </c>
      <c r="B16" s="56">
        <f>B11-B15</f>
        <v>355360</v>
      </c>
      <c r="C16" s="56">
        <f t="shared" ref="C16:M16" si="17">C11-C15</f>
        <v>301470</v>
      </c>
      <c r="D16" s="56">
        <f t="shared" si="17"/>
        <v>246579</v>
      </c>
      <c r="E16" s="56">
        <f t="shared" si="17"/>
        <v>230555</v>
      </c>
      <c r="F16" s="56">
        <f t="shared" si="17"/>
        <v>279531</v>
      </c>
      <c r="G16" s="56">
        <f t="shared" si="17"/>
        <v>251833</v>
      </c>
      <c r="H16" s="56">
        <f t="shared" si="17"/>
        <v>233825</v>
      </c>
      <c r="I16" s="56">
        <f t="shared" si="17"/>
        <v>228368</v>
      </c>
      <c r="J16" s="56">
        <f t="shared" si="17"/>
        <v>179845</v>
      </c>
      <c r="K16" s="56">
        <f t="shared" si="17"/>
        <v>156531</v>
      </c>
      <c r="L16" s="56">
        <f t="shared" si="17"/>
        <v>68740</v>
      </c>
      <c r="M16" s="57">
        <f t="shared" si="17"/>
        <v>77710</v>
      </c>
      <c r="N16" s="53"/>
      <c r="O16" s="53"/>
      <c r="P16" s="53"/>
      <c r="Q16" s="53"/>
      <c r="R16" s="53"/>
      <c r="S16" s="53"/>
      <c r="T16" s="53"/>
      <c r="U16" s="53"/>
      <c r="V16" s="53"/>
      <c r="W16" s="53"/>
      <c r="X16" s="53"/>
      <c r="Y16" s="53"/>
    </row>
    <row r="17" spans="1:18">
      <c r="A17" s="126" t="s">
        <v>62</v>
      </c>
      <c r="B17" s="56">
        <f>_xlfn.XLOOKUP($A17,Inputs!$A:$A,Inputs!B:B,,0)</f>
        <v>182224</v>
      </c>
      <c r="C17" s="56">
        <f>_xlfn.XLOOKUP($A17,Inputs!$A:$A,Inputs!C:C,,0)</f>
        <v>148062</v>
      </c>
      <c r="D17" s="56">
        <f>_xlfn.XLOOKUP($A17,Inputs!$A:$A,Inputs!D:D,,0)</f>
        <v>133593</v>
      </c>
      <c r="E17" s="56">
        <f>_xlfn.XLOOKUP($A17,Inputs!$A:$A,Inputs!E:E,,0)</f>
        <v>128485</v>
      </c>
      <c r="F17" s="56">
        <f>_xlfn.XLOOKUP($A17,Inputs!$A:$A,Inputs!F:F,,0)</f>
        <v>99315</v>
      </c>
      <c r="G17" s="56">
        <f>_xlfn.XLOOKUP($A17,Inputs!$A:$A,Inputs!G:G,,0)</f>
        <v>94833</v>
      </c>
      <c r="H17" s="56">
        <f>_xlfn.XLOOKUP($A17,Inputs!$A:$A,Inputs!H:H,,0)</f>
        <v>85029</v>
      </c>
      <c r="I17" s="56">
        <f>_xlfn.XLOOKUP($A17,Inputs!$A:$A,Inputs!I:I,,0)</f>
        <v>84202</v>
      </c>
      <c r="J17" s="56">
        <f>_xlfn.XLOOKUP($A17,Inputs!$A:$A,Inputs!J:J,,0)</f>
        <v>77766</v>
      </c>
      <c r="K17" s="56">
        <f>_xlfn.XLOOKUP($A17,Inputs!$A:$A,Inputs!K:K,,0)</f>
        <v>78900</v>
      </c>
      <c r="L17" s="56">
        <f>_xlfn.XLOOKUP($A17,Inputs!$A:$A,Inputs!L:L,,0)</f>
        <v>51523</v>
      </c>
      <c r="M17" s="57">
        <f>_xlfn.XLOOKUP($A17,Inputs!$A:$A,Inputs!M:M,,0)</f>
        <v>50525</v>
      </c>
      <c r="N17" s="297"/>
    </row>
    <row r="18" spans="1:18">
      <c r="A18" s="128" t="s">
        <v>583</v>
      </c>
      <c r="B18" s="56">
        <f>_xlfn.XLOOKUP($A18,Inputs!$A:$A,Inputs!B:B,,0)</f>
        <v>318333</v>
      </c>
      <c r="C18" s="56">
        <f>_xlfn.XLOOKUP($A18,Inputs!$A:$A,Inputs!C:C,,0)</f>
        <v>-189514</v>
      </c>
      <c r="D18" s="56">
        <f>_xlfn.XLOOKUP($A18,Inputs!$A:$A,Inputs!D:D,,0)</f>
        <v>-8398</v>
      </c>
      <c r="E18" s="56">
        <f>_xlfn.XLOOKUP($A18,Inputs!$A:$A,Inputs!E:E,,0)</f>
        <v>58668</v>
      </c>
      <c r="F18" s="56">
        <f>_xlfn.XLOOKUP($A18,Inputs!$A:$A,Inputs!F:F,,0)</f>
        <v>-63926</v>
      </c>
      <c r="G18" s="56">
        <f>_xlfn.XLOOKUP($A18,Inputs!$A:$A,Inputs!G:G,,0)</f>
        <v>55820</v>
      </c>
      <c r="H18" s="56">
        <f>_xlfn.XLOOKUP($A18,Inputs!$A:$A,Inputs!H:H,,0)</f>
        <v>-22721</v>
      </c>
      <c r="I18" s="56">
        <f>_xlfn.XLOOKUP($A18,Inputs!$A:$A,Inputs!I:I,,0)</f>
        <v>-58205</v>
      </c>
      <c r="J18" s="56">
        <f>_xlfn.XLOOKUP($A18,Inputs!$A:$A,Inputs!J:J,,0)</f>
        <v>93592</v>
      </c>
      <c r="K18" s="56">
        <f>_xlfn.XLOOKUP($A18,Inputs!$A:$A,Inputs!K:K,,0)</f>
        <v>-58679</v>
      </c>
      <c r="L18" s="56">
        <f>_xlfn.XLOOKUP($A18,Inputs!$A:$A,Inputs!L:L,,0)</f>
        <v>138068</v>
      </c>
      <c r="M18" s="57">
        <f>_xlfn.XLOOKUP($A18,Inputs!$A:$A,Inputs!M:M,,0)</f>
        <v>97060</v>
      </c>
    </row>
    <row r="19" spans="1:18">
      <c r="A19" s="126" t="s">
        <v>58</v>
      </c>
      <c r="B19" s="56">
        <f>B11-B15+B17</f>
        <v>537584</v>
      </c>
      <c r="C19" s="56">
        <f t="shared" ref="C19:M19" si="18">C11-C15+C17</f>
        <v>449532</v>
      </c>
      <c r="D19" s="56">
        <f t="shared" si="18"/>
        <v>380172</v>
      </c>
      <c r="E19" s="56">
        <f t="shared" si="18"/>
        <v>359040</v>
      </c>
      <c r="F19" s="56">
        <f t="shared" si="18"/>
        <v>378846</v>
      </c>
      <c r="G19" s="56">
        <f t="shared" si="18"/>
        <v>346666</v>
      </c>
      <c r="H19" s="56">
        <f t="shared" si="18"/>
        <v>318854</v>
      </c>
      <c r="I19" s="56">
        <f t="shared" si="18"/>
        <v>312570</v>
      </c>
      <c r="J19" s="56">
        <f t="shared" si="18"/>
        <v>257611</v>
      </c>
      <c r="K19" s="56">
        <f t="shared" si="18"/>
        <v>235431</v>
      </c>
      <c r="L19" s="56">
        <f t="shared" si="18"/>
        <v>120263</v>
      </c>
      <c r="M19" s="57">
        <f t="shared" si="18"/>
        <v>128235</v>
      </c>
    </row>
    <row r="20" spans="1:18">
      <c r="A20" s="127" t="s">
        <v>584</v>
      </c>
      <c r="B20" s="59">
        <f t="shared" ref="B20" si="19">IFERROR(B19/B$5,"-")</f>
        <v>0.13501782459115455</v>
      </c>
      <c r="C20" s="59">
        <f t="shared" ref="C20" si="20">IFERROR(C19/C$5,"-")</f>
        <v>0.14458561399965134</v>
      </c>
      <c r="D20" s="59">
        <f t="shared" ref="D20" si="21">IFERROR(D19/D$5,"-")</f>
        <v>0.15247218040046748</v>
      </c>
      <c r="E20" s="59">
        <f t="shared" ref="E20" si="22">IFERROR(E19/E$5,"-")</f>
        <v>0.14078316122973528</v>
      </c>
      <c r="F20" s="59">
        <f t="shared" ref="F20" si="23">IFERROR(F19/F$5,"-")</f>
        <v>0.15269220336551115</v>
      </c>
      <c r="G20" s="59">
        <f t="shared" ref="G20" si="24">IFERROR(G19/G$5,"-")</f>
        <v>0.15134552249231628</v>
      </c>
      <c r="H20" s="59">
        <f t="shared" ref="H20" si="25">IFERROR(H19/H$5,"-")</f>
        <v>0.15599754986379435</v>
      </c>
      <c r="I20" s="59">
        <f t="shared" ref="I20" si="26">IFERROR(I19/I$5,"-")</f>
        <v>0.15294386480147928</v>
      </c>
      <c r="J20" s="59">
        <f t="shared" ref="J20" si="27">IFERROR(J19/J$5,"-")</f>
        <v>0.13452180220186494</v>
      </c>
      <c r="K20" s="59">
        <f t="shared" ref="K20" si="28">IFERROR(K19/K$5,"-")</f>
        <v>0.13169646228433629</v>
      </c>
      <c r="L20" s="59">
        <f t="shared" ref="L20" si="29">IFERROR(L19/L$5,"-")</f>
        <v>9.3161918440037711E-2</v>
      </c>
      <c r="M20" s="60">
        <f t="shared" ref="M20" si="30">IFERROR(M19/M$5,"-")</f>
        <v>0.10522277837039468</v>
      </c>
      <c r="P20" s="297"/>
      <c r="Q20" s="297"/>
      <c r="R20" s="297"/>
    </row>
    <row r="21" spans="1:18">
      <c r="A21" s="126" t="s">
        <v>302</v>
      </c>
      <c r="B21" s="56">
        <f>_xlfn.XLOOKUP($A21,Inputs!$A:$A,Inputs!B:B,,0)</f>
        <v>-107941</v>
      </c>
      <c r="C21" s="56">
        <f>_xlfn.XLOOKUP($A21,Inputs!$A:$A,Inputs!C:C,,0)</f>
        <v>-102786</v>
      </c>
      <c r="D21" s="56">
        <f>_xlfn.XLOOKUP($A21,Inputs!$A:$A,Inputs!D:D,,0)</f>
        <v>-75797</v>
      </c>
      <c r="E21" s="56">
        <f>_xlfn.XLOOKUP($A21,Inputs!$A:$A,Inputs!E:E,,0)</f>
        <v>-78982</v>
      </c>
      <c r="F21" s="56">
        <f>_xlfn.XLOOKUP($A21,Inputs!$A:$A,Inputs!F:F,,0)</f>
        <v>-79645</v>
      </c>
      <c r="G21" s="56">
        <f>_xlfn.XLOOKUP($A21,Inputs!$A:$A,Inputs!G:G,,0)</f>
        <v>-56908</v>
      </c>
      <c r="H21" s="56">
        <f>_xlfn.XLOOKUP($A21,Inputs!$A:$A,Inputs!H:H,,0)</f>
        <v>-70688</v>
      </c>
      <c r="I21" s="56">
        <f>_xlfn.XLOOKUP($A21,Inputs!$A:$A,Inputs!I:I,,0)</f>
        <v>-64090</v>
      </c>
      <c r="J21" s="56">
        <f>_xlfn.XLOOKUP($A21,Inputs!$A:$A,Inputs!J:J,,0)</f>
        <v>-67965</v>
      </c>
      <c r="K21" s="56">
        <f>_xlfn.XLOOKUP($A21,Inputs!$A:$A,Inputs!K:K,,0)</f>
        <v>-55959</v>
      </c>
      <c r="L21" s="56">
        <f>_xlfn.XLOOKUP($A21,Inputs!$A:$A,Inputs!L:L,,0)</f>
        <v>-34336</v>
      </c>
      <c r="M21" s="57">
        <f>_xlfn.XLOOKUP($A21,Inputs!$A:$A,Inputs!M:M,,0)</f>
        <v>-35948</v>
      </c>
    </row>
    <row r="22" spans="1:18">
      <c r="A22" s="127" t="s">
        <v>585</v>
      </c>
      <c r="B22" s="59">
        <f t="shared" ref="B22" si="31">IFERROR(B21/B$5,"-")</f>
        <v>-2.7110105591300736E-2</v>
      </c>
      <c r="C22" s="59">
        <f t="shared" ref="C22" si="32">IFERROR(C21/C$5,"-")</f>
        <v>-3.305966409636725E-2</v>
      </c>
      <c r="D22" s="59">
        <f t="shared" ref="D22" si="33">IFERROR(D21/D$5,"-")</f>
        <v>-3.0399224187510478E-2</v>
      </c>
      <c r="E22" s="59">
        <f t="shared" ref="E22" si="34">IFERROR(E21/E$5,"-")</f>
        <v>-3.0969629122791196E-2</v>
      </c>
      <c r="F22" s="59">
        <f t="shared" ref="F22" si="35">IFERROR(F21/F$5,"-")</f>
        <v>-3.2100564707153133E-2</v>
      </c>
      <c r="G22" s="59">
        <f t="shared" ref="G22" si="36">IFERROR(G21/G$5,"-")</f>
        <v>-2.4844579491478065E-2</v>
      </c>
      <c r="H22" s="59">
        <f t="shared" ref="H22" si="37">IFERROR(H21/H$5,"-")</f>
        <v>-3.4583711682374674E-2</v>
      </c>
      <c r="I22" s="59">
        <f t="shared" ref="I22" si="38">IFERROR(I21/I$5,"-")</f>
        <v>-3.1359926720820316E-2</v>
      </c>
      <c r="J22" s="59">
        <f t="shared" ref="J22" si="39">IFERROR(J21/J$5,"-")</f>
        <v>-3.5490620690303405E-2</v>
      </c>
      <c r="K22" s="59">
        <f t="shared" ref="K22" si="40">IFERROR(K21/K$5,"-")</f>
        <v>-3.1302599627785525E-2</v>
      </c>
      <c r="L22" s="59">
        <f t="shared" ref="L22" si="41">IFERROR(L21/L$5,"-")</f>
        <v>-2.6598435358814721E-2</v>
      </c>
      <c r="M22" s="60">
        <f t="shared" ref="M22" si="42">IFERROR(M21/M$5,"-")</f>
        <v>-2.9497005005333553E-2</v>
      </c>
    </row>
    <row r="23" spans="1:18">
      <c r="A23" s="126" t="s">
        <v>71</v>
      </c>
      <c r="B23" s="56">
        <f>_xlfn.XLOOKUP($A23,Inputs!$A:$A,Inputs!B:B,,0)</f>
        <v>257755</v>
      </c>
      <c r="C23" s="56">
        <f>_xlfn.XLOOKUP($A23,Inputs!$A:$A,Inputs!C:C,,0)</f>
        <v>217710</v>
      </c>
      <c r="D23" s="56">
        <f>_xlfn.XLOOKUP($A23,Inputs!$A:$A,Inputs!D:D,,0)</f>
        <v>156250</v>
      </c>
      <c r="E23" s="56">
        <f>_xlfn.XLOOKUP($A23,Inputs!$A:$A,Inputs!E:E,,0)</f>
        <v>170732</v>
      </c>
      <c r="F23" s="56">
        <f>_xlfn.XLOOKUP($A23,Inputs!$A:$A,Inputs!F:F,,0)</f>
        <v>189049</v>
      </c>
      <c r="G23" s="56">
        <f>_xlfn.XLOOKUP($A23,Inputs!$A:$A,Inputs!G:G,,0)</f>
        <v>189053</v>
      </c>
      <c r="H23" s="56">
        <f>_xlfn.XLOOKUP($A23,Inputs!$A:$A,Inputs!H:H,,0)</f>
        <v>153939</v>
      </c>
      <c r="I23" s="56">
        <f>_xlfn.XLOOKUP($A23,Inputs!$A:$A,Inputs!I:I,,0)</f>
        <v>136988</v>
      </c>
      <c r="J23" s="56">
        <f>_xlfn.XLOOKUP($A23,Inputs!$A:$A,Inputs!J:J,,0)</f>
        <v>119675</v>
      </c>
      <c r="K23" s="56">
        <f>_xlfn.XLOOKUP($A23,Inputs!$A:$A,Inputs!K:K,,0)</f>
        <v>92787</v>
      </c>
      <c r="L23" s="56">
        <f>_xlfn.XLOOKUP($A23,Inputs!$A:$A,Inputs!L:L,,0)</f>
        <v>43585</v>
      </c>
      <c r="M23" s="57">
        <f>_xlfn.XLOOKUP($A23,Inputs!$A:$A,Inputs!M:M,,0)</f>
        <v>41173</v>
      </c>
    </row>
    <row r="24" spans="1:18">
      <c r="A24" s="127" t="s">
        <v>263</v>
      </c>
      <c r="B24" s="59">
        <f t="shared" ref="B24" si="43">IFERROR(B23/B$5,"-")</f>
        <v>6.4736895773484779E-2</v>
      </c>
      <c r="C24" s="59">
        <f t="shared" ref="C24" si="44">IFERROR(C23/C$5,"-")</f>
        <v>7.0023344331135703E-2</v>
      </c>
      <c r="D24" s="59">
        <f t="shared" ref="D24" si="45">IFERROR(D23/D$5,"-")</f>
        <v>6.2665788610347536E-2</v>
      </c>
      <c r="E24" s="59">
        <f t="shared" ref="E24" si="46">IFERROR(E23/E$5,"-")</f>
        <v>6.694571825722806E-2</v>
      </c>
      <c r="F24" s="59">
        <f t="shared" ref="F24" si="47">IFERROR(F23/F$5,"-")</f>
        <v>7.6195362638239589E-2</v>
      </c>
      <c r="G24" s="59">
        <f t="shared" ref="G24" si="48">IFERROR(G23/G$5,"-")</f>
        <v>8.253571179100308E-2</v>
      </c>
      <c r="H24" s="59">
        <f t="shared" ref="H24" si="49">IFERROR(H23/H$5,"-")</f>
        <v>7.5313801390237023E-2</v>
      </c>
      <c r="I24" s="59">
        <f t="shared" ref="I24" si="50">IFERROR(I23/I$5,"-")</f>
        <v>6.7029702631170765E-2</v>
      </c>
      <c r="J24" s="59">
        <f t="shared" ref="J24" si="51">IFERROR(J23/J$5,"-")</f>
        <v>6.2493048350063418E-2</v>
      </c>
      <c r="K24" s="59">
        <f t="shared" ref="K24" si="52">IFERROR(K23/K$5,"-")</f>
        <v>5.1903613568207718E-2</v>
      </c>
      <c r="L24" s="59">
        <f t="shared" ref="L24" si="53">IFERROR(L23/L$5,"-")</f>
        <v>3.376318747419442E-2</v>
      </c>
      <c r="M24" s="60">
        <f t="shared" ref="M24" si="54">IFERROR(M23/M$5,"-")</f>
        <v>3.3784360384015756E-2</v>
      </c>
    </row>
    <row r="25" spans="1:18">
      <c r="A25" s="126" t="s">
        <v>577</v>
      </c>
      <c r="B25" s="59">
        <f t="shared" ref="B25" si="55">IFERROR(B24/C24-1,"-")</f>
        <v>-7.5495516647300698E-2</v>
      </c>
      <c r="C25" s="59">
        <f t="shared" ref="C25" si="56">IFERROR(C24/D24-1,"-")</f>
        <v>0.11740944914197193</v>
      </c>
      <c r="D25" s="59">
        <f t="shared" ref="D25" si="57">IFERROR(D24/E24-1,"-")</f>
        <v>-6.3931342560783144E-2</v>
      </c>
      <c r="E25" s="59">
        <f t="shared" ref="E25" si="58">IFERROR(E24/F24-1,"-")</f>
        <v>-0.12139379695490127</v>
      </c>
      <c r="F25" s="59">
        <f t="shared" ref="F25" si="59">IFERROR(F24/G24-1,"-")</f>
        <v>-7.6819464146847372E-2</v>
      </c>
      <c r="G25" s="59">
        <f t="shared" ref="G25" si="60">IFERROR(G24/H24-1,"-")</f>
        <v>9.5890929251411183E-2</v>
      </c>
      <c r="H25" s="59">
        <f t="shared" ref="H25" si="61">IFERROR(H24/I24-1,"-")</f>
        <v>0.12358847546511287</v>
      </c>
      <c r="I25" s="59">
        <f t="shared" ref="I25" si="62">IFERROR(I24/J24-1,"-")</f>
        <v>7.2594542927313377E-2</v>
      </c>
      <c r="J25" s="59">
        <f t="shared" ref="J25" si="63">IFERROR(J24/K24-1,"-")</f>
        <v>0.20402114715847053</v>
      </c>
      <c r="K25" s="59">
        <f t="shared" ref="K25" si="64">IFERROR(K24/L24-1,"-")</f>
        <v>0.53728416808626944</v>
      </c>
      <c r="L25" s="59">
        <f t="shared" ref="L25" si="65">IFERROR(L24/M24-1,"-")</f>
        <v>-6.2670743446580079E-4</v>
      </c>
      <c r="M25" s="60" t="str">
        <f>IFERROR(M24/#REF!-1,"-")</f>
        <v>-</v>
      </c>
    </row>
    <row r="26" spans="1:18">
      <c r="A26" s="127" t="s">
        <v>586</v>
      </c>
      <c r="B26" s="62">
        <f>B39-C39</f>
        <v>-199956</v>
      </c>
      <c r="C26" s="62">
        <f t="shared" ref="C26:M26" si="66">C39-D39</f>
        <v>81521</v>
      </c>
      <c r="D26" s="62">
        <f t="shared" si="66"/>
        <v>365305</v>
      </c>
      <c r="E26" s="62">
        <f t="shared" si="66"/>
        <v>3012</v>
      </c>
      <c r="F26" s="62">
        <f t="shared" si="66"/>
        <v>10754</v>
      </c>
      <c r="G26" s="62">
        <f t="shared" si="66"/>
        <v>12934</v>
      </c>
      <c r="H26" s="62">
        <f t="shared" si="66"/>
        <v>52888</v>
      </c>
      <c r="I26" s="62">
        <f t="shared" si="66"/>
        <v>4256</v>
      </c>
      <c r="J26" s="62">
        <f t="shared" si="66"/>
        <v>29654</v>
      </c>
      <c r="K26" s="62">
        <f t="shared" si="66"/>
        <v>71724</v>
      </c>
      <c r="L26" s="62">
        <f t="shared" si="66"/>
        <v>49923</v>
      </c>
      <c r="M26" s="57">
        <f t="shared" si="66"/>
        <v>135648</v>
      </c>
    </row>
    <row r="27" spans="1:18">
      <c r="A27" s="126" t="s">
        <v>142</v>
      </c>
      <c r="B27" s="56">
        <f>_xlfn.XLOOKUP($A27,Inputs!$A:$A,Inputs!B:B,,0)</f>
        <v>-61468</v>
      </c>
      <c r="C27" s="56">
        <f>_xlfn.XLOOKUP($A27,Inputs!$A:$A,Inputs!C:C,,0)</f>
        <v>-49746</v>
      </c>
      <c r="D27" s="56">
        <f>_xlfn.XLOOKUP($A27,Inputs!$A:$A,Inputs!D:D,,0)</f>
        <v>-46721</v>
      </c>
      <c r="E27" s="56">
        <f>_xlfn.XLOOKUP($A27,Inputs!$A:$A,Inputs!E:E,,0)</f>
        <v>-49730</v>
      </c>
      <c r="F27" s="56">
        <f>_xlfn.XLOOKUP($A27,Inputs!$A:$A,Inputs!F:F,,0)</f>
        <v>-42407</v>
      </c>
      <c r="G27" s="56">
        <f>_xlfn.XLOOKUP($A27,Inputs!$A:$A,Inputs!G:G,,0)</f>
        <v>-39473</v>
      </c>
      <c r="H27" s="56">
        <f>_xlfn.XLOOKUP($A27,Inputs!$A:$A,Inputs!H:H,,0)</f>
        <v>-36518</v>
      </c>
      <c r="I27" s="56">
        <f>_xlfn.XLOOKUP($A27,Inputs!$A:$A,Inputs!I:I,,0)</f>
        <v>-33567</v>
      </c>
      <c r="J27" s="56">
        <f>_xlfn.XLOOKUP($A27,Inputs!$A:$A,Inputs!J:J,,0)</f>
        <v>-19545</v>
      </c>
      <c r="K27" s="56">
        <f>_xlfn.XLOOKUP($A27,Inputs!$A:$A,Inputs!K:K,,0)</f>
        <v>-11946</v>
      </c>
      <c r="L27" s="56">
        <f>_xlfn.XLOOKUP($A27,Inputs!$A:$A,Inputs!L:L,,0)</f>
        <v>-10479</v>
      </c>
      <c r="M27" s="57">
        <f>_xlfn.XLOOKUP($A27,Inputs!$A:$A,Inputs!M:M,,0)</f>
        <v>-10489</v>
      </c>
    </row>
    <row r="28" spans="1:18">
      <c r="A28" s="128" t="s">
        <v>587</v>
      </c>
      <c r="B28" s="56">
        <f>_xlfn.XLOOKUP($A28,Inputs!$A:$A,Inputs!B:B,,0)</f>
        <v>0</v>
      </c>
      <c r="C28" s="56">
        <f>_xlfn.XLOOKUP($A28,Inputs!$A:$A,Inputs!C:C,,0)</f>
        <v>0</v>
      </c>
      <c r="D28" s="56">
        <f>_xlfn.XLOOKUP($A28,Inputs!$A:$A,Inputs!D:D,,0)</f>
        <v>0</v>
      </c>
      <c r="E28" s="56">
        <f>_xlfn.XLOOKUP($A28,Inputs!$A:$A,Inputs!E:E,,0)</f>
        <v>0</v>
      </c>
      <c r="F28" s="56">
        <f>_xlfn.XLOOKUP($A28,Inputs!$A:$A,Inputs!F:F,,0)</f>
        <v>0</v>
      </c>
      <c r="G28" s="56">
        <f>_xlfn.XLOOKUP($A28,Inputs!$A:$A,Inputs!G:G,,0)</f>
        <v>0</v>
      </c>
      <c r="H28" s="56">
        <f>_xlfn.XLOOKUP($A28,Inputs!$A:$A,Inputs!H:H,,0)</f>
        <v>0</v>
      </c>
      <c r="I28" s="56">
        <f>_xlfn.XLOOKUP($A28,Inputs!$A:$A,Inputs!I:I,,0)</f>
        <v>0</v>
      </c>
      <c r="J28" s="56">
        <f>_xlfn.XLOOKUP($A28,Inputs!$A:$A,Inputs!J:J,,0)</f>
        <v>0</v>
      </c>
      <c r="K28" s="56">
        <f>_xlfn.XLOOKUP($A28,Inputs!$A:$A,Inputs!K:K,,0)</f>
        <v>0</v>
      </c>
      <c r="L28" s="56">
        <f>_xlfn.XLOOKUP($A28,Inputs!$A:$A,Inputs!L:L,,0)</f>
        <v>0</v>
      </c>
      <c r="M28" s="57">
        <f>_xlfn.XLOOKUP($A28,Inputs!$A:$A,Inputs!M:M,,0)</f>
        <v>0</v>
      </c>
    </row>
    <row r="29" spans="1:18">
      <c r="A29" s="126" t="s">
        <v>134</v>
      </c>
      <c r="B29" s="62">
        <f>SUM(B26:B28)</f>
        <v>-261424</v>
      </c>
      <c r="C29" s="62">
        <f t="shared" ref="C29:M29" si="67">SUM(C26:C28)</f>
        <v>31775</v>
      </c>
      <c r="D29" s="62">
        <f t="shared" si="67"/>
        <v>318584</v>
      </c>
      <c r="E29" s="62">
        <f t="shared" si="67"/>
        <v>-46718</v>
      </c>
      <c r="F29" s="62">
        <f t="shared" si="67"/>
        <v>-31653</v>
      </c>
      <c r="G29" s="62">
        <f t="shared" si="67"/>
        <v>-26539</v>
      </c>
      <c r="H29" s="62">
        <f t="shared" si="67"/>
        <v>16370</v>
      </c>
      <c r="I29" s="62">
        <f t="shared" si="67"/>
        <v>-29311</v>
      </c>
      <c r="J29" s="62">
        <f t="shared" si="67"/>
        <v>10109</v>
      </c>
      <c r="K29" s="62">
        <f t="shared" si="67"/>
        <v>59778</v>
      </c>
      <c r="L29" s="62">
        <f t="shared" si="67"/>
        <v>39444</v>
      </c>
      <c r="M29" s="57">
        <f t="shared" si="67"/>
        <v>125159</v>
      </c>
    </row>
    <row r="30" spans="1:18">
      <c r="A30" s="128" t="s">
        <v>588</v>
      </c>
      <c r="B30" s="62">
        <f>+B29-(B58-C29)</f>
        <v>-1043415</v>
      </c>
      <c r="C30" s="62">
        <f t="shared" ref="C30:M30" si="68">+C29-(C58-D29)</f>
        <v>-109973</v>
      </c>
      <c r="D30" s="62">
        <f t="shared" si="68"/>
        <v>-403066</v>
      </c>
      <c r="E30" s="62">
        <f t="shared" si="68"/>
        <v>-526274</v>
      </c>
      <c r="F30" s="62">
        <f t="shared" si="68"/>
        <v>-551446</v>
      </c>
      <c r="G30" s="62">
        <f t="shared" si="68"/>
        <v>-487550</v>
      </c>
      <c r="H30" s="62">
        <f t="shared" si="68"/>
        <v>-545191</v>
      </c>
      <c r="I30" s="62">
        <f t="shared" si="68"/>
        <v>-555240</v>
      </c>
      <c r="J30" s="62">
        <f t="shared" si="68"/>
        <v>-553514</v>
      </c>
      <c r="K30" s="62">
        <f>+K29-(K58-L29)</f>
        <v>-496309</v>
      </c>
      <c r="L30" s="62">
        <f t="shared" si="68"/>
        <v>-537140</v>
      </c>
      <c r="M30" s="57">
        <f t="shared" si="68"/>
        <v>-207441</v>
      </c>
    </row>
    <row r="31" spans="1:18">
      <c r="A31" s="126" t="s">
        <v>589</v>
      </c>
      <c r="B31" s="62">
        <f>+B30+B33</f>
        <v>-1078335</v>
      </c>
      <c r="C31" s="62">
        <f t="shared" ref="C31:L31" si="69">+C30+C33</f>
        <v>-156194</v>
      </c>
      <c r="D31" s="62">
        <f t="shared" si="69"/>
        <v>-446437</v>
      </c>
      <c r="E31" s="62">
        <f t="shared" si="69"/>
        <v>-567559</v>
      </c>
      <c r="F31" s="62">
        <f t="shared" si="69"/>
        <v>-625683</v>
      </c>
      <c r="G31" s="62">
        <f t="shared" si="69"/>
        <v>-524021</v>
      </c>
      <c r="H31" s="62">
        <f t="shared" si="69"/>
        <v>-577219</v>
      </c>
      <c r="I31" s="62">
        <f t="shared" si="69"/>
        <v>-561369</v>
      </c>
      <c r="J31" s="62">
        <f t="shared" si="69"/>
        <v>-554518</v>
      </c>
      <c r="K31" s="62">
        <f t="shared" si="69"/>
        <v>-522495</v>
      </c>
      <c r="L31" s="62">
        <f t="shared" si="69"/>
        <v>-702123</v>
      </c>
      <c r="M31" s="57">
        <f t="shared" ref="M31" si="70">+M30+M33</f>
        <v>-227328</v>
      </c>
    </row>
    <row r="32" spans="1:18">
      <c r="A32" s="128" t="s">
        <v>139</v>
      </c>
      <c r="B32" s="56">
        <f>_xlfn.XLOOKUP($A32,Inputs!$A:$A,Inputs!B:B,,0)</f>
        <v>-175076</v>
      </c>
      <c r="C32" s="56">
        <f>_xlfn.XLOOKUP($A32,Inputs!$A:$A,Inputs!C:C,,0)</f>
        <v>-114106</v>
      </c>
      <c r="D32" s="56">
        <f>_xlfn.XLOOKUP($A32,Inputs!$A:$A,Inputs!D:D,,0)</f>
        <v>-104971</v>
      </c>
      <c r="E32" s="56">
        <f>_xlfn.XLOOKUP($A32,Inputs!$A:$A,Inputs!E:E,,0)</f>
        <v>-98094</v>
      </c>
      <c r="F32" s="56">
        <f>_xlfn.XLOOKUP($A32,Inputs!$A:$A,Inputs!F:F,,0)</f>
        <v>-85487</v>
      </c>
      <c r="G32" s="56">
        <f>_xlfn.XLOOKUP($A32,Inputs!$A:$A,Inputs!G:G,,0)</f>
        <v>-85679</v>
      </c>
      <c r="H32" s="56">
        <f>_xlfn.XLOOKUP($A32,Inputs!$A:$A,Inputs!H:H,,0)</f>
        <v>-88335</v>
      </c>
      <c r="I32" s="56">
        <f>_xlfn.XLOOKUP($A32,Inputs!$A:$A,Inputs!I:I,,0)</f>
        <v>-96696</v>
      </c>
      <c r="J32" s="56">
        <f>_xlfn.XLOOKUP($A32,Inputs!$A:$A,Inputs!J:J,,0)</f>
        <v>-71759</v>
      </c>
      <c r="K32" s="56">
        <f>_xlfn.XLOOKUP($A32,Inputs!$A:$A,Inputs!K:K,,0)</f>
        <v>-53647</v>
      </c>
      <c r="L32" s="56">
        <f>_xlfn.XLOOKUP($A32,Inputs!$A:$A,Inputs!L:L,,0)</f>
        <v>-53045</v>
      </c>
      <c r="M32" s="57">
        <f>_xlfn.XLOOKUP($A32,Inputs!$A:$A,Inputs!M:M,,0)</f>
        <v>-42459</v>
      </c>
    </row>
    <row r="33" spans="1:13">
      <c r="A33" s="126" t="s">
        <v>140</v>
      </c>
      <c r="B33" s="56">
        <f>_xlfn.XLOOKUP($A33,Inputs!$A:$A,Inputs!B:B,,0)</f>
        <v>-34920</v>
      </c>
      <c r="C33" s="56">
        <f>_xlfn.XLOOKUP($A33,Inputs!$A:$A,Inputs!C:C,,0)</f>
        <v>-46221</v>
      </c>
      <c r="D33" s="56">
        <f>_xlfn.XLOOKUP($A33,Inputs!$A:$A,Inputs!D:D,,0)</f>
        <v>-43371</v>
      </c>
      <c r="E33" s="56">
        <f>_xlfn.XLOOKUP($A33,Inputs!$A:$A,Inputs!E:E,,0)</f>
        <v>-41285</v>
      </c>
      <c r="F33" s="56">
        <f>_xlfn.XLOOKUP($A33,Inputs!$A:$A,Inputs!F:F,,0)</f>
        <v>-74237</v>
      </c>
      <c r="G33" s="56">
        <f>_xlfn.XLOOKUP($A33,Inputs!$A:$A,Inputs!G:G,,0)</f>
        <v>-36471</v>
      </c>
      <c r="H33" s="56">
        <f>_xlfn.XLOOKUP($A33,Inputs!$A:$A,Inputs!H:H,,0)</f>
        <v>-32028</v>
      </c>
      <c r="I33" s="56">
        <f>_xlfn.XLOOKUP($A33,Inputs!$A:$A,Inputs!I:I,,0)</f>
        <v>-6129</v>
      </c>
      <c r="J33" s="56">
        <f>_xlfn.XLOOKUP($A33,Inputs!$A:$A,Inputs!J:J,,0)</f>
        <v>-1004</v>
      </c>
      <c r="K33" s="56">
        <f>_xlfn.XLOOKUP($A33,Inputs!$A:$A,Inputs!K:K,,0)</f>
        <v>-26186</v>
      </c>
      <c r="L33" s="56">
        <f>_xlfn.XLOOKUP($A33,Inputs!$A:$A,Inputs!L:L,,0)</f>
        <v>-164983</v>
      </c>
      <c r="M33" s="57">
        <f>_xlfn.XLOOKUP($A33,Inputs!$A:$A,Inputs!M:M,,0)</f>
        <v>-19887</v>
      </c>
    </row>
    <row r="34" spans="1:13">
      <c r="A34" s="127" t="s">
        <v>135</v>
      </c>
      <c r="B34" s="62">
        <f t="shared" ref="B34:M34" si="71">+B32+B33</f>
        <v>-209996</v>
      </c>
      <c r="C34" s="62">
        <f t="shared" si="71"/>
        <v>-160327</v>
      </c>
      <c r="D34" s="62">
        <f t="shared" si="71"/>
        <v>-148342</v>
      </c>
      <c r="E34" s="62">
        <f t="shared" si="71"/>
        <v>-139379</v>
      </c>
      <c r="F34" s="62">
        <f t="shared" si="71"/>
        <v>-159724</v>
      </c>
      <c r="G34" s="62">
        <f t="shared" si="71"/>
        <v>-122150</v>
      </c>
      <c r="H34" s="62">
        <f t="shared" si="71"/>
        <v>-120363</v>
      </c>
      <c r="I34" s="62">
        <f t="shared" si="71"/>
        <v>-102825</v>
      </c>
      <c r="J34" s="62">
        <f t="shared" si="71"/>
        <v>-72763</v>
      </c>
      <c r="K34" s="62">
        <f t="shared" si="71"/>
        <v>-79833</v>
      </c>
      <c r="L34" s="62">
        <f t="shared" si="71"/>
        <v>-218028</v>
      </c>
      <c r="M34" s="63">
        <f t="shared" si="71"/>
        <v>-62346</v>
      </c>
    </row>
    <row r="35" spans="1:13">
      <c r="A35" s="126" t="s">
        <v>133</v>
      </c>
      <c r="B35" s="62">
        <f t="shared" ref="B35:M35" si="72">+B27+B28</f>
        <v>-61468</v>
      </c>
      <c r="C35" s="62">
        <f t="shared" si="72"/>
        <v>-49746</v>
      </c>
      <c r="D35" s="62">
        <f t="shared" si="72"/>
        <v>-46721</v>
      </c>
      <c r="E35" s="62">
        <f t="shared" si="72"/>
        <v>-49730</v>
      </c>
      <c r="F35" s="62">
        <f t="shared" si="72"/>
        <v>-42407</v>
      </c>
      <c r="G35" s="62">
        <f t="shared" si="72"/>
        <v>-39473</v>
      </c>
      <c r="H35" s="62">
        <f t="shared" si="72"/>
        <v>-36518</v>
      </c>
      <c r="I35" s="62">
        <f t="shared" si="72"/>
        <v>-33567</v>
      </c>
      <c r="J35" s="62">
        <f t="shared" si="72"/>
        <v>-19545</v>
      </c>
      <c r="K35" s="62">
        <f t="shared" si="72"/>
        <v>-11946</v>
      </c>
      <c r="L35" s="62">
        <f t="shared" si="72"/>
        <v>-10479</v>
      </c>
      <c r="M35" s="63">
        <f t="shared" si="72"/>
        <v>-10489</v>
      </c>
    </row>
    <row r="36" spans="1:13">
      <c r="A36" s="128" t="s">
        <v>590</v>
      </c>
      <c r="B36" s="59">
        <f>IFERROR(B35/B23,"-")</f>
        <v>-0.23847452037787822</v>
      </c>
      <c r="C36" s="59">
        <f t="shared" ref="C36:M36" si="73">IFERROR(C35/C23,"-")</f>
        <v>-0.22849662394929035</v>
      </c>
      <c r="D36" s="59">
        <f t="shared" si="73"/>
        <v>-0.29901440000000001</v>
      </c>
      <c r="E36" s="59">
        <f t="shared" si="73"/>
        <v>-0.29127521495677439</v>
      </c>
      <c r="F36" s="59">
        <f t="shared" si="73"/>
        <v>-0.22431750498547995</v>
      </c>
      <c r="G36" s="59">
        <f t="shared" si="73"/>
        <v>-0.20879330134935706</v>
      </c>
      <c r="H36" s="59">
        <f t="shared" si="73"/>
        <v>-0.23722383541532685</v>
      </c>
      <c r="I36" s="59">
        <f t="shared" si="73"/>
        <v>-0.24503606155283675</v>
      </c>
      <c r="J36" s="59">
        <f t="shared" si="73"/>
        <v>-0.16331731773553373</v>
      </c>
      <c r="K36" s="59">
        <f t="shared" si="73"/>
        <v>-0.12874648388244042</v>
      </c>
      <c r="L36" s="59">
        <f t="shared" si="73"/>
        <v>-0.24042675232304692</v>
      </c>
      <c r="M36" s="60">
        <f t="shared" si="73"/>
        <v>-0.25475432929346903</v>
      </c>
    </row>
    <row r="37" spans="1:13">
      <c r="A37" s="7"/>
      <c r="B37" s="47"/>
      <c r="C37" s="47"/>
      <c r="D37" s="47"/>
      <c r="E37" s="47"/>
      <c r="F37" s="47"/>
      <c r="G37" s="47"/>
      <c r="H37" s="47"/>
      <c r="I37" s="47"/>
      <c r="J37" s="47"/>
      <c r="K37" s="47"/>
      <c r="L37" s="47"/>
      <c r="M37" s="47"/>
    </row>
    <row r="38" spans="1:13" ht="20.100000000000001">
      <c r="A38" s="1101" t="s">
        <v>591</v>
      </c>
      <c r="B38" s="1101"/>
      <c r="C38" s="1101"/>
      <c r="D38" s="1101"/>
      <c r="E38" s="1101"/>
      <c r="F38" s="1101"/>
      <c r="G38" s="1101"/>
      <c r="H38" s="1101"/>
      <c r="I38" s="1101"/>
      <c r="J38" s="1101"/>
      <c r="K38" s="1101"/>
      <c r="L38" s="1101"/>
      <c r="M38" s="1101"/>
    </row>
    <row r="39" spans="1:13">
      <c r="A39" s="129" t="s">
        <v>304</v>
      </c>
      <c r="B39" s="56">
        <f>_xlfn.XLOOKUP($A39,Inputs!$A:$A,Inputs!B:B,,0)</f>
        <v>617663</v>
      </c>
      <c r="C39" s="56">
        <f>_xlfn.XLOOKUP($A39,Inputs!$A:$A,Inputs!C:C,,0)</f>
        <v>817619</v>
      </c>
      <c r="D39" s="56">
        <f>_xlfn.XLOOKUP($A39,Inputs!$A:$A,Inputs!D:D,,0)</f>
        <v>736098</v>
      </c>
      <c r="E39" s="56">
        <f>_xlfn.XLOOKUP($A39,Inputs!$A:$A,Inputs!E:E,,0)</f>
        <v>370793</v>
      </c>
      <c r="F39" s="56">
        <f>_xlfn.XLOOKUP($A39,Inputs!$A:$A,Inputs!F:F,,0)</f>
        <v>367781</v>
      </c>
      <c r="G39" s="56">
        <f>_xlfn.XLOOKUP($A39,Inputs!$A:$A,Inputs!G:G,,0)</f>
        <v>357027</v>
      </c>
      <c r="H39" s="56">
        <f>_xlfn.XLOOKUP($A39,Inputs!$A:$A,Inputs!H:H,,0)</f>
        <v>344093</v>
      </c>
      <c r="I39" s="56">
        <f>_xlfn.XLOOKUP($A39,Inputs!$A:$A,Inputs!I:I,,0)</f>
        <v>291205</v>
      </c>
      <c r="J39" s="56">
        <f>_xlfn.XLOOKUP($A39,Inputs!$A:$A,Inputs!J:J,,0)</f>
        <v>286949</v>
      </c>
      <c r="K39" s="56">
        <f>_xlfn.XLOOKUP($A39,Inputs!$A:$A,Inputs!K:K,,0)</f>
        <v>257295</v>
      </c>
      <c r="L39" s="56">
        <f>_xlfn.XLOOKUP($A39,Inputs!$A:$A,Inputs!L:L,,0)</f>
        <v>185571</v>
      </c>
      <c r="M39" s="57">
        <f>_xlfn.XLOOKUP($A39,Inputs!$A:$A,Inputs!M:M,,0)</f>
        <v>135648</v>
      </c>
    </row>
    <row r="40" spans="1:13">
      <c r="A40" s="127" t="s">
        <v>592</v>
      </c>
      <c r="B40" s="56">
        <f>_xlfn.XLOOKUP($A40,Inputs!$A:$A,Inputs!B:B,,0)</f>
        <v>687135</v>
      </c>
      <c r="C40" s="56">
        <f>_xlfn.XLOOKUP($A40,Inputs!$A:$A,Inputs!C:C,,0)</f>
        <v>578148</v>
      </c>
      <c r="D40" s="56">
        <f>_xlfn.XLOOKUP($A40,Inputs!$A:$A,Inputs!D:D,,0)</f>
        <v>455256</v>
      </c>
      <c r="E40" s="56">
        <f>_xlfn.XLOOKUP($A40,Inputs!$A:$A,Inputs!E:E,,0)</f>
        <v>430194</v>
      </c>
      <c r="F40" s="56">
        <f>_xlfn.XLOOKUP($A40,Inputs!$A:$A,Inputs!F:F,,0)</f>
        <v>438684</v>
      </c>
      <c r="G40" s="56">
        <f>_xlfn.XLOOKUP($A40,Inputs!$A:$A,Inputs!G:G,,0)</f>
        <v>392331</v>
      </c>
      <c r="H40" s="56">
        <f>_xlfn.XLOOKUP($A40,Inputs!$A:$A,Inputs!H:H,,0)</f>
        <v>360845</v>
      </c>
      <c r="I40" s="56">
        <f>_xlfn.XLOOKUP($A40,Inputs!$A:$A,Inputs!I:I,,0)</f>
        <v>349367</v>
      </c>
      <c r="J40" s="56">
        <f>_xlfn.XLOOKUP($A40,Inputs!$A:$A,Inputs!J:J,,0)</f>
        <v>347584</v>
      </c>
      <c r="K40" s="56">
        <f>_xlfn.XLOOKUP($A40,Inputs!$A:$A,Inputs!K:K,,0)</f>
        <v>310986</v>
      </c>
      <c r="L40" s="56">
        <f>_xlfn.XLOOKUP($A40,Inputs!$A:$A,Inputs!L:L,,0)</f>
        <v>257096</v>
      </c>
      <c r="M40" s="57">
        <f>_xlfn.XLOOKUP($A40,Inputs!$A:$A,Inputs!M:M,,0)</f>
        <v>204269</v>
      </c>
    </row>
    <row r="41" spans="1:13">
      <c r="A41" s="129" t="s">
        <v>306</v>
      </c>
      <c r="B41" s="56">
        <f>_xlfn.XLOOKUP($A41,Inputs!$A:$A,Inputs!B:B,,0)</f>
        <v>993383</v>
      </c>
      <c r="C41" s="56">
        <f>_xlfn.XLOOKUP($A41,Inputs!$A:$A,Inputs!C:C,,0)</f>
        <v>671461</v>
      </c>
      <c r="D41" s="56">
        <f>_xlfn.XLOOKUP($A41,Inputs!$A:$A,Inputs!D:D,,0)</f>
        <v>469396</v>
      </c>
      <c r="E41" s="56">
        <f>_xlfn.XLOOKUP($A41,Inputs!$A:$A,Inputs!E:E,,0)</f>
        <v>433782</v>
      </c>
      <c r="F41" s="56">
        <f>_xlfn.XLOOKUP($A41,Inputs!$A:$A,Inputs!F:F,,0)</f>
        <v>436356</v>
      </c>
      <c r="G41" s="56">
        <f>_xlfn.XLOOKUP($A41,Inputs!$A:$A,Inputs!G:G,,0)</f>
        <v>387225</v>
      </c>
      <c r="H41" s="56">
        <f>_xlfn.XLOOKUP($A41,Inputs!$A:$A,Inputs!H:H,,0)</f>
        <v>358301</v>
      </c>
      <c r="I41" s="56">
        <f>_xlfn.XLOOKUP($A41,Inputs!$A:$A,Inputs!I:I,,0)</f>
        <v>333650</v>
      </c>
      <c r="J41" s="56">
        <f>_xlfn.XLOOKUP($A41,Inputs!$A:$A,Inputs!J:J,,0)</f>
        <v>354158</v>
      </c>
      <c r="K41" s="56">
        <f>_xlfn.XLOOKUP($A41,Inputs!$A:$A,Inputs!K:K,,0)</f>
        <v>317559</v>
      </c>
      <c r="L41" s="56">
        <f>_xlfn.XLOOKUP($A41,Inputs!$A:$A,Inputs!L:L,,0)</f>
        <v>285167</v>
      </c>
      <c r="M41" s="57">
        <f>_xlfn.XLOOKUP($A41,Inputs!$A:$A,Inputs!M:M,,0)</f>
        <v>243598</v>
      </c>
    </row>
    <row r="42" spans="1:13">
      <c r="A42" s="127" t="s">
        <v>593</v>
      </c>
      <c r="B42" s="56">
        <f>_xlfn.XLOOKUP($A42,Inputs!$A:$A,Inputs!B:B,,0)</f>
        <v>900944</v>
      </c>
      <c r="C42" s="56">
        <f>_xlfn.XLOOKUP($A42,Inputs!$A:$A,Inputs!C:C,,0)</f>
        <v>743364</v>
      </c>
      <c r="D42" s="56">
        <f>_xlfn.XLOOKUP($A42,Inputs!$A:$A,Inputs!D:D,,0)</f>
        <v>647410</v>
      </c>
      <c r="E42" s="56">
        <f>_xlfn.XLOOKUP($A42,Inputs!$A:$A,Inputs!E:E,,0)</f>
        <v>579980</v>
      </c>
      <c r="F42" s="56">
        <f>_xlfn.XLOOKUP($A42,Inputs!$A:$A,Inputs!F:F,,0)</f>
        <v>482962</v>
      </c>
      <c r="G42" s="56">
        <f>_xlfn.XLOOKUP($A42,Inputs!$A:$A,Inputs!G:G,,0)</f>
        <v>454834</v>
      </c>
      <c r="H42" s="56">
        <f>_xlfn.XLOOKUP($A42,Inputs!$A:$A,Inputs!H:H,,0)</f>
        <v>424527</v>
      </c>
      <c r="I42" s="56">
        <f>_xlfn.XLOOKUP($A42,Inputs!$A:$A,Inputs!I:I,,0)</f>
        <v>385099</v>
      </c>
      <c r="J42" s="56">
        <f>_xlfn.XLOOKUP($A42,Inputs!$A:$A,Inputs!J:J,,0)</f>
        <v>347755</v>
      </c>
      <c r="K42" s="56">
        <f>_xlfn.XLOOKUP($A42,Inputs!$A:$A,Inputs!K:K,,0)</f>
        <v>299716</v>
      </c>
      <c r="L42" s="56">
        <f>_xlfn.XLOOKUP($A42,Inputs!$A:$A,Inputs!L:L,,0)</f>
        <v>274201</v>
      </c>
      <c r="M42" s="57">
        <f>_xlfn.XLOOKUP($A42,Inputs!$A:$A,Inputs!M:M,,0)</f>
        <v>224357</v>
      </c>
    </row>
    <row r="43" spans="1:13">
      <c r="A43" s="129" t="s">
        <v>594</v>
      </c>
      <c r="B43" s="56">
        <f>_xlfn.XLOOKUP($A43,Inputs!$A:$A,Inputs!B:B,,0)</f>
        <v>917696</v>
      </c>
      <c r="C43" s="56">
        <f>_xlfn.XLOOKUP($A43,Inputs!$A:$A,Inputs!C:C,,0)</f>
        <v>796178</v>
      </c>
      <c r="D43" s="56">
        <f>_xlfn.XLOOKUP($A43,Inputs!$A:$A,Inputs!D:D,,0)</f>
        <v>701296</v>
      </c>
      <c r="E43" s="56">
        <f>_xlfn.XLOOKUP($A43,Inputs!$A:$A,Inputs!E:E,,0)</f>
        <v>669611</v>
      </c>
      <c r="F43" s="56">
        <f>_xlfn.XLOOKUP($A43,Inputs!$A:$A,Inputs!F:F,,0)</f>
        <v>663256</v>
      </c>
      <c r="G43" s="56">
        <f>_xlfn.XLOOKUP($A43,Inputs!$A:$A,Inputs!G:G,,0)</f>
        <v>573160</v>
      </c>
      <c r="H43" s="56">
        <f>_xlfn.XLOOKUP($A43,Inputs!$A:$A,Inputs!H:H,,0)</f>
        <v>613573</v>
      </c>
      <c r="I43" s="56">
        <f>_xlfn.XLOOKUP($A43,Inputs!$A:$A,Inputs!I:I,,0)</f>
        <v>596434</v>
      </c>
      <c r="J43" s="56">
        <f>_xlfn.XLOOKUP($A43,Inputs!$A:$A,Inputs!J:J,,0)</f>
        <v>668160</v>
      </c>
      <c r="K43" s="56">
        <f>_xlfn.XLOOKUP($A43,Inputs!$A:$A,Inputs!K:K,,0)</f>
        <v>633349</v>
      </c>
      <c r="L43" s="56">
        <f>_xlfn.XLOOKUP($A43,Inputs!$A:$A,Inputs!L:L,,0)</f>
        <v>586003</v>
      </c>
      <c r="M43" s="57">
        <f>_xlfn.XLOOKUP($A43,Inputs!$A:$A,Inputs!M:M,,0)</f>
        <v>234440</v>
      </c>
    </row>
    <row r="44" spans="1:13">
      <c r="A44" s="130" t="s">
        <v>46</v>
      </c>
      <c r="B44" s="66">
        <f>_xlfn.XLOOKUP($A44,Inputs!$A:$A,Inputs!B:B,,0)</f>
        <v>4303682</v>
      </c>
      <c r="C44" s="66">
        <f>_xlfn.XLOOKUP($A44,Inputs!$A:$A,Inputs!C:C,,0)</f>
        <v>3823038</v>
      </c>
      <c r="D44" s="66">
        <f>_xlfn.XLOOKUP($A44,Inputs!$A:$A,Inputs!D:D,,0)</f>
        <v>3239662</v>
      </c>
      <c r="E44" s="66">
        <f>_xlfn.XLOOKUP($A44,Inputs!$A:$A,Inputs!E:E,,0)</f>
        <v>2667512</v>
      </c>
      <c r="F44" s="66">
        <f>_xlfn.XLOOKUP($A44,Inputs!$A:$A,Inputs!F:F,,0)</f>
        <v>2700890</v>
      </c>
      <c r="G44" s="66">
        <f>_xlfn.XLOOKUP($A44,Inputs!$A:$A,Inputs!G:G,,0)</f>
        <v>2475708</v>
      </c>
      <c r="H44" s="66">
        <f>_xlfn.XLOOKUP($A44,Inputs!$A:$A,Inputs!H:H,,0)</f>
        <v>2356148</v>
      </c>
      <c r="I44" s="66">
        <f>_xlfn.XLOOKUP($A44,Inputs!$A:$A,Inputs!I:I,,0)</f>
        <v>2191105</v>
      </c>
      <c r="J44" s="66">
        <f>_xlfn.XLOOKUP($A44,Inputs!$A:$A,Inputs!J:J,,0)</f>
        <v>2263989</v>
      </c>
      <c r="K44" s="66">
        <f>_xlfn.XLOOKUP($A44,Inputs!$A:$A,Inputs!K:K,,0)</f>
        <v>2011870</v>
      </c>
      <c r="L44" s="66">
        <f>_xlfn.XLOOKUP($A44,Inputs!$A:$A,Inputs!L:L,,0)</f>
        <v>1735836</v>
      </c>
      <c r="M44" s="66">
        <f>_xlfn.XLOOKUP($A44,Inputs!$A:$A,Inputs!M:M,,0)</f>
        <v>1160564</v>
      </c>
    </row>
    <row r="45" spans="1:13">
      <c r="B45"/>
      <c r="C45"/>
      <c r="D45"/>
      <c r="E45"/>
      <c r="F45"/>
      <c r="G45"/>
      <c r="H45"/>
      <c r="I45"/>
      <c r="J45"/>
      <c r="K45"/>
      <c r="L45"/>
      <c r="M45"/>
    </row>
    <row r="46" spans="1:13">
      <c r="B46"/>
      <c r="C46"/>
      <c r="D46"/>
      <c r="E46"/>
      <c r="F46"/>
      <c r="G46"/>
      <c r="H46"/>
      <c r="I46"/>
      <c r="J46"/>
      <c r="K46"/>
      <c r="L46"/>
      <c r="M46"/>
    </row>
    <row r="47" spans="1:13" ht="20.100000000000001">
      <c r="A47" s="1101" t="s">
        <v>595</v>
      </c>
      <c r="B47" s="1101"/>
      <c r="C47" s="1101"/>
      <c r="D47" s="1101"/>
      <c r="E47" s="1101"/>
      <c r="F47" s="1101"/>
      <c r="G47" s="1101"/>
      <c r="H47" s="1101"/>
      <c r="I47" s="1101"/>
      <c r="J47" s="1101"/>
      <c r="K47" s="1101"/>
      <c r="L47" s="1101"/>
      <c r="M47" s="1101"/>
    </row>
    <row r="48" spans="1:13">
      <c r="A48" s="131" t="s">
        <v>310</v>
      </c>
      <c r="B48" s="66">
        <f>_xlfn.XLOOKUP($A48,Inputs!$A:$A,Inputs!B:B,,0)</f>
        <v>1449321</v>
      </c>
      <c r="C48" s="66">
        <f>_xlfn.XLOOKUP($A48,Inputs!$A:$A,Inputs!C:C,,0)</f>
        <v>1306239</v>
      </c>
      <c r="D48" s="66">
        <f>_xlfn.XLOOKUP($A48,Inputs!$A:$A,Inputs!D:D,,0)</f>
        <v>765984</v>
      </c>
      <c r="E48" s="66">
        <f>_xlfn.XLOOKUP($A48,Inputs!$A:$A,Inputs!E:E,,0)</f>
        <v>693957</v>
      </c>
      <c r="F48" s="66">
        <f>_xlfn.XLOOKUP($A48,Inputs!$A:$A,Inputs!F:F,,0)</f>
        <v>768815</v>
      </c>
      <c r="G48" s="66">
        <f>_xlfn.XLOOKUP($A48,Inputs!$A:$A,Inputs!G:G,,0)</f>
        <v>603331</v>
      </c>
      <c r="H48" s="66">
        <f>_xlfn.XLOOKUP($A48,Inputs!$A:$A,Inputs!H:H,,0)</f>
        <v>626676</v>
      </c>
      <c r="I48" s="66">
        <f>_xlfn.XLOOKUP($A48,Inputs!$A:$A,Inputs!I:I,,0)</f>
        <v>563727</v>
      </c>
      <c r="J48" s="66">
        <f>_xlfn.XLOOKUP($A48,Inputs!$A:$A,Inputs!J:J,,0)</f>
        <v>525624</v>
      </c>
      <c r="K48" s="66">
        <f>_xlfn.XLOOKUP($A48,Inputs!$A:$A,Inputs!K:K,,0)</f>
        <v>533467</v>
      </c>
      <c r="L48" s="66">
        <f>_xlfn.XLOOKUP($A48,Inputs!$A:$A,Inputs!L:L,,0)</f>
        <v>382627</v>
      </c>
      <c r="M48" s="66">
        <f>_xlfn.XLOOKUP($A48,Inputs!$A:$A,Inputs!M:M,,0)</f>
        <v>396339</v>
      </c>
    </row>
    <row r="49" spans="1:13">
      <c r="A49" s="132" t="s">
        <v>596</v>
      </c>
      <c r="B49" s="56">
        <f>_xlfn.XLOOKUP($A49,Inputs!$A:$A,Inputs!B:B,,0)</f>
        <v>372541</v>
      </c>
      <c r="C49" s="56">
        <f>_xlfn.XLOOKUP($A49,Inputs!$A:$A,Inputs!C:C,,0)</f>
        <v>97376</v>
      </c>
      <c r="D49" s="56">
        <f>_xlfn.XLOOKUP($A49,Inputs!$A:$A,Inputs!D:D,,0)</f>
        <v>40754</v>
      </c>
      <c r="E49" s="56">
        <f>_xlfn.XLOOKUP($A49,Inputs!$A:$A,Inputs!E:E,,0)</f>
        <v>48937</v>
      </c>
      <c r="F49" s="56">
        <f>_xlfn.XLOOKUP($A49,Inputs!$A:$A,Inputs!F:F,,0)</f>
        <v>146066</v>
      </c>
      <c r="G49" s="56">
        <f>_xlfn.XLOOKUP($A49,Inputs!$A:$A,Inputs!G:G,,0)</f>
        <v>45530</v>
      </c>
      <c r="H49" s="56">
        <f>_xlfn.XLOOKUP($A49,Inputs!$A:$A,Inputs!H:H,,0)</f>
        <v>57699</v>
      </c>
      <c r="I49" s="56">
        <f>_xlfn.XLOOKUP($A49,Inputs!$A:$A,Inputs!I:I,,0)</f>
        <v>54675</v>
      </c>
      <c r="J49" s="56">
        <f>_xlfn.XLOOKUP($A49,Inputs!$A:$A,Inputs!J:J,,0)</f>
        <v>57897</v>
      </c>
      <c r="K49" s="56">
        <f>_xlfn.XLOOKUP($A49,Inputs!$A:$A,Inputs!K:K,,0)</f>
        <v>43325</v>
      </c>
      <c r="L49" s="56">
        <f>_xlfn.XLOOKUP($A49,Inputs!$A:$A,Inputs!L:L,,0)</f>
        <v>65334</v>
      </c>
      <c r="M49" s="56">
        <f>_xlfn.XLOOKUP($A49,Inputs!$A:$A,Inputs!M:M,,0)</f>
        <v>90448</v>
      </c>
    </row>
    <row r="50" spans="1:13">
      <c r="A50" s="126" t="s">
        <v>597</v>
      </c>
      <c r="B50" s="56">
        <f>_xlfn.XLOOKUP($A50,Inputs!$A:$A,Inputs!B:B,,0)</f>
        <v>30442</v>
      </c>
      <c r="C50" s="56">
        <f>_xlfn.XLOOKUP($A50,Inputs!$A:$A,Inputs!C:C,,0)</f>
        <v>25876</v>
      </c>
      <c r="D50" s="56">
        <f>_xlfn.XLOOKUP($A50,Inputs!$A:$A,Inputs!D:D,,0)</f>
        <v>20639</v>
      </c>
      <c r="E50" s="56">
        <f>_xlfn.XLOOKUP($A50,Inputs!$A:$A,Inputs!E:E,,0)</f>
        <v>17300</v>
      </c>
      <c r="F50" s="56">
        <f>_xlfn.XLOOKUP($A50,Inputs!$A:$A,Inputs!F:F,,0)</f>
        <v>1241</v>
      </c>
      <c r="G50" s="56">
        <f>_xlfn.XLOOKUP($A50,Inputs!$A:$A,Inputs!G:G,,0)</f>
        <v>1499</v>
      </c>
      <c r="H50" s="56">
        <f>_xlfn.XLOOKUP($A50,Inputs!$A:$A,Inputs!H:H,,0)</f>
        <v>1797</v>
      </c>
      <c r="I50" s="56">
        <f>_xlfn.XLOOKUP($A50,Inputs!$A:$A,Inputs!I:I,,0)</f>
        <v>1943</v>
      </c>
      <c r="J50" s="56">
        <f>_xlfn.XLOOKUP($A50,Inputs!$A:$A,Inputs!J:J,,0)</f>
        <v>1913</v>
      </c>
      <c r="K50" s="56">
        <f>_xlfn.XLOOKUP($A50,Inputs!$A:$A,Inputs!K:K,,0)</f>
        <v>1731</v>
      </c>
      <c r="L50" s="56">
        <f>_xlfn.XLOOKUP($A50,Inputs!$A:$A,Inputs!L:L,,0)</f>
        <v>1464</v>
      </c>
      <c r="M50" s="56">
        <f>_xlfn.XLOOKUP($A50,Inputs!$A:$A,Inputs!M:M,,0)</f>
        <v>2042</v>
      </c>
    </row>
    <row r="51" spans="1:13">
      <c r="A51" s="127" t="s">
        <v>598</v>
      </c>
      <c r="B51" s="56">
        <f>_xlfn.XLOOKUP($A51,Inputs!$A:$A,Inputs!B:B,,0)</f>
        <v>693691</v>
      </c>
      <c r="C51" s="56">
        <f>_xlfn.XLOOKUP($A51,Inputs!$A:$A,Inputs!C:C,,0)</f>
        <v>880366</v>
      </c>
      <c r="D51" s="56">
        <f>_xlfn.XLOOKUP($A51,Inputs!$A:$A,Inputs!D:D,,0)</f>
        <v>474845</v>
      </c>
      <c r="E51" s="56">
        <f>_xlfn.XLOOKUP($A51,Inputs!$A:$A,Inputs!E:E,,0)</f>
        <v>437877</v>
      </c>
      <c r="F51" s="56">
        <f>_xlfn.XLOOKUP($A51,Inputs!$A:$A,Inputs!F:F,,0)</f>
        <v>416973</v>
      </c>
      <c r="G51" s="56">
        <f>_xlfn.XLOOKUP($A51,Inputs!$A:$A,Inputs!G:G,,0)</f>
        <v>372311</v>
      </c>
      <c r="H51" s="56">
        <f>_xlfn.XLOOKUP($A51,Inputs!$A:$A,Inputs!H:H,,0)</f>
        <v>394033</v>
      </c>
      <c r="I51" s="56">
        <f>_xlfn.XLOOKUP($A51,Inputs!$A:$A,Inputs!I:I,,0)</f>
        <v>351071</v>
      </c>
      <c r="J51" s="56">
        <f>_xlfn.XLOOKUP($A51,Inputs!$A:$A,Inputs!J:J,,0)</f>
        <v>311877</v>
      </c>
      <c r="K51" s="56">
        <f>_xlfn.XLOOKUP($A51,Inputs!$A:$A,Inputs!K:K,,0)</f>
        <v>326327</v>
      </c>
      <c r="L51" s="56">
        <f>_xlfn.XLOOKUP($A51,Inputs!$A:$A,Inputs!L:L,,0)</f>
        <v>188465</v>
      </c>
      <c r="M51" s="56">
        <f>_xlfn.XLOOKUP($A51,Inputs!$A:$A,Inputs!M:M,,0)</f>
        <v>193741</v>
      </c>
    </row>
    <row r="52" spans="1:13">
      <c r="A52" s="131" t="s">
        <v>599</v>
      </c>
      <c r="B52" s="66">
        <f>_xlfn.XLOOKUP($A52,Inputs!$A:$A,Inputs!B:B,,0)</f>
        <v>616213</v>
      </c>
      <c r="C52" s="66">
        <f>_xlfn.XLOOKUP($A52,Inputs!$A:$A,Inputs!C:C,,0)</f>
        <v>545526</v>
      </c>
      <c r="D52" s="66">
        <f>_xlfn.XLOOKUP($A52,Inputs!$A:$A,Inputs!D:D,,0)</f>
        <v>805970</v>
      </c>
      <c r="E52" s="66">
        <f>_xlfn.XLOOKUP($A52,Inputs!$A:$A,Inputs!E:E,,0)</f>
        <v>536700</v>
      </c>
      <c r="F52" s="66">
        <f>_xlfn.XLOOKUP($A52,Inputs!$A:$A,Inputs!F:F,,0)</f>
        <v>514280</v>
      </c>
      <c r="G52" s="66">
        <f>_xlfn.XLOOKUP($A52,Inputs!$A:$A,Inputs!G:G,,0)</f>
        <v>574314</v>
      </c>
      <c r="H52" s="66">
        <f>_xlfn.XLOOKUP($A52,Inputs!$A:$A,Inputs!H:H,,0)</f>
        <v>616756</v>
      </c>
      <c r="I52" s="66">
        <f>_xlfn.XLOOKUP($A52,Inputs!$A:$A,Inputs!I:I,,0)</f>
        <v>611851</v>
      </c>
      <c r="J52" s="66">
        <f>_xlfn.XLOOKUP($A52,Inputs!$A:$A,Inputs!J:J,,0)</f>
        <v>712648</v>
      </c>
      <c r="K52" s="66">
        <f>_xlfn.XLOOKUP($A52,Inputs!$A:$A,Inputs!K:K,,0)</f>
        <v>675707</v>
      </c>
      <c r="L52" s="66">
        <f>_xlfn.XLOOKUP($A52,Inputs!$A:$A,Inputs!L:L,,0)</f>
        <v>733756</v>
      </c>
      <c r="M52" s="66">
        <f>_xlfn.XLOOKUP($A52,Inputs!$A:$A,Inputs!M:M,,0)</f>
        <v>260414</v>
      </c>
    </row>
    <row r="53" spans="1:13">
      <c r="A53" s="132" t="s">
        <v>600</v>
      </c>
      <c r="B53" s="56">
        <f>_xlfn.XLOOKUP($A53,Inputs!$A:$A,Inputs!B:B,,0)</f>
        <v>314186</v>
      </c>
      <c r="C53" s="56">
        <f>_xlfn.XLOOKUP($A53,Inputs!$A:$A,Inputs!C:C,,0)</f>
        <v>260572</v>
      </c>
      <c r="D53" s="56">
        <f>_xlfn.XLOOKUP($A53,Inputs!$A:$A,Inputs!D:D,,0)</f>
        <v>548803</v>
      </c>
      <c r="E53" s="56">
        <f>_xlfn.XLOOKUP($A53,Inputs!$A:$A,Inputs!E:E,,0)</f>
        <v>323184</v>
      </c>
      <c r="F53" s="56">
        <f>_xlfn.XLOOKUP($A53,Inputs!$A:$A,Inputs!F:F,,0)</f>
        <v>335988</v>
      </c>
      <c r="G53" s="56">
        <f>_xlfn.XLOOKUP($A53,Inputs!$A:$A,Inputs!G:G,,0)</f>
        <v>421051</v>
      </c>
      <c r="H53" s="56">
        <f>_xlfn.XLOOKUP($A53,Inputs!$A:$A,Inputs!H:H,,0)</f>
        <v>463292</v>
      </c>
      <c r="I53" s="56">
        <f>_xlfn.XLOOKUP($A53,Inputs!$A:$A,Inputs!I:I,,0)</f>
        <v>477491</v>
      </c>
      <c r="J53" s="56">
        <f>_xlfn.XLOOKUP($A53,Inputs!$A:$A,Inputs!J:J,,0)</f>
        <v>560874</v>
      </c>
      <c r="K53" s="56">
        <f>_xlfn.XLOOKUP($A53,Inputs!$A:$A,Inputs!K:K,,0)</f>
        <v>550475</v>
      </c>
      <c r="L53" s="56">
        <f>_xlfn.XLOOKUP($A53,Inputs!$A:$A,Inputs!L:L,,0)</f>
        <v>633033</v>
      </c>
      <c r="M53" s="56">
        <f>_xlfn.XLOOKUP($A53,Inputs!$A:$A,Inputs!M:M,,0)</f>
        <v>238108</v>
      </c>
    </row>
    <row r="54" spans="1:13">
      <c r="A54" s="126" t="s">
        <v>601</v>
      </c>
      <c r="B54" s="56">
        <f>_xlfn.XLOOKUP($A54,Inputs!$A:$A,Inputs!B:B,,0)</f>
        <v>96597</v>
      </c>
      <c r="C54" s="56">
        <f>_xlfn.XLOOKUP($A54,Inputs!$A:$A,Inputs!C:C,,0)</f>
        <v>76508</v>
      </c>
      <c r="D54" s="56">
        <f>_xlfn.XLOOKUP($A54,Inputs!$A:$A,Inputs!D:D,,0)</f>
        <v>64736</v>
      </c>
      <c r="E54" s="56">
        <f>_xlfn.XLOOKUP($A54,Inputs!$A:$A,Inputs!E:E,,0)</f>
        <v>58482</v>
      </c>
      <c r="F54" s="56">
        <f>_xlfn.XLOOKUP($A54,Inputs!$A:$A,Inputs!F:F,,0)</f>
        <v>9959</v>
      </c>
      <c r="G54" s="56">
        <f>_xlfn.XLOOKUP($A54,Inputs!$A:$A,Inputs!G:G,,0)</f>
        <v>9301</v>
      </c>
      <c r="H54" s="56">
        <f>_xlfn.XLOOKUP($A54,Inputs!$A:$A,Inputs!H:H,,0)</f>
        <v>9462</v>
      </c>
      <c r="I54" s="56">
        <f>_xlfn.XLOOKUP($A54,Inputs!$A:$A,Inputs!I:I,,0)</f>
        <v>1929</v>
      </c>
      <c r="J54" s="56">
        <f>_xlfn.XLOOKUP($A54,Inputs!$A:$A,Inputs!J:J,,0)</f>
        <v>2717</v>
      </c>
      <c r="K54" s="56">
        <f>_xlfn.XLOOKUP($A54,Inputs!$A:$A,Inputs!K:K,,0)</f>
        <v>0</v>
      </c>
      <c r="L54" s="56">
        <f>_xlfn.XLOOKUP($A54,Inputs!$A:$A,Inputs!L:L,,0)</f>
        <v>1912</v>
      </c>
      <c r="M54" s="56">
        <f>_xlfn.XLOOKUP($A54,Inputs!$A:$A,Inputs!M:M,,0)</f>
        <v>2002</v>
      </c>
    </row>
    <row r="55" spans="1:13">
      <c r="A55" s="127" t="s">
        <v>602</v>
      </c>
      <c r="B55" s="56">
        <f>_xlfn.XLOOKUP($A55,Inputs!$A:$A,Inputs!B:B,,0)</f>
        <v>205430</v>
      </c>
      <c r="C55" s="56">
        <f>_xlfn.XLOOKUP($A55,Inputs!$A:$A,Inputs!C:C,,0)</f>
        <v>208446</v>
      </c>
      <c r="D55" s="56">
        <f>_xlfn.XLOOKUP($A55,Inputs!$A:$A,Inputs!D:D,,0)</f>
        <v>192431</v>
      </c>
      <c r="E55" s="56">
        <f>_xlfn.XLOOKUP($A55,Inputs!$A:$A,Inputs!E:E,,0)</f>
        <v>155034</v>
      </c>
      <c r="F55" s="56">
        <f>_xlfn.XLOOKUP($A55,Inputs!$A:$A,Inputs!F:F,,0)</f>
        <v>168333</v>
      </c>
      <c r="G55" s="56">
        <f>_xlfn.XLOOKUP($A55,Inputs!$A:$A,Inputs!G:G,,0)</f>
        <v>143962</v>
      </c>
      <c r="H55" s="56">
        <f>_xlfn.XLOOKUP($A55,Inputs!$A:$A,Inputs!H:H,,0)</f>
        <v>144002</v>
      </c>
      <c r="I55" s="56">
        <f>_xlfn.XLOOKUP($A55,Inputs!$A:$A,Inputs!I:I,,0)</f>
        <v>132431</v>
      </c>
      <c r="J55" s="56">
        <f>_xlfn.XLOOKUP($A55,Inputs!$A:$A,Inputs!J:J,,0)</f>
        <v>149057</v>
      </c>
      <c r="K55" s="56">
        <f>_xlfn.XLOOKUP($A55,Inputs!$A:$A,Inputs!K:K,,0)</f>
        <v>125232</v>
      </c>
      <c r="L55" s="56">
        <f>_xlfn.XLOOKUP($A55,Inputs!$A:$A,Inputs!L:L,,0)</f>
        <v>98811</v>
      </c>
      <c r="M55" s="56">
        <f>_xlfn.XLOOKUP($A55,Inputs!$A:$A,Inputs!M:M,,0)</f>
        <v>20304</v>
      </c>
    </row>
    <row r="56" spans="1:13">
      <c r="A56" s="131" t="s">
        <v>52</v>
      </c>
      <c r="B56" s="66">
        <f>_xlfn.XLOOKUP($A56,Inputs!$A:$A,Inputs!B:B,,0)</f>
        <v>2065534</v>
      </c>
      <c r="C56" s="66">
        <f>_xlfn.XLOOKUP($A56,Inputs!$A:$A,Inputs!C:C,,0)</f>
        <v>1851765</v>
      </c>
      <c r="D56" s="66">
        <f>_xlfn.XLOOKUP($A56,Inputs!$A:$A,Inputs!D:D,,0)</f>
        <v>1571954</v>
      </c>
      <c r="E56" s="66">
        <f>_xlfn.XLOOKUP($A56,Inputs!$A:$A,Inputs!E:E,,0)</f>
        <v>1230657</v>
      </c>
      <c r="F56" s="66">
        <f>_xlfn.XLOOKUP($A56,Inputs!$A:$A,Inputs!F:F,,0)</f>
        <v>1283095</v>
      </c>
      <c r="G56" s="66">
        <f>_xlfn.XLOOKUP($A56,Inputs!$A:$A,Inputs!G:G,,0)</f>
        <v>1177645</v>
      </c>
      <c r="H56" s="66">
        <f>_xlfn.XLOOKUP($A56,Inputs!$A:$A,Inputs!H:H,,0)</f>
        <v>1243432</v>
      </c>
      <c r="I56" s="66">
        <f>_xlfn.XLOOKUP($A56,Inputs!$A:$A,Inputs!I:I,,0)</f>
        <v>1175578</v>
      </c>
      <c r="J56" s="66">
        <f>_xlfn.XLOOKUP($A56,Inputs!$A:$A,Inputs!J:J,,0)</f>
        <v>1238272</v>
      </c>
      <c r="K56" s="66">
        <f>_xlfn.XLOOKUP($A56,Inputs!$A:$A,Inputs!K:K,,0)</f>
        <v>1209174</v>
      </c>
      <c r="L56" s="66">
        <f>_xlfn.XLOOKUP($A56,Inputs!$A:$A,Inputs!L:L,,0)</f>
        <v>1116383</v>
      </c>
      <c r="M56" s="66">
        <f>_xlfn.XLOOKUP($A56,Inputs!$A:$A,Inputs!M:M,,0)</f>
        <v>656753</v>
      </c>
    </row>
    <row r="57" spans="1:13">
      <c r="B57"/>
      <c r="C57"/>
      <c r="D57"/>
      <c r="E57"/>
      <c r="F57"/>
      <c r="G57"/>
      <c r="H57"/>
      <c r="I57"/>
      <c r="J57"/>
      <c r="K57"/>
      <c r="L57"/>
      <c r="M57"/>
    </row>
    <row r="58" spans="1:13">
      <c r="A58" s="131" t="s">
        <v>311</v>
      </c>
      <c r="B58" s="66">
        <f>B49+B53+B50+B54</f>
        <v>813766</v>
      </c>
      <c r="C58" s="66">
        <f t="shared" ref="C58:M58" si="74">C49+C53+C50+C54</f>
        <v>460332</v>
      </c>
      <c r="D58" s="66">
        <f t="shared" si="74"/>
        <v>674932</v>
      </c>
      <c r="E58" s="66">
        <f t="shared" si="74"/>
        <v>447903</v>
      </c>
      <c r="F58" s="66">
        <f t="shared" si="74"/>
        <v>493254</v>
      </c>
      <c r="G58" s="66">
        <f t="shared" si="74"/>
        <v>477381</v>
      </c>
      <c r="H58" s="66">
        <f t="shared" si="74"/>
        <v>532250</v>
      </c>
      <c r="I58" s="66">
        <f t="shared" si="74"/>
        <v>536038</v>
      </c>
      <c r="J58" s="66">
        <f t="shared" si="74"/>
        <v>623401</v>
      </c>
      <c r="K58" s="66">
        <f t="shared" si="74"/>
        <v>595531</v>
      </c>
      <c r="L58" s="66">
        <f t="shared" si="74"/>
        <v>701743</v>
      </c>
      <c r="M58" s="66">
        <f t="shared" si="74"/>
        <v>332600</v>
      </c>
    </row>
    <row r="59" spans="1:13">
      <c r="A59" s="132" t="s">
        <v>75</v>
      </c>
      <c r="B59" s="59">
        <f>IFERROR(B58/B44,"-")</f>
        <v>0.18908599659547337</v>
      </c>
      <c r="C59" s="59">
        <f t="shared" ref="C59:M59" si="75">IFERROR(C58/C44,"-")</f>
        <v>0.12040999854042779</v>
      </c>
      <c r="D59" s="59">
        <f t="shared" si="75"/>
        <v>0.20833407929592654</v>
      </c>
      <c r="E59" s="59">
        <f t="shared" si="75"/>
        <v>0.16791039740402292</v>
      </c>
      <c r="F59" s="59">
        <f t="shared" si="75"/>
        <v>0.1826264675718004</v>
      </c>
      <c r="G59" s="59">
        <f t="shared" si="75"/>
        <v>0.19282605218386012</v>
      </c>
      <c r="H59" s="59">
        <f t="shared" si="75"/>
        <v>0.22589837310729208</v>
      </c>
      <c r="I59" s="59">
        <f t="shared" si="75"/>
        <v>0.24464277156959616</v>
      </c>
      <c r="J59" s="59">
        <f t="shared" si="75"/>
        <v>0.27535513644280074</v>
      </c>
      <c r="K59" s="59">
        <f t="shared" si="75"/>
        <v>0.29600868843414335</v>
      </c>
      <c r="L59" s="59">
        <f t="shared" si="75"/>
        <v>0.40426802992909466</v>
      </c>
      <c r="M59" s="59">
        <f t="shared" si="75"/>
        <v>0.28658479842559309</v>
      </c>
    </row>
    <row r="60" spans="1:13">
      <c r="A60" s="131" t="s">
        <v>603</v>
      </c>
      <c r="B60" s="66">
        <f>B58-B39</f>
        <v>196103</v>
      </c>
      <c r="C60" s="66">
        <f t="shared" ref="C60:M60" si="76">C58-C39</f>
        <v>-357287</v>
      </c>
      <c r="D60" s="66">
        <f t="shared" si="76"/>
        <v>-61166</v>
      </c>
      <c r="E60" s="66">
        <f t="shared" si="76"/>
        <v>77110</v>
      </c>
      <c r="F60" s="66">
        <f t="shared" si="76"/>
        <v>125473</v>
      </c>
      <c r="G60" s="66">
        <f t="shared" si="76"/>
        <v>120354</v>
      </c>
      <c r="H60" s="66">
        <f t="shared" si="76"/>
        <v>188157</v>
      </c>
      <c r="I60" s="66">
        <f t="shared" si="76"/>
        <v>244833</v>
      </c>
      <c r="J60" s="66">
        <f t="shared" si="76"/>
        <v>336452</v>
      </c>
      <c r="K60" s="66">
        <f t="shared" si="76"/>
        <v>338236</v>
      </c>
      <c r="L60" s="66">
        <f t="shared" si="76"/>
        <v>516172</v>
      </c>
      <c r="M60" s="66">
        <f t="shared" si="76"/>
        <v>196952</v>
      </c>
    </row>
    <row r="61" spans="1:13">
      <c r="B61"/>
      <c r="C61"/>
      <c r="D61"/>
      <c r="E61"/>
      <c r="F61"/>
      <c r="G61"/>
      <c r="H61"/>
      <c r="I61"/>
      <c r="J61"/>
      <c r="K61"/>
      <c r="L61"/>
      <c r="M61"/>
    </row>
    <row r="62" spans="1:13" s="48" customFormat="1">
      <c r="A62" s="131" t="s">
        <v>604</v>
      </c>
      <c r="B62" s="66">
        <f>_xlfn.XLOOKUP($A62,Inputs!$A:$A,Inputs!B:B,,0)</f>
        <v>40947</v>
      </c>
      <c r="C62" s="66">
        <f>_xlfn.XLOOKUP($A62,Inputs!$A:$A,Inputs!C:C,,0)</f>
        <v>35876</v>
      </c>
      <c r="D62" s="66">
        <f>_xlfn.XLOOKUP($A62,Inputs!$A:$A,Inputs!D:D,,0)</f>
        <v>30787</v>
      </c>
      <c r="E62" s="66">
        <f>_xlfn.XLOOKUP($A62,Inputs!$A:$A,Inputs!E:E,,0)</f>
        <v>25736</v>
      </c>
      <c r="F62" s="66">
        <f>_xlfn.XLOOKUP($A62,Inputs!$A:$A,Inputs!F:F,,0)</f>
        <v>29054</v>
      </c>
      <c r="G62" s="66">
        <f>_xlfn.XLOOKUP($A62,Inputs!$A:$A,Inputs!G:G,,0)</f>
        <v>26258</v>
      </c>
      <c r="H62" s="66">
        <f>_xlfn.XLOOKUP($A62,Inputs!$A:$A,Inputs!H:H,,0)</f>
        <v>22893</v>
      </c>
      <c r="I62" s="66">
        <f>_xlfn.XLOOKUP($A62,Inputs!$A:$A,Inputs!I:I,,0)</f>
        <v>21942</v>
      </c>
      <c r="J62" s="66">
        <f>_xlfn.XLOOKUP($A62,Inputs!$A:$A,Inputs!J:J,,0)</f>
        <v>22594</v>
      </c>
      <c r="K62" s="66">
        <f>_xlfn.XLOOKUP($A62,Inputs!$A:$A,Inputs!K:K,,0)</f>
        <v>21162</v>
      </c>
      <c r="L62" s="66">
        <f>_xlfn.XLOOKUP($A62,Inputs!$A:$A,Inputs!L:L,,0)</f>
        <v>16543</v>
      </c>
      <c r="M62" s="66">
        <f>_xlfn.XLOOKUP($A62,Inputs!$A:$A,Inputs!M:M,,0)</f>
        <v>12110</v>
      </c>
    </row>
    <row r="63" spans="1:13">
      <c r="B63"/>
      <c r="C63"/>
      <c r="D63"/>
      <c r="E63"/>
      <c r="F63"/>
      <c r="G63"/>
      <c r="H63"/>
      <c r="I63"/>
      <c r="J63"/>
      <c r="K63"/>
      <c r="L63"/>
      <c r="M63"/>
    </row>
    <row r="64" spans="1:13">
      <c r="A64" s="131" t="s">
        <v>605</v>
      </c>
      <c r="B64" s="66">
        <f>_xlfn.XLOOKUP($A64,Inputs!$A:$A,Inputs!B:B,,0)</f>
        <v>2197201</v>
      </c>
      <c r="C64" s="66">
        <f>_xlfn.XLOOKUP($A64,Inputs!$A:$A,Inputs!C:C,,0)</f>
        <v>1935397</v>
      </c>
      <c r="D64" s="66">
        <f>_xlfn.XLOOKUP($A64,Inputs!$A:$A,Inputs!D:D,,0)</f>
        <v>1636921</v>
      </c>
      <c r="E64" s="66">
        <f>_xlfn.XLOOKUP($A64,Inputs!$A:$A,Inputs!E:E,,0)</f>
        <v>1411119</v>
      </c>
      <c r="F64" s="66">
        <f>_xlfn.XLOOKUP($A64,Inputs!$A:$A,Inputs!F:F,,0)</f>
        <v>1388741</v>
      </c>
      <c r="G64" s="66">
        <f>_xlfn.XLOOKUP($A64,Inputs!$A:$A,Inputs!G:G,,0)</f>
        <v>1271805</v>
      </c>
      <c r="H64" s="66">
        <f>_xlfn.XLOOKUP($A64,Inputs!$A:$A,Inputs!H:H,,0)</f>
        <v>1089823</v>
      </c>
      <c r="I64" s="66">
        <f>_xlfn.XLOOKUP($A64,Inputs!$A:$A,Inputs!I:I,,0)</f>
        <v>993585</v>
      </c>
      <c r="J64" s="66">
        <f>_xlfn.XLOOKUP($A64,Inputs!$A:$A,Inputs!J:J,,0)</f>
        <v>1003123</v>
      </c>
      <c r="K64" s="66">
        <f>_xlfn.XLOOKUP($A64,Inputs!$A:$A,Inputs!K:K,,0)</f>
        <v>781534</v>
      </c>
      <c r="L64" s="66">
        <f>_xlfn.XLOOKUP($A64,Inputs!$A:$A,Inputs!L:L,,0)</f>
        <v>602910</v>
      </c>
      <c r="M64" s="66">
        <f>_xlfn.XLOOKUP($A64,Inputs!$A:$A,Inputs!M:M,,0)</f>
        <v>491701</v>
      </c>
    </row>
    <row r="65" spans="1:235">
      <c r="K65" s="43"/>
      <c r="L65" s="43"/>
      <c r="M65" s="43"/>
    </row>
    <row r="66" spans="1:235" ht="20.100000000000001">
      <c r="A66" s="1101" t="s">
        <v>136</v>
      </c>
      <c r="B66" s="1101"/>
      <c r="C66" s="1101"/>
      <c r="D66" s="1101"/>
      <c r="E66" s="1101"/>
      <c r="F66" s="1101"/>
      <c r="G66" s="1101"/>
      <c r="H66" s="1101"/>
      <c r="I66" s="1101"/>
      <c r="J66" s="1101"/>
      <c r="K66" s="1101"/>
      <c r="L66" s="1101"/>
      <c r="M66" s="1101"/>
    </row>
    <row r="67" spans="1:235">
      <c r="A67" s="131" t="s">
        <v>137</v>
      </c>
      <c r="B67" s="66">
        <f>_xlfn.XLOOKUP($A67,Inputs!$A:$A,Inputs!B:B,,0)</f>
        <v>158326</v>
      </c>
      <c r="C67" s="66">
        <f>_xlfn.XLOOKUP($A67,Inputs!$A:$A,Inputs!C:C,,0)</f>
        <v>243485</v>
      </c>
      <c r="D67" s="66">
        <f>_xlfn.XLOOKUP($A67,Inputs!$A:$A,Inputs!D:D,,0)</f>
        <v>374633</v>
      </c>
      <c r="E67" s="66">
        <f>_xlfn.XLOOKUP($A67,Inputs!$A:$A,Inputs!E:E,,0)</f>
        <v>302112</v>
      </c>
      <c r="F67" s="66">
        <f>_xlfn.XLOOKUP($A67,Inputs!$A:$A,Inputs!F:F,,0)</f>
        <v>249943</v>
      </c>
      <c r="G67" s="66">
        <f>_xlfn.XLOOKUP($A67,Inputs!$A:$A,Inputs!G:G,,0)</f>
        <v>223738</v>
      </c>
      <c r="H67" s="66">
        <f>_xlfn.XLOOKUP($A67,Inputs!$A:$A,Inputs!H:H,,0)</f>
        <v>267662</v>
      </c>
      <c r="I67" s="66">
        <f>_xlfn.XLOOKUP($A67,Inputs!$A:$A,Inputs!I:I,,0)</f>
        <v>226184</v>
      </c>
      <c r="J67" s="66">
        <f>_xlfn.XLOOKUP($A67,Inputs!$A:$A,Inputs!J:J,,0)</f>
        <v>160223</v>
      </c>
      <c r="K67" s="66">
        <f>_xlfn.XLOOKUP($A67,Inputs!$A:$A,Inputs!K:K,,0)</f>
        <v>179911</v>
      </c>
      <c r="L67" s="66">
        <f>_xlfn.XLOOKUP($A67,Inputs!$A:$A,Inputs!L:L,,0)</f>
        <v>105268</v>
      </c>
      <c r="M67" s="66">
        <f>_xlfn.XLOOKUP($A67,Inputs!$A:$A,Inputs!M:M,,0)</f>
        <v>36816</v>
      </c>
    </row>
    <row r="68" spans="1:235">
      <c r="A68" s="131" t="s">
        <v>138</v>
      </c>
      <c r="B68" s="66">
        <f>_xlfn.XLOOKUP($A68,Inputs!$A:$A,Inputs!B:B,,0)</f>
        <v>-229793</v>
      </c>
      <c r="C68" s="66">
        <f>_xlfn.XLOOKUP($A68,Inputs!$A:$A,Inputs!C:C,,0)</f>
        <v>-180789</v>
      </c>
      <c r="D68" s="66">
        <f>_xlfn.XLOOKUP($A68,Inputs!$A:$A,Inputs!D:D,,0)</f>
        <v>-159666</v>
      </c>
      <c r="E68" s="66">
        <f>_xlfn.XLOOKUP($A68,Inputs!$A:$A,Inputs!E:E,,0)</f>
        <v>-156187</v>
      </c>
      <c r="F68" s="66">
        <f>_xlfn.XLOOKUP($A68,Inputs!$A:$A,Inputs!F:F,,0)</f>
        <v>-165773</v>
      </c>
      <c r="G68" s="66">
        <f>_xlfn.XLOOKUP($A68,Inputs!$A:$A,Inputs!G:G,,0)</f>
        <v>-127458</v>
      </c>
      <c r="H68" s="66">
        <f>_xlfn.XLOOKUP($A68,Inputs!$A:$A,Inputs!H:H,,0)</f>
        <v>-128823</v>
      </c>
      <c r="I68" s="66">
        <f>_xlfn.XLOOKUP($A68,Inputs!$A:$A,Inputs!I:I,,0)</f>
        <v>-105493</v>
      </c>
      <c r="J68" s="66">
        <f>_xlfn.XLOOKUP($A68,Inputs!$A:$A,Inputs!J:J,,0)</f>
        <v>-77330</v>
      </c>
      <c r="K68" s="66">
        <f>_xlfn.XLOOKUP($A68,Inputs!$A:$A,Inputs!K:K,,0)</f>
        <v>-80834</v>
      </c>
      <c r="L68" s="66">
        <f>_xlfn.XLOOKUP($A68,Inputs!$A:$A,Inputs!L:L,,0)</f>
        <v>-218386</v>
      </c>
      <c r="M68" s="66">
        <f>_xlfn.XLOOKUP($A68,Inputs!$A:$A,Inputs!M:M,,0)</f>
        <v>-62955</v>
      </c>
    </row>
    <row r="69" spans="1:235">
      <c r="A69" s="127" t="s">
        <v>139</v>
      </c>
      <c r="B69" s="56">
        <f>_xlfn.XLOOKUP($A69,Inputs!$A:$A,Inputs!B:B,,0)</f>
        <v>-175076</v>
      </c>
      <c r="C69" s="56">
        <f>_xlfn.XLOOKUP($A69,Inputs!$A:$A,Inputs!C:C,,0)</f>
        <v>-114106</v>
      </c>
      <c r="D69" s="56">
        <f>_xlfn.XLOOKUP($A69,Inputs!$A:$A,Inputs!D:D,,0)</f>
        <v>-104971</v>
      </c>
      <c r="E69" s="56">
        <f>_xlfn.XLOOKUP($A69,Inputs!$A:$A,Inputs!E:E,,0)</f>
        <v>-98094</v>
      </c>
      <c r="F69" s="56">
        <f>_xlfn.XLOOKUP($A69,Inputs!$A:$A,Inputs!F:F,,0)</f>
        <v>-85487</v>
      </c>
      <c r="G69" s="56">
        <f>_xlfn.XLOOKUP($A69,Inputs!$A:$A,Inputs!G:G,,0)</f>
        <v>-85679</v>
      </c>
      <c r="H69" s="56">
        <f>_xlfn.XLOOKUP($A69,Inputs!$A:$A,Inputs!H:H,,0)</f>
        <v>-88335</v>
      </c>
      <c r="I69" s="56">
        <f>_xlfn.XLOOKUP($A69,Inputs!$A:$A,Inputs!I:I,,0)</f>
        <v>-96696</v>
      </c>
      <c r="J69" s="56">
        <f>_xlfn.XLOOKUP($A69,Inputs!$A:$A,Inputs!J:J,,0)</f>
        <v>-71759</v>
      </c>
      <c r="K69" s="56">
        <f>_xlfn.XLOOKUP($A69,Inputs!$A:$A,Inputs!K:K,,0)</f>
        <v>-53647</v>
      </c>
      <c r="L69" s="56">
        <f>_xlfn.XLOOKUP($A69,Inputs!$A:$A,Inputs!L:L,,0)</f>
        <v>-53045</v>
      </c>
      <c r="M69" s="56">
        <f>_xlfn.XLOOKUP($A69,Inputs!$A:$A,Inputs!M:M,,0)</f>
        <v>-42459</v>
      </c>
    </row>
    <row r="70" spans="1:235">
      <c r="A70" s="127" t="s">
        <v>140</v>
      </c>
      <c r="B70" s="56">
        <f>_xlfn.XLOOKUP($A70,Inputs!$A:$A,Inputs!B:B,,0)</f>
        <v>-34920</v>
      </c>
      <c r="C70" s="56">
        <f>_xlfn.XLOOKUP($A70,Inputs!$A:$A,Inputs!C:C,,0)</f>
        <v>-46221</v>
      </c>
      <c r="D70" s="56">
        <f>_xlfn.XLOOKUP($A70,Inputs!$A:$A,Inputs!D:D,,0)</f>
        <v>-43371</v>
      </c>
      <c r="E70" s="56">
        <f>_xlfn.XLOOKUP($A70,Inputs!$A:$A,Inputs!E:E,,0)</f>
        <v>-41285</v>
      </c>
      <c r="F70" s="56">
        <f>_xlfn.XLOOKUP($A70,Inputs!$A:$A,Inputs!F:F,,0)</f>
        <v>-74237</v>
      </c>
      <c r="G70" s="56">
        <f>_xlfn.XLOOKUP($A70,Inputs!$A:$A,Inputs!G:G,,0)</f>
        <v>-36471</v>
      </c>
      <c r="H70" s="56">
        <f>_xlfn.XLOOKUP($A70,Inputs!$A:$A,Inputs!H:H,,0)</f>
        <v>-32028</v>
      </c>
      <c r="I70" s="56">
        <f>_xlfn.XLOOKUP($A70,Inputs!$A:$A,Inputs!I:I,,0)</f>
        <v>-6129</v>
      </c>
      <c r="J70" s="56">
        <f>_xlfn.XLOOKUP($A70,Inputs!$A:$A,Inputs!J:J,,0)</f>
        <v>-1004</v>
      </c>
      <c r="K70" s="56">
        <f>_xlfn.XLOOKUP($A70,Inputs!$A:$A,Inputs!K:K,,0)</f>
        <v>-26186</v>
      </c>
      <c r="L70" s="56">
        <f>_xlfn.XLOOKUP($A70,Inputs!$A:$A,Inputs!L:L,,0)</f>
        <v>-164983</v>
      </c>
      <c r="M70" s="56">
        <f>_xlfn.XLOOKUP($A70,Inputs!$A:$A,Inputs!M:M,,0)</f>
        <v>-19887</v>
      </c>
      <c r="IA70" s="43"/>
    </row>
    <row r="71" spans="1:235">
      <c r="A71" s="131" t="s">
        <v>141</v>
      </c>
      <c r="B71" s="66">
        <f>_xlfn.XLOOKUP($A71,Inputs!$A:$A,Inputs!B:B,,0)</f>
        <v>-113088</v>
      </c>
      <c r="C71" s="66">
        <f>_xlfn.XLOOKUP($A71,Inputs!$A:$A,Inputs!C:C,,0)</f>
        <v>-48698</v>
      </c>
      <c r="D71" s="66">
        <f>_xlfn.XLOOKUP($A71,Inputs!$A:$A,Inputs!D:D,,0)</f>
        <v>98942</v>
      </c>
      <c r="E71" s="66">
        <f>_xlfn.XLOOKUP($A71,Inputs!$A:$A,Inputs!E:E,,0)</f>
        <v>-169933</v>
      </c>
      <c r="F71" s="66">
        <f>_xlfn.XLOOKUP($A71,Inputs!$A:$A,Inputs!F:F,,0)</f>
        <v>-68721</v>
      </c>
      <c r="G71" s="66">
        <f>_xlfn.XLOOKUP($A71,Inputs!$A:$A,Inputs!G:G,,0)</f>
        <v>-93954</v>
      </c>
      <c r="H71" s="66">
        <f>_xlfn.XLOOKUP($A71,Inputs!$A:$A,Inputs!H:H,,0)</f>
        <v>-73543</v>
      </c>
      <c r="I71" s="66">
        <f>_xlfn.XLOOKUP($A71,Inputs!$A:$A,Inputs!I:I,,0)</f>
        <v>-85421</v>
      </c>
      <c r="J71" s="66">
        <f>_xlfn.XLOOKUP($A71,Inputs!$A:$A,Inputs!J:J,,0)</f>
        <v>-83073</v>
      </c>
      <c r="K71" s="66">
        <f>_xlfn.XLOOKUP($A71,Inputs!$A:$A,Inputs!K:K,,0)</f>
        <v>-38249</v>
      </c>
      <c r="L71" s="66">
        <f>_xlfn.XLOOKUP($A71,Inputs!$A:$A,Inputs!L:L,,0)</f>
        <v>143520</v>
      </c>
      <c r="M71" s="66">
        <f>_xlfn.XLOOKUP($A71,Inputs!$A:$A,Inputs!M:M,,0)</f>
        <v>-1113</v>
      </c>
      <c r="IA71" s="43"/>
    </row>
    <row r="72" spans="1:235">
      <c r="A72" s="127" t="s">
        <v>142</v>
      </c>
      <c r="B72" s="56">
        <f>_xlfn.XLOOKUP($A72,Inputs!$A:$A,Inputs!B:B,,0)</f>
        <v>-61468</v>
      </c>
      <c r="C72" s="56">
        <f>_xlfn.XLOOKUP($A72,Inputs!$A:$A,Inputs!C:C,,0)</f>
        <v>-49746</v>
      </c>
      <c r="D72" s="56">
        <f>_xlfn.XLOOKUP($A72,Inputs!$A:$A,Inputs!D:D,,0)</f>
        <v>-46721</v>
      </c>
      <c r="E72" s="56">
        <f>_xlfn.XLOOKUP($A72,Inputs!$A:$A,Inputs!E:E,,0)</f>
        <v>-49730</v>
      </c>
      <c r="F72" s="56">
        <f>_xlfn.XLOOKUP($A72,Inputs!$A:$A,Inputs!F:F,,0)</f>
        <v>-42407</v>
      </c>
      <c r="G72" s="56">
        <f>_xlfn.XLOOKUP($A72,Inputs!$A:$A,Inputs!G:G,,0)</f>
        <v>-39473</v>
      </c>
      <c r="H72" s="56">
        <f>_xlfn.XLOOKUP($A72,Inputs!$A:$A,Inputs!H:H,,0)</f>
        <v>-36518</v>
      </c>
      <c r="I72" s="56">
        <f>_xlfn.XLOOKUP($A72,Inputs!$A:$A,Inputs!I:I,,0)</f>
        <v>-33567</v>
      </c>
      <c r="J72" s="56">
        <f>_xlfn.XLOOKUP($A72,Inputs!$A:$A,Inputs!J:J,,0)</f>
        <v>-19545</v>
      </c>
      <c r="K72" s="56">
        <f>_xlfn.XLOOKUP($A72,Inputs!$A:$A,Inputs!K:K,,0)</f>
        <v>-11946</v>
      </c>
      <c r="L72" s="56">
        <f>_xlfn.XLOOKUP($A72,Inputs!$A:$A,Inputs!L:L,,0)</f>
        <v>-10479</v>
      </c>
      <c r="M72" s="56">
        <f>_xlfn.XLOOKUP($A72,Inputs!$A:$A,Inputs!M:M,,0)</f>
        <v>-10489</v>
      </c>
      <c r="IA72" s="43"/>
    </row>
    <row r="73" spans="1:235">
      <c r="A73" s="127" t="s">
        <v>587</v>
      </c>
      <c r="B73" s="56">
        <f>_xlfn.XLOOKUP($A73,Inputs!$A:$A,Inputs!B:B,,0)</f>
        <v>0</v>
      </c>
      <c r="C73" s="56">
        <f>_xlfn.XLOOKUP($A73,Inputs!$A:$A,Inputs!C:C,,0)</f>
        <v>0</v>
      </c>
      <c r="D73" s="56">
        <f>_xlfn.XLOOKUP($A73,Inputs!$A:$A,Inputs!D:D,,0)</f>
        <v>0</v>
      </c>
      <c r="E73" s="56">
        <f>_xlfn.XLOOKUP($A73,Inputs!$A:$A,Inputs!E:E,,0)</f>
        <v>0</v>
      </c>
      <c r="F73" s="56">
        <f>_xlfn.XLOOKUP($A73,Inputs!$A:$A,Inputs!F:F,,0)</f>
        <v>0</v>
      </c>
      <c r="G73" s="56">
        <f>_xlfn.XLOOKUP($A73,Inputs!$A:$A,Inputs!G:G,,0)</f>
        <v>0</v>
      </c>
      <c r="H73" s="56">
        <f>_xlfn.XLOOKUP($A73,Inputs!$A:$A,Inputs!H:H,,0)</f>
        <v>0</v>
      </c>
      <c r="I73" s="56">
        <f>_xlfn.XLOOKUP($A73,Inputs!$A:$A,Inputs!I:I,,0)</f>
        <v>0</v>
      </c>
      <c r="J73" s="56">
        <f>_xlfn.XLOOKUP($A73,Inputs!$A:$A,Inputs!J:J,,0)</f>
        <v>0</v>
      </c>
      <c r="K73" s="56">
        <f>_xlfn.XLOOKUP($A73,Inputs!$A:$A,Inputs!K:K,,0)</f>
        <v>0</v>
      </c>
      <c r="L73" s="56">
        <f>_xlfn.XLOOKUP($A73,Inputs!$A:$A,Inputs!L:L,,0)</f>
        <v>0</v>
      </c>
      <c r="M73" s="56">
        <f>_xlfn.XLOOKUP($A73,Inputs!$A:$A,Inputs!M:M,,0)</f>
        <v>0</v>
      </c>
    </row>
    <row r="74" spans="1:235">
      <c r="A74" s="131" t="s">
        <v>145</v>
      </c>
      <c r="B74" s="66">
        <f>_xlfn.XLOOKUP($A74,Inputs!$A:$A,Inputs!B:B,,0)</f>
        <v>14996</v>
      </c>
      <c r="C74" s="66">
        <f>_xlfn.XLOOKUP($A74,Inputs!$A:$A,Inputs!C:C,,0)</f>
        <v>41538</v>
      </c>
      <c r="D74" s="66">
        <f>_xlfn.XLOOKUP($A74,Inputs!$A:$A,Inputs!D:D,,0)</f>
        <v>27207</v>
      </c>
      <c r="E74" s="66">
        <f>_xlfn.XLOOKUP($A74,Inputs!$A:$A,Inputs!E:E,,0)</f>
        <v>-22029</v>
      </c>
      <c r="F74" s="66">
        <f>_xlfn.XLOOKUP($A74,Inputs!$A:$A,Inputs!F:F,,0)</f>
        <v>-5286</v>
      </c>
      <c r="G74" s="66">
        <f>_xlfn.XLOOKUP($A74,Inputs!$A:$A,Inputs!G:G,,0)</f>
        <v>10607</v>
      </c>
      <c r="H74" s="66">
        <f>_xlfn.XLOOKUP($A74,Inputs!$A:$A,Inputs!H:H,,0)</f>
        <v>-12408</v>
      </c>
      <c r="I74" s="66">
        <f>_xlfn.XLOOKUP($A74,Inputs!$A:$A,Inputs!I:I,,0)</f>
        <v>-31015</v>
      </c>
      <c r="J74" s="66">
        <f>_xlfn.XLOOKUP($A74,Inputs!$A:$A,Inputs!J:J,,0)</f>
        <v>29836</v>
      </c>
      <c r="K74" s="66">
        <f>_xlfn.XLOOKUP($A74,Inputs!$A:$A,Inputs!K:K,,0)</f>
        <v>10896</v>
      </c>
      <c r="L74" s="66">
        <f>_xlfn.XLOOKUP($A74,Inputs!$A:$A,Inputs!L:L,,0)</f>
        <v>19740</v>
      </c>
      <c r="M74" s="66">
        <f>_xlfn.XLOOKUP($A74,Inputs!$A:$A,Inputs!M:M,,0)</f>
        <v>-4616</v>
      </c>
    </row>
    <row r="75" spans="1:235">
      <c r="A75" s="131" t="s">
        <v>606</v>
      </c>
      <c r="B75" s="66">
        <f>_xlfn.XLOOKUP($A75,Inputs!$A:$A,Inputs!B:B,,0)</f>
        <v>-169559</v>
      </c>
      <c r="C75" s="66">
        <f>_xlfn.XLOOKUP($A75,Inputs!$A:$A,Inputs!C:C,,0)</f>
        <v>55536</v>
      </c>
      <c r="D75" s="66">
        <f>_xlfn.XLOOKUP($A75,Inputs!$A:$A,Inputs!D:D,,0)</f>
        <v>341116</v>
      </c>
      <c r="E75" s="66">
        <f>_xlfn.XLOOKUP($A75,Inputs!$A:$A,Inputs!E:E,,0)</f>
        <v>-46037</v>
      </c>
      <c r="F75" s="66">
        <f>_xlfn.XLOOKUP($A75,Inputs!$A:$A,Inputs!F:F,,0)</f>
        <v>10163</v>
      </c>
      <c r="G75" s="66">
        <f>_xlfn.XLOOKUP($A75,Inputs!$A:$A,Inputs!G:G,,0)</f>
        <v>12933</v>
      </c>
      <c r="H75" s="66">
        <f>_xlfn.XLOOKUP($A75,Inputs!$A:$A,Inputs!H:H,,0)</f>
        <v>52888</v>
      </c>
      <c r="I75" s="66">
        <f>_xlfn.XLOOKUP($A75,Inputs!$A:$A,Inputs!I:I,,0)</f>
        <v>4255</v>
      </c>
      <c r="J75" s="66">
        <f>_xlfn.XLOOKUP($A75,Inputs!$A:$A,Inputs!J:J,,0)</f>
        <v>29656</v>
      </c>
      <c r="K75" s="66">
        <f>_xlfn.XLOOKUP($A75,Inputs!$A:$A,Inputs!K:K,,0)</f>
        <v>71724</v>
      </c>
      <c r="L75" s="66">
        <f>_xlfn.XLOOKUP($A75,Inputs!$A:$A,Inputs!L:L,,0)</f>
        <v>50142</v>
      </c>
      <c r="M75" s="66">
        <f>_xlfn.XLOOKUP($A75,Inputs!$A:$A,Inputs!M:M,,0)</f>
        <v>-31868</v>
      </c>
    </row>
    <row r="76" spans="1:235">
      <c r="K76" s="43"/>
      <c r="L76" s="43"/>
      <c r="M76" s="43"/>
    </row>
    <row r="77" spans="1:235" ht="20.100000000000001">
      <c r="A77" s="1101" t="s">
        <v>607</v>
      </c>
      <c r="B77" s="1101"/>
      <c r="C77" s="1101"/>
      <c r="D77" s="1101"/>
      <c r="E77" s="1101"/>
      <c r="F77" s="1101"/>
      <c r="G77" s="1101"/>
      <c r="H77" s="1101"/>
      <c r="I77" s="1101"/>
      <c r="J77" s="1101"/>
      <c r="K77" s="1101"/>
      <c r="L77" s="1101"/>
      <c r="M77" s="1101"/>
    </row>
    <row r="78" spans="1:235">
      <c r="A78" s="126" t="s">
        <v>608</v>
      </c>
      <c r="B78" s="56" t="e">
        <f>_xlfn.XLOOKUP($A78,Inputs!$A:$A,Inputs!B:B,,0)</f>
        <v>#N/A</v>
      </c>
      <c r="C78" s="56" t="e">
        <f>_xlfn.XLOOKUP($A78,Inputs!$A:$A,Inputs!C:C,,0)</f>
        <v>#N/A</v>
      </c>
      <c r="D78" s="56" t="e">
        <f>_xlfn.XLOOKUP($A78,Inputs!$A:$A,Inputs!D:D,,0)</f>
        <v>#N/A</v>
      </c>
      <c r="E78" s="56" t="e">
        <f>_xlfn.XLOOKUP($A78,Inputs!$A:$A,Inputs!E:E,,0)</f>
        <v>#N/A</v>
      </c>
      <c r="F78" s="56" t="e">
        <f>_xlfn.XLOOKUP($A78,Inputs!$A:$A,Inputs!F:F,,0)</f>
        <v>#N/A</v>
      </c>
      <c r="G78" s="56" t="e">
        <f>_xlfn.XLOOKUP($A78,Inputs!$A:$A,Inputs!G:G,,0)</f>
        <v>#N/A</v>
      </c>
      <c r="H78" s="56" t="e">
        <f>_xlfn.XLOOKUP($A78,Inputs!$A:$A,Inputs!H:H,,0)</f>
        <v>#N/A</v>
      </c>
      <c r="I78" s="56" t="e">
        <f>_xlfn.XLOOKUP($A78,Inputs!$A:$A,Inputs!I:I,,0)</f>
        <v>#N/A</v>
      </c>
      <c r="J78" s="56" t="e">
        <f>_xlfn.XLOOKUP($A78,Inputs!$A:$A,Inputs!J:J,,0)</f>
        <v>#N/A</v>
      </c>
      <c r="K78" s="56" t="e">
        <f>_xlfn.XLOOKUP($A78,Inputs!$A:$A,Inputs!K:K,,0)</f>
        <v>#N/A</v>
      </c>
      <c r="L78" s="56" t="e">
        <f>_xlfn.XLOOKUP($A78,Inputs!$A:$A,Inputs!L:L,,0)</f>
        <v>#N/A</v>
      </c>
      <c r="M78" s="56" t="e">
        <f>_xlfn.XLOOKUP($A78,Inputs!$A:$A,Inputs!M:M,,0)</f>
        <v>#N/A</v>
      </c>
    </row>
    <row r="79" spans="1:235">
      <c r="A79" s="132" t="s">
        <v>609</v>
      </c>
      <c r="B79" s="56" t="e">
        <f>_xlfn.XLOOKUP($A79,Inputs!$A:$A,Inputs!B:B,,0)</f>
        <v>#N/A</v>
      </c>
      <c r="C79" s="56" t="e">
        <f>_xlfn.XLOOKUP($A79,Inputs!$A:$A,Inputs!C:C,,0)</f>
        <v>#N/A</v>
      </c>
      <c r="D79" s="56" t="e">
        <f>_xlfn.XLOOKUP($A79,Inputs!$A:$A,Inputs!D:D,,0)</f>
        <v>#N/A</v>
      </c>
      <c r="E79" s="56" t="e">
        <f>_xlfn.XLOOKUP($A79,Inputs!$A:$A,Inputs!E:E,,0)</f>
        <v>#N/A</v>
      </c>
      <c r="F79" s="56" t="e">
        <f>_xlfn.XLOOKUP($A79,Inputs!$A:$A,Inputs!F:F,,0)</f>
        <v>#N/A</v>
      </c>
      <c r="G79" s="56" t="e">
        <f>_xlfn.XLOOKUP($A79,Inputs!$A:$A,Inputs!G:G,,0)</f>
        <v>#N/A</v>
      </c>
      <c r="H79" s="56" t="e">
        <f>_xlfn.XLOOKUP($A79,Inputs!$A:$A,Inputs!H:H,,0)</f>
        <v>#N/A</v>
      </c>
      <c r="I79" s="56" t="e">
        <f>_xlfn.XLOOKUP($A79,Inputs!$A:$A,Inputs!I:I,,0)</f>
        <v>#N/A</v>
      </c>
      <c r="J79" s="56" t="e">
        <f>_xlfn.XLOOKUP($A79,Inputs!$A:$A,Inputs!J:J,,0)</f>
        <v>#N/A</v>
      </c>
      <c r="K79" s="56" t="e">
        <f>_xlfn.XLOOKUP($A79,Inputs!$A:$A,Inputs!K:K,,0)</f>
        <v>#N/A</v>
      </c>
      <c r="L79" s="56" t="e">
        <f>_xlfn.XLOOKUP($A79,Inputs!$A:$A,Inputs!L:L,,0)</f>
        <v>#N/A</v>
      </c>
      <c r="M79" s="56" t="e">
        <f>_xlfn.XLOOKUP($A79,Inputs!$A:$A,Inputs!M:M,,0)</f>
        <v>#N/A</v>
      </c>
    </row>
    <row r="80" spans="1:235">
      <c r="A80" s="126" t="s">
        <v>50</v>
      </c>
      <c r="B80" s="56">
        <f>_xlfn.XLOOKUP($A80,Inputs!$A:$A,Inputs!B:B,,0)</f>
        <v>0.91467576791808869</v>
      </c>
      <c r="C80" s="56" t="str">
        <f>_xlfn.XLOOKUP($A80,Inputs!$A:$A,Inputs!C:C,,0)</f>
        <v>Yahoo Finance</v>
      </c>
      <c r="D80" s="56">
        <f>_xlfn.XLOOKUP($A80,Inputs!$A:$A,Inputs!D:D,,0)</f>
        <v>0</v>
      </c>
      <c r="E80" s="56">
        <f>_xlfn.XLOOKUP($A80,Inputs!$A:$A,Inputs!E:E,,0)</f>
        <v>0</v>
      </c>
      <c r="F80" s="56">
        <f>_xlfn.XLOOKUP($A80,Inputs!$A:$A,Inputs!F:F,,0)</f>
        <v>0</v>
      </c>
      <c r="G80" s="56">
        <f>_xlfn.XLOOKUP($A80,Inputs!$A:$A,Inputs!G:G,,0)</f>
        <v>0</v>
      </c>
      <c r="H80" s="56">
        <f>_xlfn.XLOOKUP($A80,Inputs!$A:$A,Inputs!H:H,,0)</f>
        <v>0</v>
      </c>
      <c r="I80" s="56">
        <f>_xlfn.XLOOKUP($A80,Inputs!$A:$A,Inputs!I:I,,0)</f>
        <v>0</v>
      </c>
      <c r="J80" s="56">
        <f>_xlfn.XLOOKUP($A80,Inputs!$A:$A,Inputs!J:J,,0)</f>
        <v>0</v>
      </c>
      <c r="K80" s="56">
        <f>_xlfn.XLOOKUP($A80,Inputs!$A:$A,Inputs!K:K,,0)</f>
        <v>0</v>
      </c>
      <c r="L80" s="56">
        <f>_xlfn.XLOOKUP($A80,Inputs!$A:$A,Inputs!L:L,,0)</f>
        <v>0</v>
      </c>
      <c r="M80" s="56">
        <f>_xlfn.XLOOKUP($A80,Inputs!$A:$A,Inputs!M:M,,0)</f>
        <v>0</v>
      </c>
    </row>
    <row r="81" spans="1:13">
      <c r="A81" s="132" t="s">
        <v>55</v>
      </c>
      <c r="B81" s="56">
        <f>_xlfn.XLOOKUP($A81,Inputs!$A:$A,Inputs!B:B,,0)</f>
        <v>0</v>
      </c>
      <c r="C81" s="56" t="str">
        <f>_xlfn.XLOOKUP($A81,Inputs!$A:$A,Inputs!C:C,,0)</f>
        <v>Yahoo Finance</v>
      </c>
      <c r="D81" s="56">
        <f>_xlfn.XLOOKUP($A81,Inputs!$A:$A,Inputs!D:D,,0)</f>
        <v>0</v>
      </c>
      <c r="E81" s="56">
        <f>_xlfn.XLOOKUP($A81,Inputs!$A:$A,Inputs!E:E,,0)</f>
        <v>0</v>
      </c>
      <c r="F81" s="56">
        <f>_xlfn.XLOOKUP($A81,Inputs!$A:$A,Inputs!F:F,,0)</f>
        <v>0</v>
      </c>
      <c r="G81" s="56">
        <f>_xlfn.XLOOKUP($A81,Inputs!$A:$A,Inputs!G:G,,0)</f>
        <v>0</v>
      </c>
      <c r="H81" s="56">
        <f>_xlfn.XLOOKUP($A81,Inputs!$A:$A,Inputs!H:H,,0)</f>
        <v>0</v>
      </c>
      <c r="I81" s="56">
        <f>_xlfn.XLOOKUP($A81,Inputs!$A:$A,Inputs!I:I,,0)</f>
        <v>0</v>
      </c>
      <c r="J81" s="56">
        <f>_xlfn.XLOOKUP($A81,Inputs!$A:$A,Inputs!J:J,,0)</f>
        <v>0</v>
      </c>
      <c r="K81" s="56">
        <f>_xlfn.XLOOKUP($A81,Inputs!$A:$A,Inputs!K:K,,0)</f>
        <v>0</v>
      </c>
      <c r="L81" s="56">
        <f>_xlfn.XLOOKUP($A81,Inputs!$A:$A,Inputs!L:L,,0)</f>
        <v>0</v>
      </c>
      <c r="M81" s="56">
        <f>_xlfn.XLOOKUP($A81,Inputs!$A:$A,Inputs!M:M,,0)</f>
        <v>0</v>
      </c>
    </row>
    <row r="82" spans="1:13">
      <c r="A82" s="126" t="s">
        <v>610</v>
      </c>
      <c r="B82" s="56" t="str">
        <f>_xlfn.XLOOKUP($A82,Inputs!$A:$A,Inputs!B:B,,0)</f>
        <v>A2</v>
      </c>
      <c r="C82" s="56" t="str">
        <f>_xlfn.XLOOKUP($A82,Inputs!$A:$A,Inputs!C:C,,0)</f>
        <v>10-K</v>
      </c>
      <c r="D82" s="56">
        <f>_xlfn.XLOOKUP($A82,Inputs!$A:$A,Inputs!D:D,,0)</f>
        <v>0</v>
      </c>
      <c r="E82" s="56">
        <f>_xlfn.XLOOKUP($A82,Inputs!$A:$A,Inputs!E:E,,0)</f>
        <v>0</v>
      </c>
      <c r="F82" s="56">
        <f>_xlfn.XLOOKUP($A82,Inputs!$A:$A,Inputs!F:F,,0)</f>
        <v>0</v>
      </c>
      <c r="G82" s="56">
        <f>_xlfn.XLOOKUP($A82,Inputs!$A:$A,Inputs!G:G,,0)</f>
        <v>0</v>
      </c>
      <c r="H82" s="56">
        <f>_xlfn.XLOOKUP($A82,Inputs!$A:$A,Inputs!H:H,,0)</f>
        <v>0</v>
      </c>
      <c r="I82" s="56">
        <f>_xlfn.XLOOKUP($A82,Inputs!$A:$A,Inputs!I:I,,0)</f>
        <v>0</v>
      </c>
      <c r="J82" s="56">
        <f>_xlfn.XLOOKUP($A82,Inputs!$A:$A,Inputs!J:J,,0)</f>
        <v>0</v>
      </c>
      <c r="K82" s="56">
        <f>_xlfn.XLOOKUP($A82,Inputs!$A:$A,Inputs!K:K,,0)</f>
        <v>0</v>
      </c>
      <c r="L82" s="56">
        <f>_xlfn.XLOOKUP($A82,Inputs!$A:$A,Inputs!L:L,,0)</f>
        <v>0</v>
      </c>
      <c r="M82" s="56">
        <f>_xlfn.XLOOKUP($A82,Inputs!$A:$A,Inputs!M:M,,0)</f>
        <v>0</v>
      </c>
    </row>
    <row r="83" spans="1:13">
      <c r="A83" s="126" t="s">
        <v>611</v>
      </c>
      <c r="B83" s="56" t="e">
        <f>_xlfn.XLOOKUP($A83,Inputs!$A:$A,Inputs!B:B,,0)</f>
        <v>#N/A</v>
      </c>
      <c r="C83" s="56" t="e">
        <f>_xlfn.XLOOKUP($A83,Inputs!$A:$A,Inputs!C:C,,0)</f>
        <v>#N/A</v>
      </c>
      <c r="D83" s="56" t="e">
        <f>_xlfn.XLOOKUP($A83,Inputs!$A:$A,Inputs!D:D,,0)</f>
        <v>#N/A</v>
      </c>
      <c r="E83" s="56" t="e">
        <f>_xlfn.XLOOKUP($A83,Inputs!$A:$A,Inputs!E:E,,0)</f>
        <v>#N/A</v>
      </c>
      <c r="F83" s="56" t="e">
        <f>_xlfn.XLOOKUP($A83,Inputs!$A:$A,Inputs!F:F,,0)</f>
        <v>#N/A</v>
      </c>
      <c r="G83" s="56" t="e">
        <f>_xlfn.XLOOKUP($A83,Inputs!$A:$A,Inputs!G:G,,0)</f>
        <v>#N/A</v>
      </c>
      <c r="H83" s="56" t="e">
        <f>_xlfn.XLOOKUP($A83,Inputs!$A:$A,Inputs!H:H,,0)</f>
        <v>#N/A</v>
      </c>
      <c r="I83" s="56" t="e">
        <f>_xlfn.XLOOKUP($A83,Inputs!$A:$A,Inputs!I:I,,0)</f>
        <v>#N/A</v>
      </c>
      <c r="J83" s="56" t="e">
        <f>_xlfn.XLOOKUP($A83,Inputs!$A:$A,Inputs!J:J,,0)</f>
        <v>#N/A</v>
      </c>
      <c r="K83" s="56" t="e">
        <f>_xlfn.XLOOKUP($A83,Inputs!$A:$A,Inputs!K:K,,0)</f>
        <v>#N/A</v>
      </c>
      <c r="L83" s="56" t="e">
        <f>_xlfn.XLOOKUP($A83,Inputs!$A:$A,Inputs!L:L,,0)</f>
        <v>#N/A</v>
      </c>
      <c r="M83" s="56" t="e">
        <f>_xlfn.XLOOKUP($A83,Inputs!$A:$A,Inputs!M:M,,0)</f>
        <v>#N/A</v>
      </c>
    </row>
    <row r="84" spans="1:13">
      <c r="A84" s="132" t="s">
        <v>612</v>
      </c>
      <c r="B84" s="56" t="str">
        <f>_xlfn.XLOOKUP($A84,Inputs!$A:$A,Inputs!B:B,,0)</f>
        <v>3.238</v>
      </c>
      <c r="C84" s="56" t="str">
        <f>_xlfn.XLOOKUP($A84,Inputs!$A:$A,Inputs!C:C,,0)</f>
        <v>Yahoo Finance</v>
      </c>
      <c r="D84" s="56">
        <f>_xlfn.XLOOKUP($A84,Inputs!$A:$A,Inputs!D:D,,0)</f>
        <v>0</v>
      </c>
      <c r="E84" s="56">
        <f>_xlfn.XLOOKUP($A84,Inputs!$A:$A,Inputs!E:E,,0)</f>
        <v>0</v>
      </c>
      <c r="F84" s="56">
        <f>_xlfn.XLOOKUP($A84,Inputs!$A:$A,Inputs!F:F,,0)</f>
        <v>0</v>
      </c>
      <c r="G84" s="56">
        <f>_xlfn.XLOOKUP($A84,Inputs!$A:$A,Inputs!G:G,,0)</f>
        <v>0</v>
      </c>
      <c r="H84" s="56">
        <f>_xlfn.XLOOKUP($A84,Inputs!$A:$A,Inputs!H:H,,0)</f>
        <v>0</v>
      </c>
      <c r="I84" s="56">
        <f>_xlfn.XLOOKUP($A84,Inputs!$A:$A,Inputs!I:I,,0)</f>
        <v>0</v>
      </c>
      <c r="J84" s="56">
        <f>_xlfn.XLOOKUP($A84,Inputs!$A:$A,Inputs!J:J,,0)</f>
        <v>0</v>
      </c>
      <c r="K84" s="56">
        <f>_xlfn.XLOOKUP($A84,Inputs!$A:$A,Inputs!K:K,,0)</f>
        <v>0</v>
      </c>
      <c r="L84" s="56">
        <f>_xlfn.XLOOKUP($A84,Inputs!$A:$A,Inputs!L:L,,0)</f>
        <v>0</v>
      </c>
      <c r="M84" s="56">
        <f>_xlfn.XLOOKUP($A84,Inputs!$A:$A,Inputs!M:M,,0)</f>
        <v>0</v>
      </c>
    </row>
    <row r="85" spans="1:13">
      <c r="B85" s="46"/>
      <c r="C85" s="46"/>
      <c r="D85" s="46"/>
      <c r="E85" s="46"/>
      <c r="F85" s="46"/>
      <c r="G85" s="46"/>
      <c r="H85" s="46"/>
      <c r="I85" s="46"/>
      <c r="J85" s="46"/>
      <c r="K85" s="46"/>
      <c r="L85" s="46"/>
      <c r="M85" s="46"/>
    </row>
    <row r="86" spans="1:13">
      <c r="B86" s="44">
        <v>2020</v>
      </c>
      <c r="C86" s="44">
        <v>2021</v>
      </c>
      <c r="D86" s="44">
        <v>2022</v>
      </c>
      <c r="G86" s="44"/>
      <c r="H86" s="46"/>
      <c r="I86" s="46"/>
      <c r="J86" s="46"/>
      <c r="K86" s="46"/>
      <c r="L86" s="46"/>
      <c r="M86" s="46"/>
    </row>
    <row r="87" spans="1:13">
      <c r="A87" s="126" t="s">
        <v>613</v>
      </c>
      <c r="B87" s="62">
        <v>0</v>
      </c>
      <c r="C87" s="62">
        <v>0</v>
      </c>
      <c r="D87" s="63">
        <v>0</v>
      </c>
      <c r="G87" s="46"/>
      <c r="H87" s="46"/>
      <c r="I87" s="46"/>
      <c r="J87" s="46"/>
      <c r="K87" s="46"/>
      <c r="L87" s="46"/>
      <c r="M87" s="46"/>
    </row>
    <row r="88" spans="1:13">
      <c r="A88" s="132" t="s">
        <v>76</v>
      </c>
      <c r="B88" s="62">
        <v>0</v>
      </c>
      <c r="C88" s="62">
        <v>0</v>
      </c>
      <c r="D88" s="63">
        <v>0</v>
      </c>
    </row>
    <row r="90" spans="1:13">
      <c r="A90" s="14" t="s">
        <v>614</v>
      </c>
      <c r="B90" s="44" t="s">
        <v>615</v>
      </c>
      <c r="C90" s="44" t="s">
        <v>616</v>
      </c>
      <c r="D90" s="44" t="s">
        <v>617</v>
      </c>
      <c r="E90" s="44" t="s">
        <v>618</v>
      </c>
      <c r="G90" s="44"/>
    </row>
    <row r="91" spans="1:13">
      <c r="B91" s="70" t="e">
        <f>VLOOKUP($A91,Inputs!$A$5:$M$98,MATCH(B$4,Inputs!$B$5:$M$5,0)+1,FALSE)</f>
        <v>#N/A</v>
      </c>
      <c r="C91" s="70" t="e">
        <f>VLOOKUP($A91,Inputs!$A$5:$M$98,MATCH(C$4,Inputs!$B$5:$M$5,0)+1,FALSE)</f>
        <v>#N/A</v>
      </c>
      <c r="D91" s="70" t="e">
        <f>VLOOKUP($A91,Inputs!$A$5:$M$98,MATCH(D$4,Inputs!$B$5:$M$5,0)+1,FALSE)</f>
        <v>#N/A</v>
      </c>
      <c r="E91" s="70" t="e">
        <f>VLOOKUP($A91,Inputs!$A$5:$M$98,MATCH(E$4,Inputs!$B$5:$M$5,0)+1,FALSE)</f>
        <v>#N/A</v>
      </c>
    </row>
    <row r="92" spans="1:13">
      <c r="B92" s="71"/>
      <c r="C92" s="71"/>
      <c r="D92" s="2"/>
      <c r="E92" s="71"/>
      <c r="F92" s="2"/>
    </row>
    <row r="93" spans="1:13">
      <c r="B93" s="71"/>
      <c r="C93" s="71"/>
      <c r="D93" s="2"/>
      <c r="E93" s="71"/>
      <c r="F93" s="2"/>
    </row>
    <row r="94" spans="1:13">
      <c r="B94" s="71"/>
      <c r="C94" s="71"/>
      <c r="D94" s="2"/>
      <c r="E94" s="71"/>
      <c r="F94" s="2"/>
    </row>
    <row r="95" spans="1:13">
      <c r="B95" s="71"/>
      <c r="C95" s="71"/>
      <c r="D95" s="2"/>
      <c r="E95" s="71"/>
      <c r="F95" s="2"/>
    </row>
    <row r="96" spans="1:13">
      <c r="B96" s="71"/>
      <c r="C96" s="71"/>
      <c r="D96" s="2"/>
      <c r="E96" s="71"/>
      <c r="F96" s="2"/>
    </row>
    <row r="97" spans="2:6">
      <c r="B97" s="71"/>
      <c r="C97" s="71"/>
      <c r="D97" s="2"/>
      <c r="E97" s="71"/>
      <c r="F97" s="2"/>
    </row>
    <row r="98" spans="2:6">
      <c r="B98" s="71"/>
      <c r="C98" s="71"/>
      <c r="D98" s="2"/>
      <c r="E98" s="71"/>
      <c r="F98" s="2"/>
    </row>
    <row r="99" spans="2:6">
      <c r="B99" s="71"/>
      <c r="C99" s="71"/>
      <c r="D99" s="2"/>
      <c r="E99" s="71"/>
      <c r="F99" s="2"/>
    </row>
  </sheetData>
  <mergeCells count="7">
    <mergeCell ref="A77:M77"/>
    <mergeCell ref="A1:M1"/>
    <mergeCell ref="A2:M2"/>
    <mergeCell ref="A3:M3"/>
    <mergeCell ref="A38:M38"/>
    <mergeCell ref="A47:M47"/>
    <mergeCell ref="A66:M66"/>
  </mergeCells>
  <phoneticPr fontId="106" type="noConversion"/>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A3C43-E167-4BFD-BD9D-9D0FA5A01626}">
  <sheetPr>
    <tabColor rgb="FFFFFF00"/>
  </sheetPr>
  <dimension ref="A1:IB88"/>
  <sheetViews>
    <sheetView topLeftCell="A3" workbookViewId="0">
      <selection activeCell="B19" sqref="B19"/>
    </sheetView>
  </sheetViews>
  <sheetFormatPr defaultColWidth="11.42578125" defaultRowHeight="12"/>
  <cols>
    <col min="1" max="1" width="36.42578125" style="43" customWidth="1"/>
    <col min="2" max="10" width="12.42578125" style="43" customWidth="1"/>
    <col min="11" max="12" width="12.42578125" style="52" customWidth="1"/>
    <col min="13" max="13" width="12.42578125" style="52" bestFit="1" customWidth="1"/>
    <col min="14" max="16384" width="11.42578125" style="42"/>
  </cols>
  <sheetData>
    <row r="1" spans="1:14" ht="15.95">
      <c r="A1" s="1102" t="str">
        <f>Inputs!H3</f>
        <v>Daikin Industries,Ltd. (6367.T)</v>
      </c>
      <c r="B1" s="1102"/>
      <c r="C1" s="1102"/>
      <c r="D1" s="1102"/>
      <c r="E1" s="1102"/>
      <c r="F1" s="1102"/>
      <c r="G1" s="1102"/>
      <c r="H1" s="1102"/>
      <c r="I1" s="1102"/>
      <c r="J1" s="1102"/>
      <c r="K1" s="1102"/>
      <c r="L1" s="1102"/>
      <c r="M1" s="1102"/>
    </row>
    <row r="2" spans="1:14" ht="12" customHeight="1">
      <c r="A2" s="1103" t="str">
        <f>Inputs!G2</f>
        <v>Figures in Millions of JPY</v>
      </c>
      <c r="B2" s="1103"/>
      <c r="C2" s="1103"/>
      <c r="D2" s="1103"/>
      <c r="E2" s="1103"/>
      <c r="F2" s="1103"/>
      <c r="G2" s="1103"/>
      <c r="H2" s="1103"/>
      <c r="I2" s="1103"/>
      <c r="J2" s="1103"/>
      <c r="K2" s="1103"/>
      <c r="L2" s="1103"/>
      <c r="M2" s="1103"/>
    </row>
    <row r="3" spans="1:14" ht="20.100000000000001">
      <c r="A3" s="1101" t="s">
        <v>576</v>
      </c>
      <c r="B3" s="1101"/>
      <c r="C3" s="1101"/>
      <c r="D3" s="1101"/>
      <c r="E3" s="1101"/>
      <c r="F3" s="1101"/>
      <c r="G3" s="1101"/>
      <c r="H3" s="1101"/>
      <c r="I3" s="1101"/>
      <c r="J3" s="1101"/>
      <c r="K3" s="1101"/>
      <c r="L3" s="1101"/>
      <c r="M3" s="1101"/>
    </row>
    <row r="4" spans="1:14">
      <c r="A4" s="53"/>
      <c r="B4" s="54">
        <f>OP!J17</f>
        <v>2022</v>
      </c>
      <c r="C4" s="44">
        <f>B4-1</f>
        <v>2021</v>
      </c>
      <c r="D4" s="44">
        <f t="shared" ref="D4:M4" si="0">C4-1</f>
        <v>2020</v>
      </c>
      <c r="E4" s="44">
        <f t="shared" si="0"/>
        <v>2019</v>
      </c>
      <c r="F4" s="44">
        <f t="shared" si="0"/>
        <v>2018</v>
      </c>
      <c r="G4" s="44">
        <f t="shared" si="0"/>
        <v>2017</v>
      </c>
      <c r="H4" s="44">
        <f t="shared" si="0"/>
        <v>2016</v>
      </c>
      <c r="I4" s="44">
        <f t="shared" si="0"/>
        <v>2015</v>
      </c>
      <c r="J4" s="44">
        <f t="shared" si="0"/>
        <v>2014</v>
      </c>
      <c r="K4" s="44">
        <f t="shared" si="0"/>
        <v>2013</v>
      </c>
      <c r="L4" s="44">
        <f t="shared" si="0"/>
        <v>2012</v>
      </c>
      <c r="M4" s="44">
        <f t="shared" si="0"/>
        <v>2011</v>
      </c>
      <c r="N4" s="47"/>
    </row>
    <row r="5" spans="1:14" ht="12.95">
      <c r="A5" s="55" t="s">
        <v>131</v>
      </c>
      <c r="B5" s="56">
        <f>_xlfn.XLOOKUP($A5,Inputs!$A:$A,Inputs!B:B,,0)</f>
        <v>3981578</v>
      </c>
      <c r="C5" s="56">
        <f>_xlfn.XLOOKUP($A5,Inputs!$A:$A,Inputs!C:C,,0)</f>
        <v>3109106</v>
      </c>
      <c r="D5" s="56">
        <f>_xlfn.XLOOKUP($A5,Inputs!$A:$A,Inputs!D:D,,0)</f>
        <v>2493386</v>
      </c>
      <c r="E5" s="56">
        <f>_xlfn.XLOOKUP($A5,Inputs!$A:$A,Inputs!E:E,,0)</f>
        <v>2550305</v>
      </c>
      <c r="F5" s="56">
        <f>_xlfn.XLOOKUP($A5,Inputs!$A:$A,Inputs!F:F,,0)</f>
        <v>2481109</v>
      </c>
      <c r="G5" s="56">
        <f>_xlfn.XLOOKUP($A5,Inputs!$A:$A,Inputs!G:G,,0)</f>
        <v>2290560</v>
      </c>
      <c r="H5" s="56">
        <f>_xlfn.XLOOKUP($A5,Inputs!$A:$A,Inputs!H:H,,0)</f>
        <v>2043968</v>
      </c>
      <c r="I5" s="56">
        <f>_xlfn.XLOOKUP($A5,Inputs!$A:$A,Inputs!I:I,,0)</f>
        <v>2043691</v>
      </c>
      <c r="J5" s="56">
        <f>_xlfn.XLOOKUP($A5,Inputs!$A:$A,Inputs!J:J,,0)</f>
        <v>1915013</v>
      </c>
      <c r="K5" s="56">
        <f>_xlfn.XLOOKUP($A5,Inputs!$A:$A,Inputs!K:K,,0)</f>
        <v>1787679</v>
      </c>
      <c r="L5" s="56">
        <f>_xlfn.XLOOKUP($A5,Inputs!$A:$A,Inputs!L:L,,0)</f>
        <v>1290903</v>
      </c>
      <c r="M5" s="57">
        <f>_xlfn.XLOOKUP($A5,Inputs!$A:$A,Inputs!M:M,,0)</f>
        <v>1218700</v>
      </c>
      <c r="N5" s="47"/>
    </row>
    <row r="6" spans="1:14" ht="12.95">
      <c r="A6" s="58" t="s">
        <v>577</v>
      </c>
      <c r="B6" s="59">
        <f t="shared" ref="B6:M6" si="1">IFERROR(B5/C5-1,"-")</f>
        <v>0.28061828705743719</v>
      </c>
      <c r="C6" s="59">
        <f t="shared" si="1"/>
        <v>0.2469413079242444</v>
      </c>
      <c r="D6" s="59">
        <f t="shared" si="1"/>
        <v>-2.2318507002103694E-2</v>
      </c>
      <c r="E6" s="59">
        <f t="shared" si="1"/>
        <v>2.7889141508897763E-2</v>
      </c>
      <c r="F6" s="59">
        <f t="shared" si="1"/>
        <v>8.3188827186365E-2</v>
      </c>
      <c r="G6" s="59">
        <f t="shared" si="1"/>
        <v>0.12064376741710237</v>
      </c>
      <c r="H6" s="59">
        <f t="shared" si="1"/>
        <v>1.3553908100583101E-4</v>
      </c>
      <c r="I6" s="59">
        <f t="shared" si="1"/>
        <v>6.7194321918441213E-2</v>
      </c>
      <c r="J6" s="59">
        <f t="shared" si="1"/>
        <v>7.1228671366615703E-2</v>
      </c>
      <c r="K6" s="59">
        <f t="shared" si="1"/>
        <v>0.384828294612376</v>
      </c>
      <c r="L6" s="59">
        <f t="shared" si="1"/>
        <v>5.924591778124233E-2</v>
      </c>
      <c r="M6" s="60" t="str">
        <f t="shared" si="1"/>
        <v>-</v>
      </c>
      <c r="N6" s="47"/>
    </row>
    <row r="7" spans="1:14" ht="12.95">
      <c r="A7" s="55" t="s">
        <v>578</v>
      </c>
      <c r="B7" s="56">
        <f>_xlfn.XLOOKUP($A7,Inputs!$A:$A,Inputs!B:B,,0)</f>
        <v>1331476</v>
      </c>
      <c r="C7" s="56">
        <f>_xlfn.XLOOKUP($A7,Inputs!$A:$A,Inputs!C:C,,0)</f>
        <v>1057339</v>
      </c>
      <c r="D7" s="56">
        <f>_xlfn.XLOOKUP($A7,Inputs!$A:$A,Inputs!D:D,,0)</f>
        <v>864136</v>
      </c>
      <c r="E7" s="56">
        <f>_xlfn.XLOOKUP($A7,Inputs!$A:$A,Inputs!E:E,,0)</f>
        <v>884898</v>
      </c>
      <c r="F7" s="56">
        <f>_xlfn.XLOOKUP($A7,Inputs!$A:$A,Inputs!F:F,,0)</f>
        <v>868923</v>
      </c>
      <c r="G7" s="56">
        <f>_xlfn.XLOOKUP($A7,Inputs!$A:$A,Inputs!G:G,,0)</f>
        <v>798829</v>
      </c>
      <c r="H7" s="56">
        <f>_xlfn.XLOOKUP($A7,Inputs!$A:$A,Inputs!H:H,,0)</f>
        <v>730935</v>
      </c>
      <c r="I7" s="56">
        <f>_xlfn.XLOOKUP($A7,Inputs!$A:$A,Inputs!I:I,,0)</f>
        <v>711576</v>
      </c>
      <c r="J7" s="56">
        <f>_xlfn.XLOOKUP($A7,Inputs!$A:$A,Inputs!J:J,,0)</f>
        <v>649901</v>
      </c>
      <c r="K7" s="56">
        <f>_xlfn.XLOOKUP($A7,Inputs!$A:$A,Inputs!K:K,,0)</f>
        <v>568323</v>
      </c>
      <c r="L7" s="56">
        <f>_xlfn.XLOOKUP($A7,Inputs!$A:$A,Inputs!L:L,,0)</f>
        <v>388047</v>
      </c>
      <c r="M7" s="57">
        <f>_xlfn.XLOOKUP($A7,Inputs!$A:$A,Inputs!M:M,,0)</f>
        <v>371901</v>
      </c>
      <c r="N7" s="47"/>
    </row>
    <row r="8" spans="1:14" ht="12.95">
      <c r="A8" s="58" t="s">
        <v>579</v>
      </c>
      <c r="B8" s="59">
        <f>IFERROR(B7/B$5,"-")</f>
        <v>0.33440912120772215</v>
      </c>
      <c r="C8" s="59">
        <f t="shared" ref="C8:M8" si="2">IFERROR(C7/C$5,"-")</f>
        <v>0.34007814464994118</v>
      </c>
      <c r="D8" s="59">
        <f t="shared" si="2"/>
        <v>0.3465712890021842</v>
      </c>
      <c r="E8" s="59">
        <f t="shared" si="2"/>
        <v>0.34697732232027151</v>
      </c>
      <c r="F8" s="59">
        <f t="shared" si="2"/>
        <v>0.35021556892502503</v>
      </c>
      <c r="G8" s="59">
        <f t="shared" si="2"/>
        <v>0.34874834101704388</v>
      </c>
      <c r="H8" s="59">
        <f t="shared" si="2"/>
        <v>0.35760589206876037</v>
      </c>
      <c r="I8" s="59">
        <f t="shared" si="2"/>
        <v>0.34818179460593601</v>
      </c>
      <c r="J8" s="59">
        <f t="shared" si="2"/>
        <v>0.33937158651142318</v>
      </c>
      <c r="K8" s="59">
        <f t="shared" si="2"/>
        <v>0.31791110148969698</v>
      </c>
      <c r="L8" s="59">
        <f t="shared" si="2"/>
        <v>0.3006012070620333</v>
      </c>
      <c r="M8" s="60">
        <f t="shared" si="2"/>
        <v>0.30516205793058176</v>
      </c>
      <c r="N8" s="47"/>
    </row>
    <row r="9" spans="1:14" ht="12.95">
      <c r="A9" s="55" t="s">
        <v>580</v>
      </c>
      <c r="B9" s="56">
        <f t="shared" ref="B9:M9" si="3">B5-B11</f>
        <v>3616685</v>
      </c>
      <c r="C9" s="56">
        <f t="shared" si="3"/>
        <v>2797804</v>
      </c>
      <c r="D9" s="56">
        <f t="shared" si="3"/>
        <v>2255459</v>
      </c>
      <c r="E9" s="56">
        <f t="shared" si="3"/>
        <v>2308651</v>
      </c>
      <c r="F9" s="56">
        <f t="shared" si="3"/>
        <v>2205850</v>
      </c>
      <c r="G9" s="56">
        <f t="shared" si="3"/>
        <v>2039744</v>
      </c>
      <c r="H9" s="56">
        <f t="shared" si="3"/>
        <v>1813155</v>
      </c>
      <c r="I9" s="56">
        <f t="shared" si="3"/>
        <v>1828205</v>
      </c>
      <c r="J9" s="56">
        <f t="shared" si="3"/>
        <v>1729722</v>
      </c>
      <c r="K9" s="56">
        <f t="shared" si="3"/>
        <v>1632476</v>
      </c>
      <c r="L9" s="56">
        <f t="shared" si="3"/>
        <v>1215551</v>
      </c>
      <c r="M9" s="57">
        <f t="shared" si="3"/>
        <v>1139702</v>
      </c>
      <c r="N9" s="47"/>
    </row>
    <row r="10" spans="1:14" ht="12.95">
      <c r="A10" s="58" t="s">
        <v>579</v>
      </c>
      <c r="B10" s="59">
        <f>IFERROR(B9/B$5,"-")</f>
        <v>0.90835467746707466</v>
      </c>
      <c r="C10" s="59">
        <f t="shared" ref="C10:M10" si="4">IFERROR(C9/C$5,"-")</f>
        <v>0.89987411172214782</v>
      </c>
      <c r="D10" s="59">
        <f t="shared" si="4"/>
        <v>0.90457674824515744</v>
      </c>
      <c r="E10" s="59">
        <f t="shared" si="4"/>
        <v>0.90524505892432472</v>
      </c>
      <c r="F10" s="59">
        <f t="shared" si="4"/>
        <v>0.88905807846410623</v>
      </c>
      <c r="G10" s="59">
        <f t="shared" si="4"/>
        <v>0.89050013970382791</v>
      </c>
      <c r="H10" s="59">
        <f t="shared" si="4"/>
        <v>0.88707602075962055</v>
      </c>
      <c r="I10" s="59">
        <f t="shared" si="4"/>
        <v>0.8945603811926558</v>
      </c>
      <c r="J10" s="59">
        <f t="shared" si="4"/>
        <v>0.90324295448647085</v>
      </c>
      <c r="K10" s="59">
        <f t="shared" si="4"/>
        <v>0.91318184081146558</v>
      </c>
      <c r="L10" s="59">
        <f t="shared" si="4"/>
        <v>0.94162845697933928</v>
      </c>
      <c r="M10" s="60">
        <f t="shared" si="4"/>
        <v>0.9351784688602609</v>
      </c>
      <c r="N10" s="47"/>
    </row>
    <row r="11" spans="1:14" ht="12.95">
      <c r="A11" s="55" t="s">
        <v>300</v>
      </c>
      <c r="B11" s="56">
        <f>_xlfn.XLOOKUP($A11,Inputs!$A:$A,Inputs!B:B,,0)</f>
        <v>364893</v>
      </c>
      <c r="C11" s="56">
        <f>_xlfn.XLOOKUP($A11,Inputs!$A:$A,Inputs!C:C,,0)</f>
        <v>311302</v>
      </c>
      <c r="D11" s="56">
        <f>_xlfn.XLOOKUP($A11,Inputs!$A:$A,Inputs!D:D,,0)</f>
        <v>237927</v>
      </c>
      <c r="E11" s="56">
        <f>_xlfn.XLOOKUP($A11,Inputs!$A:$A,Inputs!E:E,,0)</f>
        <v>241654</v>
      </c>
      <c r="F11" s="56">
        <f>_xlfn.XLOOKUP($A11,Inputs!$A:$A,Inputs!F:F,,0)</f>
        <v>275259</v>
      </c>
      <c r="G11" s="56">
        <f>_xlfn.XLOOKUP($A11,Inputs!$A:$A,Inputs!G:G,,0)</f>
        <v>250816</v>
      </c>
      <c r="H11" s="56">
        <f>_xlfn.XLOOKUP($A11,Inputs!$A:$A,Inputs!H:H,,0)</f>
        <v>230813</v>
      </c>
      <c r="I11" s="56">
        <f>_xlfn.XLOOKUP($A11,Inputs!$A:$A,Inputs!I:I,,0)</f>
        <v>215486</v>
      </c>
      <c r="J11" s="56">
        <f>_xlfn.XLOOKUP($A11,Inputs!$A:$A,Inputs!J:J,,0)</f>
        <v>185291</v>
      </c>
      <c r="K11" s="56">
        <f>_xlfn.XLOOKUP($A11,Inputs!$A:$A,Inputs!K:K,,0)</f>
        <v>155203</v>
      </c>
      <c r="L11" s="56">
        <f>_xlfn.XLOOKUP($A11,Inputs!$A:$A,Inputs!L:L,,0)</f>
        <v>75352</v>
      </c>
      <c r="M11" s="57">
        <f>_xlfn.XLOOKUP($A11,Inputs!$A:$A,Inputs!M:M,,0)</f>
        <v>78998</v>
      </c>
      <c r="N11" s="47"/>
    </row>
    <row r="12" spans="1:14" ht="12.95">
      <c r="A12" s="58" t="s">
        <v>579</v>
      </c>
      <c r="B12" s="59">
        <f t="shared" ref="B12:M12" si="5">IFERROR(B11/B$5,"-")</f>
        <v>9.1645322532925386E-2</v>
      </c>
      <c r="C12" s="59">
        <f t="shared" si="5"/>
        <v>0.10012588827785222</v>
      </c>
      <c r="D12" s="59">
        <f t="shared" si="5"/>
        <v>9.5423251754842606E-2</v>
      </c>
      <c r="E12" s="59">
        <f t="shared" si="5"/>
        <v>9.4754941075675267E-2</v>
      </c>
      <c r="F12" s="59">
        <f t="shared" si="5"/>
        <v>0.11094192153589383</v>
      </c>
      <c r="G12" s="59">
        <f t="shared" si="5"/>
        <v>0.10949986029617212</v>
      </c>
      <c r="H12" s="59">
        <f t="shared" si="5"/>
        <v>0.1129239792403795</v>
      </c>
      <c r="I12" s="59">
        <f t="shared" si="5"/>
        <v>0.10543961880734416</v>
      </c>
      <c r="J12" s="59">
        <f t="shared" si="5"/>
        <v>9.675704551352915E-2</v>
      </c>
      <c r="K12" s="59">
        <f t="shared" si="5"/>
        <v>8.6818159188534402E-2</v>
      </c>
      <c r="L12" s="59">
        <f t="shared" si="5"/>
        <v>5.8371543020660728E-2</v>
      </c>
      <c r="M12" s="60">
        <f t="shared" si="5"/>
        <v>6.4821531139739069E-2</v>
      </c>
      <c r="N12" s="47"/>
    </row>
    <row r="13" spans="1:14" ht="12.95">
      <c r="A13" s="55" t="s">
        <v>581</v>
      </c>
      <c r="B13" s="59">
        <f t="shared" ref="B13:M13" si="6">IFERROR(B12/C12-1,"-")</f>
        <v>-8.4699031297410521E-2</v>
      </c>
      <c r="C13" s="59">
        <f t="shared" si="6"/>
        <v>4.928187246323823E-2</v>
      </c>
      <c r="D13" s="59">
        <f t="shared" si="6"/>
        <v>7.0530430559141433E-3</v>
      </c>
      <c r="E13" s="59">
        <f t="shared" si="6"/>
        <v>-0.14590499457846029</v>
      </c>
      <c r="F13" s="59">
        <f t="shared" si="6"/>
        <v>1.3169525840683871E-2</v>
      </c>
      <c r="G13" s="59">
        <f t="shared" si="6"/>
        <v>-3.0322336914097914E-2</v>
      </c>
      <c r="H13" s="59">
        <f t="shared" si="6"/>
        <v>7.098243068111354E-2</v>
      </c>
      <c r="I13" s="59">
        <f t="shared" si="6"/>
        <v>8.9735824897639871E-2</v>
      </c>
      <c r="J13" s="59">
        <f t="shared" si="6"/>
        <v>0.11447934876632715</v>
      </c>
      <c r="K13" s="59">
        <f t="shared" si="6"/>
        <v>0.48733706007745825</v>
      </c>
      <c r="L13" s="59">
        <f t="shared" si="6"/>
        <v>-9.9503791497516092E-2</v>
      </c>
      <c r="M13" s="60" t="str">
        <f t="shared" si="6"/>
        <v>-</v>
      </c>
      <c r="N13" s="47"/>
    </row>
    <row r="14" spans="1:14" ht="12.95">
      <c r="A14" s="61" t="s">
        <v>301</v>
      </c>
      <c r="B14" s="56">
        <f>_xlfn.XLOOKUP($A14,Inputs!$A:$A,Inputs!B:B,,0)</f>
        <v>-8730</v>
      </c>
      <c r="C14" s="56">
        <f>_xlfn.XLOOKUP($A14,Inputs!$A:$A,Inputs!C:C,,0)</f>
        <v>-638</v>
      </c>
      <c r="D14" s="56">
        <f>_xlfn.XLOOKUP($A14,Inputs!$A:$A,Inputs!D:D,,0)</f>
        <v>2772</v>
      </c>
      <c r="E14" s="56">
        <f>_xlfn.XLOOKUP($A14,Inputs!$A:$A,Inputs!E:E,,0)</f>
        <v>-3039</v>
      </c>
      <c r="F14" s="56">
        <f>_xlfn.XLOOKUP($A14,Inputs!$A:$A,Inputs!F:F,,0)</f>
        <v>-2293</v>
      </c>
      <c r="G14" s="56">
        <f>_xlfn.XLOOKUP($A14,Inputs!$A:$A,Inputs!G:G,,0)</f>
        <v>-3838</v>
      </c>
      <c r="H14" s="56">
        <f>_xlfn.XLOOKUP($A14,Inputs!$A:$A,Inputs!H:H,,0)</f>
        <v>-3174</v>
      </c>
      <c r="I14" s="56">
        <f>_xlfn.XLOOKUP($A14,Inputs!$A:$A,Inputs!I:I,,0)</f>
        <v>-1526</v>
      </c>
      <c r="J14" s="56">
        <f>_xlfn.XLOOKUP($A14,Inputs!$A:$A,Inputs!J:J,,0)</f>
        <v>-3097</v>
      </c>
      <c r="K14" s="56">
        <f>_xlfn.XLOOKUP($A14,Inputs!$A:$A,Inputs!K:K,,0)</f>
        <v>-5129</v>
      </c>
      <c r="L14" s="56">
        <f>_xlfn.XLOOKUP($A14,Inputs!$A:$A,Inputs!L:L,,0)</f>
        <v>-4043</v>
      </c>
      <c r="M14" s="57">
        <f>_xlfn.XLOOKUP($A14,Inputs!$A:$A,Inputs!M:M,,0)</f>
        <v>-3165</v>
      </c>
      <c r="N14" s="47"/>
    </row>
    <row r="15" spans="1:14" ht="12.95">
      <c r="A15" s="55" t="s">
        <v>582</v>
      </c>
      <c r="B15" s="56">
        <f>_xlfn.XLOOKUP($A15,Inputs!$A:$A,Inputs!B:B,,0)</f>
        <v>9533</v>
      </c>
      <c r="C15" s="56">
        <f>_xlfn.XLOOKUP($A15,Inputs!$A:$A,Inputs!C:C,,0)</f>
        <v>9832</v>
      </c>
      <c r="D15" s="56">
        <f>_xlfn.XLOOKUP($A15,Inputs!$A:$A,Inputs!D:D,,0)</f>
        <v>-8652</v>
      </c>
      <c r="E15" s="56">
        <f>_xlfn.XLOOKUP($A15,Inputs!$A:$A,Inputs!E:E,,0)</f>
        <v>11099</v>
      </c>
      <c r="F15" s="56">
        <f>_xlfn.XLOOKUP($A15,Inputs!$A:$A,Inputs!F:F,,0)</f>
        <v>-4272</v>
      </c>
      <c r="G15" s="56">
        <f>_xlfn.XLOOKUP($A15,Inputs!$A:$A,Inputs!G:G,,0)</f>
        <v>-1017</v>
      </c>
      <c r="H15" s="56">
        <f>_xlfn.XLOOKUP($A15,Inputs!$A:$A,Inputs!H:H,,0)</f>
        <v>-3012</v>
      </c>
      <c r="I15" s="56">
        <f>_xlfn.XLOOKUP($A15,Inputs!$A:$A,Inputs!I:I,,0)</f>
        <v>-12882</v>
      </c>
      <c r="J15" s="56">
        <f>_xlfn.XLOOKUP($A15,Inputs!$A:$A,Inputs!J:J,,0)</f>
        <v>5446</v>
      </c>
      <c r="K15" s="56">
        <f>_xlfn.XLOOKUP($A15,Inputs!$A:$A,Inputs!K:K,,0)</f>
        <v>-1328</v>
      </c>
      <c r="L15" s="56">
        <f>_xlfn.XLOOKUP($A15,Inputs!$A:$A,Inputs!L:L,,0)</f>
        <v>6612</v>
      </c>
      <c r="M15" s="57">
        <f>_xlfn.XLOOKUP($A15,Inputs!$A:$A,Inputs!M:M,,0)</f>
        <v>1288</v>
      </c>
      <c r="N15" s="47"/>
    </row>
    <row r="16" spans="1:14" ht="12.95">
      <c r="A16" s="61" t="s">
        <v>67</v>
      </c>
      <c r="B16" s="56">
        <f>B11-B15</f>
        <v>355360</v>
      </c>
      <c r="C16" s="56">
        <f t="shared" ref="C16:M16" si="7">C11-C15</f>
        <v>301470</v>
      </c>
      <c r="D16" s="56">
        <f t="shared" si="7"/>
        <v>246579</v>
      </c>
      <c r="E16" s="56">
        <f t="shared" si="7"/>
        <v>230555</v>
      </c>
      <c r="F16" s="56">
        <f t="shared" si="7"/>
        <v>279531</v>
      </c>
      <c r="G16" s="56">
        <f t="shared" si="7"/>
        <v>251833</v>
      </c>
      <c r="H16" s="56">
        <f t="shared" si="7"/>
        <v>233825</v>
      </c>
      <c r="I16" s="56">
        <f t="shared" si="7"/>
        <v>228368</v>
      </c>
      <c r="J16" s="56">
        <f t="shared" si="7"/>
        <v>179845</v>
      </c>
      <c r="K16" s="56">
        <f t="shared" si="7"/>
        <v>156531</v>
      </c>
      <c r="L16" s="56">
        <f t="shared" si="7"/>
        <v>68740</v>
      </c>
      <c r="M16" s="57">
        <f t="shared" si="7"/>
        <v>77710</v>
      </c>
      <c r="N16" s="47"/>
    </row>
    <row r="17" spans="1:14" ht="12.95">
      <c r="A17" s="55" t="s">
        <v>619</v>
      </c>
      <c r="B17" s="56">
        <f>'Fin. Data'!B17</f>
        <v>182224</v>
      </c>
      <c r="C17" s="56">
        <f>'Fin. Data'!C17</f>
        <v>148062</v>
      </c>
      <c r="D17" s="56">
        <f>'Fin. Data'!D17</f>
        <v>133593</v>
      </c>
      <c r="E17" s="56">
        <f>'Fin. Data'!E17</f>
        <v>128485</v>
      </c>
      <c r="F17" s="56">
        <f>'Fin. Data'!F17</f>
        <v>99315</v>
      </c>
      <c r="G17" s="56">
        <f>'Fin. Data'!G17</f>
        <v>94833</v>
      </c>
      <c r="H17" s="56">
        <f>'Fin. Data'!H17</f>
        <v>85029</v>
      </c>
      <c r="I17" s="56">
        <f>'Fin. Data'!I17</f>
        <v>84202</v>
      </c>
      <c r="J17" s="56">
        <f>'Fin. Data'!J17</f>
        <v>77766</v>
      </c>
      <c r="K17" s="56">
        <f>'Fin. Data'!K17</f>
        <v>78900</v>
      </c>
      <c r="L17" s="56">
        <f>'Fin. Data'!L17</f>
        <v>51523</v>
      </c>
      <c r="M17" s="57">
        <f>'Fin. Data'!M17</f>
        <v>50525</v>
      </c>
      <c r="N17" s="47"/>
    </row>
    <row r="18" spans="1:14" ht="12.95">
      <c r="A18" s="61" t="s">
        <v>583</v>
      </c>
      <c r="B18" s="56">
        <f>_xlfn.XLOOKUP($A18,Inputs!$A:$A,Inputs!B:B,,0)</f>
        <v>318333</v>
      </c>
      <c r="C18" s="56">
        <f>_xlfn.XLOOKUP($A18,Inputs!$A:$A,Inputs!C:C,,0)</f>
        <v>-189514</v>
      </c>
      <c r="D18" s="56">
        <f>_xlfn.XLOOKUP($A18,Inputs!$A:$A,Inputs!D:D,,0)</f>
        <v>-8398</v>
      </c>
      <c r="E18" s="56">
        <f>_xlfn.XLOOKUP($A18,Inputs!$A:$A,Inputs!E:E,,0)</f>
        <v>58668</v>
      </c>
      <c r="F18" s="56">
        <f>_xlfn.XLOOKUP($A18,Inputs!$A:$A,Inputs!F:F,,0)</f>
        <v>-63926</v>
      </c>
      <c r="G18" s="56">
        <f>_xlfn.XLOOKUP($A18,Inputs!$A:$A,Inputs!G:G,,0)</f>
        <v>55820</v>
      </c>
      <c r="H18" s="56">
        <f>_xlfn.XLOOKUP($A18,Inputs!$A:$A,Inputs!H:H,,0)</f>
        <v>-22721</v>
      </c>
      <c r="I18" s="56">
        <f>_xlfn.XLOOKUP($A18,Inputs!$A:$A,Inputs!I:I,,0)</f>
        <v>-58205</v>
      </c>
      <c r="J18" s="56">
        <f>_xlfn.XLOOKUP($A18,Inputs!$A:$A,Inputs!J:J,,0)</f>
        <v>93592</v>
      </c>
      <c r="K18" s="56">
        <f>_xlfn.XLOOKUP($A18,Inputs!$A:$A,Inputs!K:K,,0)</f>
        <v>-58679</v>
      </c>
      <c r="L18" s="56">
        <f>_xlfn.XLOOKUP($A18,Inputs!$A:$A,Inputs!L:L,,0)</f>
        <v>138068</v>
      </c>
      <c r="M18" s="57">
        <f>_xlfn.XLOOKUP($A18,Inputs!$A:$A,Inputs!M:M,,0)</f>
        <v>97060</v>
      </c>
      <c r="N18" s="47"/>
    </row>
    <row r="19" spans="1:14" ht="12.95">
      <c r="A19" s="55" t="s">
        <v>58</v>
      </c>
      <c r="B19" s="56">
        <f>B11-B15+B17</f>
        <v>537584</v>
      </c>
      <c r="C19" s="56">
        <f t="shared" ref="C19:M19" si="8">C11-C15+C17</f>
        <v>449532</v>
      </c>
      <c r="D19" s="56">
        <f t="shared" si="8"/>
        <v>380172</v>
      </c>
      <c r="E19" s="56">
        <f t="shared" si="8"/>
        <v>359040</v>
      </c>
      <c r="F19" s="56">
        <f t="shared" si="8"/>
        <v>378846</v>
      </c>
      <c r="G19" s="56">
        <f t="shared" si="8"/>
        <v>346666</v>
      </c>
      <c r="H19" s="56">
        <f t="shared" si="8"/>
        <v>318854</v>
      </c>
      <c r="I19" s="56">
        <f t="shared" si="8"/>
        <v>312570</v>
      </c>
      <c r="J19" s="56">
        <f t="shared" si="8"/>
        <v>257611</v>
      </c>
      <c r="K19" s="56">
        <f t="shared" si="8"/>
        <v>235431</v>
      </c>
      <c r="L19" s="56">
        <f t="shared" si="8"/>
        <v>120263</v>
      </c>
      <c r="M19" s="57">
        <f t="shared" si="8"/>
        <v>128235</v>
      </c>
      <c r="N19" s="47"/>
    </row>
    <row r="20" spans="1:14" ht="12.95">
      <c r="A20" s="58" t="s">
        <v>579</v>
      </c>
      <c r="B20" s="59">
        <f t="shared" ref="B20:M20" si="9">IFERROR(B19/B$5,"-")</f>
        <v>0.13501782459115455</v>
      </c>
      <c r="C20" s="59">
        <f t="shared" si="9"/>
        <v>0.14458561399965134</v>
      </c>
      <c r="D20" s="59">
        <f t="shared" si="9"/>
        <v>0.15247218040046748</v>
      </c>
      <c r="E20" s="59">
        <f t="shared" si="9"/>
        <v>0.14078316122973528</v>
      </c>
      <c r="F20" s="59">
        <f t="shared" si="9"/>
        <v>0.15269220336551115</v>
      </c>
      <c r="G20" s="59">
        <f t="shared" si="9"/>
        <v>0.15134552249231628</v>
      </c>
      <c r="H20" s="59">
        <f t="shared" si="9"/>
        <v>0.15599754986379435</v>
      </c>
      <c r="I20" s="59">
        <f t="shared" si="9"/>
        <v>0.15294386480147928</v>
      </c>
      <c r="J20" s="59">
        <f t="shared" si="9"/>
        <v>0.13452180220186494</v>
      </c>
      <c r="K20" s="59">
        <f t="shared" si="9"/>
        <v>0.13169646228433629</v>
      </c>
      <c r="L20" s="59">
        <f t="shared" si="9"/>
        <v>9.3161918440037711E-2</v>
      </c>
      <c r="M20" s="60">
        <f t="shared" si="9"/>
        <v>0.10522277837039468</v>
      </c>
      <c r="N20" s="47"/>
    </row>
    <row r="21" spans="1:14" ht="12.95">
      <c r="A21" s="55" t="s">
        <v>302</v>
      </c>
      <c r="B21" s="56">
        <f>_xlfn.XLOOKUP($A21,Inputs!$A:$A,Inputs!B:B,,0)</f>
        <v>-107941</v>
      </c>
      <c r="C21" s="56">
        <f>_xlfn.XLOOKUP($A21,Inputs!$A:$A,Inputs!C:C,,0)</f>
        <v>-102786</v>
      </c>
      <c r="D21" s="56">
        <f>_xlfn.XLOOKUP($A21,Inputs!$A:$A,Inputs!D:D,,0)</f>
        <v>-75797</v>
      </c>
      <c r="E21" s="56">
        <f>_xlfn.XLOOKUP($A21,Inputs!$A:$A,Inputs!E:E,,0)</f>
        <v>-78982</v>
      </c>
      <c r="F21" s="56">
        <f>_xlfn.XLOOKUP($A21,Inputs!$A:$A,Inputs!F:F,,0)</f>
        <v>-79645</v>
      </c>
      <c r="G21" s="56">
        <f>_xlfn.XLOOKUP($A21,Inputs!$A:$A,Inputs!G:G,,0)</f>
        <v>-56908</v>
      </c>
      <c r="H21" s="56">
        <f>_xlfn.XLOOKUP($A21,Inputs!$A:$A,Inputs!H:H,,0)</f>
        <v>-70688</v>
      </c>
      <c r="I21" s="56">
        <f>_xlfn.XLOOKUP($A21,Inputs!$A:$A,Inputs!I:I,,0)</f>
        <v>-64090</v>
      </c>
      <c r="J21" s="56">
        <f>_xlfn.XLOOKUP($A21,Inputs!$A:$A,Inputs!J:J,,0)</f>
        <v>-67965</v>
      </c>
      <c r="K21" s="56">
        <f>_xlfn.XLOOKUP($A21,Inputs!$A:$A,Inputs!K:K,,0)</f>
        <v>-55959</v>
      </c>
      <c r="L21" s="56">
        <f>_xlfn.XLOOKUP($A21,Inputs!$A:$A,Inputs!L:L,,0)</f>
        <v>-34336</v>
      </c>
      <c r="M21" s="57">
        <f>_xlfn.XLOOKUP($A21,Inputs!$A:$A,Inputs!M:M,,0)</f>
        <v>-35948</v>
      </c>
      <c r="N21" s="47"/>
    </row>
    <row r="22" spans="1:14" ht="12.95">
      <c r="A22" s="58" t="s">
        <v>585</v>
      </c>
      <c r="B22" s="59">
        <f t="shared" ref="B22:M22" si="10">IFERROR(B21/B$5,"-")</f>
        <v>-2.7110105591300736E-2</v>
      </c>
      <c r="C22" s="59">
        <f t="shared" si="10"/>
        <v>-3.305966409636725E-2</v>
      </c>
      <c r="D22" s="59">
        <f t="shared" si="10"/>
        <v>-3.0399224187510478E-2</v>
      </c>
      <c r="E22" s="59">
        <f t="shared" si="10"/>
        <v>-3.0969629122791196E-2</v>
      </c>
      <c r="F22" s="59">
        <f t="shared" si="10"/>
        <v>-3.2100564707153133E-2</v>
      </c>
      <c r="G22" s="59">
        <f t="shared" si="10"/>
        <v>-2.4844579491478065E-2</v>
      </c>
      <c r="H22" s="59">
        <f t="shared" si="10"/>
        <v>-3.4583711682374674E-2</v>
      </c>
      <c r="I22" s="59">
        <f t="shared" si="10"/>
        <v>-3.1359926720820316E-2</v>
      </c>
      <c r="J22" s="59">
        <f t="shared" si="10"/>
        <v>-3.5490620690303405E-2</v>
      </c>
      <c r="K22" s="59">
        <f t="shared" si="10"/>
        <v>-3.1302599627785525E-2</v>
      </c>
      <c r="L22" s="59">
        <f t="shared" si="10"/>
        <v>-2.6598435358814721E-2</v>
      </c>
      <c r="M22" s="60">
        <f t="shared" si="10"/>
        <v>-2.9497005005333553E-2</v>
      </c>
      <c r="N22" s="47"/>
    </row>
    <row r="23" spans="1:14" ht="12.95">
      <c r="A23" s="55" t="s">
        <v>475</v>
      </c>
      <c r="B23" s="56">
        <f>_xlfn.XLOOKUP($A23,Inputs!$A:$A,Inputs!B:B,,0)</f>
        <v>257755</v>
      </c>
      <c r="C23" s="56">
        <f>_xlfn.XLOOKUP($A23,Inputs!$A:$A,Inputs!C:C,,0)</f>
        <v>217710</v>
      </c>
      <c r="D23" s="56">
        <f>_xlfn.XLOOKUP($A23,Inputs!$A:$A,Inputs!D:D,,0)</f>
        <v>156250</v>
      </c>
      <c r="E23" s="56">
        <f>_xlfn.XLOOKUP($A23,Inputs!$A:$A,Inputs!E:E,,0)</f>
        <v>170732</v>
      </c>
      <c r="F23" s="56">
        <f>_xlfn.XLOOKUP($A23,Inputs!$A:$A,Inputs!F:F,,0)</f>
        <v>189049</v>
      </c>
      <c r="G23" s="56">
        <f>_xlfn.XLOOKUP($A23,Inputs!$A:$A,Inputs!G:G,,0)</f>
        <v>189053</v>
      </c>
      <c r="H23" s="56">
        <f>_xlfn.XLOOKUP($A23,Inputs!$A:$A,Inputs!H:H,,0)</f>
        <v>153939</v>
      </c>
      <c r="I23" s="56">
        <f>_xlfn.XLOOKUP($A23,Inputs!$A:$A,Inputs!I:I,,0)</f>
        <v>136988</v>
      </c>
      <c r="J23" s="56">
        <f>_xlfn.XLOOKUP($A23,Inputs!$A:$A,Inputs!J:J,,0)</f>
        <v>119675</v>
      </c>
      <c r="K23" s="56">
        <f>_xlfn.XLOOKUP($A23,Inputs!$A:$A,Inputs!K:K,,0)</f>
        <v>92787</v>
      </c>
      <c r="L23" s="56">
        <f>_xlfn.XLOOKUP($A23,Inputs!$A:$A,Inputs!L:L,,0)</f>
        <v>43585</v>
      </c>
      <c r="M23" s="57">
        <f>_xlfn.XLOOKUP($A23,Inputs!$A:$A,Inputs!M:M,,0)</f>
        <v>41173</v>
      </c>
      <c r="N23" s="47"/>
    </row>
    <row r="24" spans="1:14" ht="12.95">
      <c r="A24" s="58" t="s">
        <v>579</v>
      </c>
      <c r="B24" s="59">
        <f t="shared" ref="B24:M24" si="11">IFERROR(B23/B$5,"-")</f>
        <v>6.4736895773484779E-2</v>
      </c>
      <c r="C24" s="59">
        <f t="shared" si="11"/>
        <v>7.0023344331135703E-2</v>
      </c>
      <c r="D24" s="59">
        <f t="shared" si="11"/>
        <v>6.2665788610347536E-2</v>
      </c>
      <c r="E24" s="59">
        <f t="shared" si="11"/>
        <v>6.694571825722806E-2</v>
      </c>
      <c r="F24" s="59">
        <f t="shared" si="11"/>
        <v>7.6195362638239589E-2</v>
      </c>
      <c r="G24" s="59">
        <f t="shared" si="11"/>
        <v>8.253571179100308E-2</v>
      </c>
      <c r="H24" s="59">
        <f t="shared" si="11"/>
        <v>7.5313801390237023E-2</v>
      </c>
      <c r="I24" s="59">
        <f t="shared" si="11"/>
        <v>6.7029702631170765E-2</v>
      </c>
      <c r="J24" s="59">
        <f t="shared" si="11"/>
        <v>6.2493048350063418E-2</v>
      </c>
      <c r="K24" s="59">
        <f t="shared" si="11"/>
        <v>5.1903613568207718E-2</v>
      </c>
      <c r="L24" s="59">
        <f t="shared" si="11"/>
        <v>3.376318747419442E-2</v>
      </c>
      <c r="M24" s="60">
        <f t="shared" si="11"/>
        <v>3.3784360384015756E-2</v>
      </c>
      <c r="N24" s="47"/>
    </row>
    <row r="25" spans="1:14" ht="12.95">
      <c r="A25" s="55" t="s">
        <v>577</v>
      </c>
      <c r="B25" s="59">
        <f t="shared" ref="B25:M25" si="12">IFERROR(B24/C24-1,"-")</f>
        <v>-7.5495516647300698E-2</v>
      </c>
      <c r="C25" s="59">
        <f t="shared" si="12"/>
        <v>0.11740944914197193</v>
      </c>
      <c r="D25" s="59">
        <f t="shared" si="12"/>
        <v>-6.3931342560783144E-2</v>
      </c>
      <c r="E25" s="59">
        <f t="shared" si="12"/>
        <v>-0.12139379695490127</v>
      </c>
      <c r="F25" s="59">
        <f t="shared" si="12"/>
        <v>-7.6819464146847372E-2</v>
      </c>
      <c r="G25" s="59">
        <f t="shared" si="12"/>
        <v>9.5890929251411183E-2</v>
      </c>
      <c r="H25" s="59">
        <f t="shared" si="12"/>
        <v>0.12358847546511287</v>
      </c>
      <c r="I25" s="59">
        <f t="shared" si="12"/>
        <v>7.2594542927313377E-2</v>
      </c>
      <c r="J25" s="59">
        <f t="shared" si="12"/>
        <v>0.20402114715847053</v>
      </c>
      <c r="K25" s="59">
        <f t="shared" si="12"/>
        <v>0.53728416808626944</v>
      </c>
      <c r="L25" s="59">
        <f t="shared" si="12"/>
        <v>-6.2670743446580079E-4</v>
      </c>
      <c r="M25" s="60" t="str">
        <f t="shared" si="12"/>
        <v>-</v>
      </c>
      <c r="N25" s="47"/>
    </row>
    <row r="26" spans="1:14" ht="12.95">
      <c r="A26" s="58" t="s">
        <v>586</v>
      </c>
      <c r="B26" s="62">
        <f>B39-C39</f>
        <v>-199956</v>
      </c>
      <c r="C26" s="62">
        <f t="shared" ref="C26:M26" si="13">C39-D39</f>
        <v>81521</v>
      </c>
      <c r="D26" s="62">
        <f t="shared" si="13"/>
        <v>365305</v>
      </c>
      <c r="E26" s="62">
        <f t="shared" si="13"/>
        <v>3012</v>
      </c>
      <c r="F26" s="62">
        <f t="shared" si="13"/>
        <v>10754</v>
      </c>
      <c r="G26" s="62">
        <f t="shared" si="13"/>
        <v>12934</v>
      </c>
      <c r="H26" s="62">
        <f t="shared" si="13"/>
        <v>52888</v>
      </c>
      <c r="I26" s="62">
        <f t="shared" si="13"/>
        <v>4256</v>
      </c>
      <c r="J26" s="62">
        <f t="shared" si="13"/>
        <v>29654</v>
      </c>
      <c r="K26" s="62">
        <f t="shared" si="13"/>
        <v>71724</v>
      </c>
      <c r="L26" s="62">
        <f t="shared" si="13"/>
        <v>49923</v>
      </c>
      <c r="M26" s="63">
        <f t="shared" si="13"/>
        <v>135648</v>
      </c>
      <c r="N26" s="47"/>
    </row>
    <row r="27" spans="1:14" ht="12.95">
      <c r="A27" s="55" t="s">
        <v>142</v>
      </c>
      <c r="B27" s="56">
        <f>_xlfn.XLOOKUP($A27,Inputs!$A:$A,Inputs!B:B,,0)</f>
        <v>-61468</v>
      </c>
      <c r="C27" s="56">
        <f>_xlfn.XLOOKUP($A27,Inputs!$A:$A,Inputs!C:C,,0)</f>
        <v>-49746</v>
      </c>
      <c r="D27" s="56">
        <f>_xlfn.XLOOKUP($A27,Inputs!$A:$A,Inputs!D:D,,0)</f>
        <v>-46721</v>
      </c>
      <c r="E27" s="56">
        <f>_xlfn.XLOOKUP($A27,Inputs!$A:$A,Inputs!E:E,,0)</f>
        <v>-49730</v>
      </c>
      <c r="F27" s="56">
        <f>_xlfn.XLOOKUP($A27,Inputs!$A:$A,Inputs!F:F,,0)</f>
        <v>-42407</v>
      </c>
      <c r="G27" s="56">
        <f>_xlfn.XLOOKUP($A27,Inputs!$A:$A,Inputs!G:G,,0)</f>
        <v>-39473</v>
      </c>
      <c r="H27" s="56">
        <f>_xlfn.XLOOKUP($A27,Inputs!$A:$A,Inputs!H:H,,0)</f>
        <v>-36518</v>
      </c>
      <c r="I27" s="56">
        <f>_xlfn.XLOOKUP($A27,Inputs!$A:$A,Inputs!I:I,,0)</f>
        <v>-33567</v>
      </c>
      <c r="J27" s="56">
        <f>_xlfn.XLOOKUP($A27,Inputs!$A:$A,Inputs!J:J,,0)</f>
        <v>-19545</v>
      </c>
      <c r="K27" s="56">
        <f>_xlfn.XLOOKUP($A27,Inputs!$A:$A,Inputs!K:K,,0)</f>
        <v>-11946</v>
      </c>
      <c r="L27" s="56">
        <f>_xlfn.XLOOKUP($A27,Inputs!$A:$A,Inputs!L:L,,0)</f>
        <v>-10479</v>
      </c>
      <c r="M27" s="57">
        <f>_xlfn.XLOOKUP($A27,Inputs!$A:$A,Inputs!M:M,,0)</f>
        <v>-10489</v>
      </c>
      <c r="N27" s="47"/>
    </row>
    <row r="28" spans="1:14" ht="12.95">
      <c r="A28" s="61" t="s">
        <v>587</v>
      </c>
      <c r="B28" s="56">
        <f>_xlfn.XLOOKUP($A28,Inputs!$A:$A,Inputs!B:B,,0)</f>
        <v>0</v>
      </c>
      <c r="C28" s="56">
        <f>_xlfn.XLOOKUP($A28,Inputs!$A:$A,Inputs!C:C,,0)</f>
        <v>0</v>
      </c>
      <c r="D28" s="56">
        <f>_xlfn.XLOOKUP($A28,Inputs!$A:$A,Inputs!D:D,,0)</f>
        <v>0</v>
      </c>
      <c r="E28" s="56">
        <f>_xlfn.XLOOKUP($A28,Inputs!$A:$A,Inputs!E:E,,0)</f>
        <v>0</v>
      </c>
      <c r="F28" s="56">
        <f>_xlfn.XLOOKUP($A28,Inputs!$A:$A,Inputs!F:F,,0)</f>
        <v>0</v>
      </c>
      <c r="G28" s="56">
        <f>_xlfn.XLOOKUP($A28,Inputs!$A:$A,Inputs!G:G,,0)</f>
        <v>0</v>
      </c>
      <c r="H28" s="56">
        <f>_xlfn.XLOOKUP($A28,Inputs!$A:$A,Inputs!H:H,,0)</f>
        <v>0</v>
      </c>
      <c r="I28" s="56">
        <f>_xlfn.XLOOKUP($A28,Inputs!$A:$A,Inputs!I:I,,0)</f>
        <v>0</v>
      </c>
      <c r="J28" s="56">
        <f>_xlfn.XLOOKUP($A28,Inputs!$A:$A,Inputs!J:J,,0)</f>
        <v>0</v>
      </c>
      <c r="K28" s="56">
        <f>_xlfn.XLOOKUP($A28,Inputs!$A:$A,Inputs!K:K,,0)</f>
        <v>0</v>
      </c>
      <c r="L28" s="56">
        <f>_xlfn.XLOOKUP($A28,Inputs!$A:$A,Inputs!L:L,,0)</f>
        <v>0</v>
      </c>
      <c r="M28" s="57">
        <f>_xlfn.XLOOKUP($A28,Inputs!$A:$A,Inputs!M:M,,0)</f>
        <v>0</v>
      </c>
      <c r="N28" s="47"/>
    </row>
    <row r="29" spans="1:14" ht="12.95">
      <c r="A29" s="55" t="s">
        <v>620</v>
      </c>
      <c r="B29" s="62">
        <f t="shared" ref="B29:M29" si="14">SUM(B26:B28)</f>
        <v>-261424</v>
      </c>
      <c r="C29" s="62">
        <f t="shared" si="14"/>
        <v>31775</v>
      </c>
      <c r="D29" s="62">
        <f t="shared" si="14"/>
        <v>318584</v>
      </c>
      <c r="E29" s="62">
        <f t="shared" si="14"/>
        <v>-46718</v>
      </c>
      <c r="F29" s="62">
        <f t="shared" si="14"/>
        <v>-31653</v>
      </c>
      <c r="G29" s="62">
        <f t="shared" si="14"/>
        <v>-26539</v>
      </c>
      <c r="H29" s="62">
        <f t="shared" si="14"/>
        <v>16370</v>
      </c>
      <c r="I29" s="62">
        <f t="shared" si="14"/>
        <v>-29311</v>
      </c>
      <c r="J29" s="62">
        <f t="shared" si="14"/>
        <v>10109</v>
      </c>
      <c r="K29" s="62">
        <f t="shared" si="14"/>
        <v>59778</v>
      </c>
      <c r="L29" s="62">
        <f t="shared" si="14"/>
        <v>39444</v>
      </c>
      <c r="M29" s="63">
        <f t="shared" si="14"/>
        <v>125159</v>
      </c>
      <c r="N29" s="47"/>
    </row>
    <row r="30" spans="1:14" ht="12.95">
      <c r="A30" s="61" t="s">
        <v>588</v>
      </c>
      <c r="B30" s="62">
        <f t="shared" ref="B30:M30" si="15">+B29-(B58-C29)</f>
        <v>-916376</v>
      </c>
      <c r="C30" s="62">
        <f t="shared" si="15"/>
        <v>-7589</v>
      </c>
      <c r="D30" s="62">
        <f t="shared" si="15"/>
        <v>-317691</v>
      </c>
      <c r="E30" s="62">
        <f t="shared" si="15"/>
        <v>-450492</v>
      </c>
      <c r="F30" s="62">
        <f t="shared" si="15"/>
        <v>-540246</v>
      </c>
      <c r="G30" s="62">
        <f t="shared" si="15"/>
        <v>-476750</v>
      </c>
      <c r="H30" s="62">
        <f t="shared" si="15"/>
        <v>-533932</v>
      </c>
      <c r="I30" s="62">
        <f t="shared" si="15"/>
        <v>-551368</v>
      </c>
      <c r="J30" s="62">
        <f t="shared" si="15"/>
        <v>-548884</v>
      </c>
      <c r="K30" s="62">
        <f t="shared" si="15"/>
        <v>-494578</v>
      </c>
      <c r="L30" s="62">
        <f t="shared" si="15"/>
        <v>-533764</v>
      </c>
      <c r="M30" s="63">
        <f t="shared" si="15"/>
        <v>-203397</v>
      </c>
      <c r="N30" s="47"/>
    </row>
    <row r="31" spans="1:14" ht="12.95">
      <c r="A31" s="55" t="s">
        <v>589</v>
      </c>
      <c r="B31" s="62">
        <f t="shared" ref="B31:M31" si="16">+B30+B33</f>
        <v>-951296</v>
      </c>
      <c r="C31" s="62">
        <f t="shared" si="16"/>
        <v>-53810</v>
      </c>
      <c r="D31" s="62">
        <f t="shared" si="16"/>
        <v>-361062</v>
      </c>
      <c r="E31" s="62">
        <f t="shared" si="16"/>
        <v>-491777</v>
      </c>
      <c r="F31" s="62">
        <f t="shared" si="16"/>
        <v>-614483</v>
      </c>
      <c r="G31" s="62">
        <f t="shared" si="16"/>
        <v>-513221</v>
      </c>
      <c r="H31" s="62">
        <f t="shared" si="16"/>
        <v>-565960</v>
      </c>
      <c r="I31" s="62">
        <f t="shared" si="16"/>
        <v>-557497</v>
      </c>
      <c r="J31" s="62">
        <f t="shared" si="16"/>
        <v>-549888</v>
      </c>
      <c r="K31" s="62">
        <f t="shared" si="16"/>
        <v>-520764</v>
      </c>
      <c r="L31" s="62">
        <f t="shared" si="16"/>
        <v>-698747</v>
      </c>
      <c r="M31" s="63">
        <f t="shared" si="16"/>
        <v>-223284</v>
      </c>
      <c r="N31" s="47"/>
    </row>
    <row r="32" spans="1:14" ht="12.95">
      <c r="A32" s="61" t="s">
        <v>139</v>
      </c>
      <c r="B32" s="56">
        <f>_xlfn.XLOOKUP($A32,Inputs!$A:$A,Inputs!B:B,,0)</f>
        <v>-175076</v>
      </c>
      <c r="C32" s="56">
        <f>_xlfn.XLOOKUP($A32,Inputs!$A:$A,Inputs!C:C,,0)</f>
        <v>-114106</v>
      </c>
      <c r="D32" s="56">
        <f>_xlfn.XLOOKUP($A32,Inputs!$A:$A,Inputs!D:D,,0)</f>
        <v>-104971</v>
      </c>
      <c r="E32" s="56">
        <f>_xlfn.XLOOKUP($A32,Inputs!$A:$A,Inputs!E:E,,0)</f>
        <v>-98094</v>
      </c>
      <c r="F32" s="56">
        <f>_xlfn.XLOOKUP($A32,Inputs!$A:$A,Inputs!F:F,,0)</f>
        <v>-85487</v>
      </c>
      <c r="G32" s="56">
        <f>_xlfn.XLOOKUP($A32,Inputs!$A:$A,Inputs!G:G,,0)</f>
        <v>-85679</v>
      </c>
      <c r="H32" s="56">
        <f>_xlfn.XLOOKUP($A32,Inputs!$A:$A,Inputs!H:H,,0)</f>
        <v>-88335</v>
      </c>
      <c r="I32" s="56">
        <f>_xlfn.XLOOKUP($A32,Inputs!$A:$A,Inputs!I:I,,0)</f>
        <v>-96696</v>
      </c>
      <c r="J32" s="56">
        <f>_xlfn.XLOOKUP($A32,Inputs!$A:$A,Inputs!J:J,,0)</f>
        <v>-71759</v>
      </c>
      <c r="K32" s="56">
        <f>_xlfn.XLOOKUP($A32,Inputs!$A:$A,Inputs!K:K,,0)</f>
        <v>-53647</v>
      </c>
      <c r="L32" s="56">
        <f>_xlfn.XLOOKUP($A32,Inputs!$A:$A,Inputs!L:L,,0)</f>
        <v>-53045</v>
      </c>
      <c r="M32" s="57">
        <f>_xlfn.XLOOKUP($A32,Inputs!$A:$A,Inputs!M:M,,0)</f>
        <v>-42459</v>
      </c>
      <c r="N32" s="47"/>
    </row>
    <row r="33" spans="1:14" ht="12.95">
      <c r="A33" s="55" t="s">
        <v>140</v>
      </c>
      <c r="B33" s="56">
        <f>_xlfn.XLOOKUP($A33,Inputs!$A:$A,Inputs!B:B,,0)</f>
        <v>-34920</v>
      </c>
      <c r="C33" s="56">
        <f>_xlfn.XLOOKUP($A33,Inputs!$A:$A,Inputs!C:C,,0)</f>
        <v>-46221</v>
      </c>
      <c r="D33" s="56">
        <f>_xlfn.XLOOKUP($A33,Inputs!$A:$A,Inputs!D:D,,0)</f>
        <v>-43371</v>
      </c>
      <c r="E33" s="56">
        <f>_xlfn.XLOOKUP($A33,Inputs!$A:$A,Inputs!E:E,,0)</f>
        <v>-41285</v>
      </c>
      <c r="F33" s="56">
        <f>_xlfn.XLOOKUP($A33,Inputs!$A:$A,Inputs!F:F,,0)</f>
        <v>-74237</v>
      </c>
      <c r="G33" s="56">
        <f>_xlfn.XLOOKUP($A33,Inputs!$A:$A,Inputs!G:G,,0)</f>
        <v>-36471</v>
      </c>
      <c r="H33" s="56">
        <f>_xlfn.XLOOKUP($A33,Inputs!$A:$A,Inputs!H:H,,0)</f>
        <v>-32028</v>
      </c>
      <c r="I33" s="56">
        <f>_xlfn.XLOOKUP($A33,Inputs!$A:$A,Inputs!I:I,,0)</f>
        <v>-6129</v>
      </c>
      <c r="J33" s="56">
        <f>_xlfn.XLOOKUP($A33,Inputs!$A:$A,Inputs!J:J,,0)</f>
        <v>-1004</v>
      </c>
      <c r="K33" s="56">
        <f>_xlfn.XLOOKUP($A33,Inputs!$A:$A,Inputs!K:K,,0)</f>
        <v>-26186</v>
      </c>
      <c r="L33" s="56">
        <f>_xlfn.XLOOKUP($A33,Inputs!$A:$A,Inputs!L:L,,0)</f>
        <v>-164983</v>
      </c>
      <c r="M33" s="57">
        <f>_xlfn.XLOOKUP($A33,Inputs!$A:$A,Inputs!M:M,,0)</f>
        <v>-19887</v>
      </c>
      <c r="N33" s="47"/>
    </row>
    <row r="34" spans="1:14" ht="12.95">
      <c r="A34" s="58" t="s">
        <v>135</v>
      </c>
      <c r="B34" s="62">
        <f t="shared" ref="B34:M34" si="17">+B32+B33</f>
        <v>-209996</v>
      </c>
      <c r="C34" s="62">
        <f t="shared" si="17"/>
        <v>-160327</v>
      </c>
      <c r="D34" s="62">
        <f t="shared" si="17"/>
        <v>-148342</v>
      </c>
      <c r="E34" s="62">
        <f t="shared" si="17"/>
        <v>-139379</v>
      </c>
      <c r="F34" s="62">
        <f t="shared" si="17"/>
        <v>-159724</v>
      </c>
      <c r="G34" s="62">
        <f t="shared" si="17"/>
        <v>-122150</v>
      </c>
      <c r="H34" s="62">
        <f t="shared" si="17"/>
        <v>-120363</v>
      </c>
      <c r="I34" s="62">
        <f t="shared" si="17"/>
        <v>-102825</v>
      </c>
      <c r="J34" s="62">
        <f t="shared" si="17"/>
        <v>-72763</v>
      </c>
      <c r="K34" s="62">
        <f t="shared" si="17"/>
        <v>-79833</v>
      </c>
      <c r="L34" s="62">
        <f t="shared" si="17"/>
        <v>-218028</v>
      </c>
      <c r="M34" s="63">
        <f t="shared" si="17"/>
        <v>-62346</v>
      </c>
      <c r="N34" s="47"/>
    </row>
    <row r="35" spans="1:14" ht="12.95">
      <c r="A35" s="55" t="s">
        <v>133</v>
      </c>
      <c r="B35" s="62">
        <f t="shared" ref="B35:M35" si="18">+B27+B28</f>
        <v>-61468</v>
      </c>
      <c r="C35" s="62">
        <f t="shared" si="18"/>
        <v>-49746</v>
      </c>
      <c r="D35" s="62">
        <f t="shared" si="18"/>
        <v>-46721</v>
      </c>
      <c r="E35" s="62">
        <f t="shared" si="18"/>
        <v>-49730</v>
      </c>
      <c r="F35" s="62">
        <f t="shared" si="18"/>
        <v>-42407</v>
      </c>
      <c r="G35" s="62">
        <f t="shared" si="18"/>
        <v>-39473</v>
      </c>
      <c r="H35" s="62">
        <f t="shared" si="18"/>
        <v>-36518</v>
      </c>
      <c r="I35" s="62">
        <f t="shared" si="18"/>
        <v>-33567</v>
      </c>
      <c r="J35" s="62">
        <f t="shared" si="18"/>
        <v>-19545</v>
      </c>
      <c r="K35" s="62">
        <f t="shared" si="18"/>
        <v>-11946</v>
      </c>
      <c r="L35" s="62">
        <f t="shared" si="18"/>
        <v>-10479</v>
      </c>
      <c r="M35" s="63">
        <f t="shared" si="18"/>
        <v>-10489</v>
      </c>
      <c r="N35" s="47"/>
    </row>
    <row r="36" spans="1:14" ht="12.95">
      <c r="A36" s="61" t="s">
        <v>590</v>
      </c>
      <c r="B36" s="59">
        <f>IFERROR(B35/B23,"-")</f>
        <v>-0.23847452037787822</v>
      </c>
      <c r="C36" s="59">
        <f t="shared" ref="C36:M36" si="19">IFERROR(C35/C23,"-")</f>
        <v>-0.22849662394929035</v>
      </c>
      <c r="D36" s="59">
        <f t="shared" si="19"/>
        <v>-0.29901440000000001</v>
      </c>
      <c r="E36" s="59">
        <f t="shared" si="19"/>
        <v>-0.29127521495677439</v>
      </c>
      <c r="F36" s="59">
        <f t="shared" si="19"/>
        <v>-0.22431750498547995</v>
      </c>
      <c r="G36" s="59">
        <f t="shared" si="19"/>
        <v>-0.20879330134935706</v>
      </c>
      <c r="H36" s="59">
        <f t="shared" si="19"/>
        <v>-0.23722383541532685</v>
      </c>
      <c r="I36" s="59">
        <f t="shared" si="19"/>
        <v>-0.24503606155283675</v>
      </c>
      <c r="J36" s="59">
        <f t="shared" si="19"/>
        <v>-0.16331731773553373</v>
      </c>
      <c r="K36" s="59">
        <f t="shared" si="19"/>
        <v>-0.12874648388244042</v>
      </c>
      <c r="L36" s="59">
        <f t="shared" si="19"/>
        <v>-0.24042675232304692</v>
      </c>
      <c r="M36" s="60">
        <f t="shared" si="19"/>
        <v>-0.25475432929346903</v>
      </c>
      <c r="N36" s="47"/>
    </row>
    <row r="37" spans="1:14" ht="11.1">
      <c r="A37" s="47"/>
      <c r="B37" s="47"/>
      <c r="C37" s="47"/>
      <c r="D37" s="47"/>
      <c r="E37" s="47"/>
      <c r="F37" s="47"/>
      <c r="G37" s="47"/>
      <c r="H37" s="47"/>
      <c r="I37" s="47"/>
      <c r="J37" s="47"/>
      <c r="K37" s="47"/>
      <c r="L37" s="47"/>
      <c r="M37" s="47"/>
      <c r="N37" s="47"/>
    </row>
    <row r="38" spans="1:14" ht="20.100000000000001">
      <c r="A38" s="1101" t="s">
        <v>591</v>
      </c>
      <c r="B38" s="1101"/>
      <c r="C38" s="1101"/>
      <c r="D38" s="1101"/>
      <c r="E38" s="1101"/>
      <c r="F38" s="1101"/>
      <c r="G38" s="1101"/>
      <c r="H38" s="1101"/>
      <c r="I38" s="1101"/>
      <c r="J38" s="1101"/>
      <c r="K38" s="1101"/>
      <c r="L38" s="1101"/>
      <c r="M38" s="1101"/>
      <c r="N38" s="47"/>
    </row>
    <row r="39" spans="1:14" ht="12.95">
      <c r="A39" s="64" t="s">
        <v>304</v>
      </c>
      <c r="B39" s="56">
        <f>_xlfn.XLOOKUP($A39,Inputs!$A:$A,Inputs!B:B,,0)</f>
        <v>617663</v>
      </c>
      <c r="C39" s="56">
        <f>_xlfn.XLOOKUP($A39,Inputs!$A:$A,Inputs!C:C,,0)</f>
        <v>817619</v>
      </c>
      <c r="D39" s="56">
        <f>_xlfn.XLOOKUP($A39,Inputs!$A:$A,Inputs!D:D,,0)</f>
        <v>736098</v>
      </c>
      <c r="E39" s="56">
        <f>_xlfn.XLOOKUP($A39,Inputs!$A:$A,Inputs!E:E,,0)</f>
        <v>370793</v>
      </c>
      <c r="F39" s="56">
        <f>_xlfn.XLOOKUP($A39,Inputs!$A:$A,Inputs!F:F,,0)</f>
        <v>367781</v>
      </c>
      <c r="G39" s="56">
        <f>_xlfn.XLOOKUP($A39,Inputs!$A:$A,Inputs!G:G,,0)</f>
        <v>357027</v>
      </c>
      <c r="H39" s="56">
        <f>_xlfn.XLOOKUP($A39,Inputs!$A:$A,Inputs!H:H,,0)</f>
        <v>344093</v>
      </c>
      <c r="I39" s="56">
        <f>_xlfn.XLOOKUP($A39,Inputs!$A:$A,Inputs!I:I,,0)</f>
        <v>291205</v>
      </c>
      <c r="J39" s="56">
        <f>_xlfn.XLOOKUP($A39,Inputs!$A:$A,Inputs!J:J,,0)</f>
        <v>286949</v>
      </c>
      <c r="K39" s="56">
        <f>_xlfn.XLOOKUP($A39,Inputs!$A:$A,Inputs!K:K,,0)</f>
        <v>257295</v>
      </c>
      <c r="L39" s="56">
        <f>_xlfn.XLOOKUP($A39,Inputs!$A:$A,Inputs!L:L,,0)</f>
        <v>185571</v>
      </c>
      <c r="M39" s="57">
        <f>_xlfn.XLOOKUP($A39,Inputs!$A:$A,Inputs!M:M,,0)</f>
        <v>135648</v>
      </c>
      <c r="N39" s="47"/>
    </row>
    <row r="40" spans="1:14" ht="12.95">
      <c r="A40" s="58" t="s">
        <v>592</v>
      </c>
      <c r="B40" s="56">
        <f>_xlfn.XLOOKUP($A40,Inputs!$A:$A,Inputs!B:B,,0)</f>
        <v>687135</v>
      </c>
      <c r="C40" s="56">
        <f>_xlfn.XLOOKUP($A40,Inputs!$A:$A,Inputs!C:C,,0)</f>
        <v>578148</v>
      </c>
      <c r="D40" s="56">
        <f>_xlfn.XLOOKUP($A40,Inputs!$A:$A,Inputs!D:D,,0)</f>
        <v>455256</v>
      </c>
      <c r="E40" s="56">
        <f>_xlfn.XLOOKUP($A40,Inputs!$A:$A,Inputs!E:E,,0)</f>
        <v>430194</v>
      </c>
      <c r="F40" s="56">
        <f>_xlfn.XLOOKUP($A40,Inputs!$A:$A,Inputs!F:F,,0)</f>
        <v>438684</v>
      </c>
      <c r="G40" s="56">
        <f>_xlfn.XLOOKUP($A40,Inputs!$A:$A,Inputs!G:G,,0)</f>
        <v>392331</v>
      </c>
      <c r="H40" s="56">
        <f>_xlfn.XLOOKUP($A40,Inputs!$A:$A,Inputs!H:H,,0)</f>
        <v>360845</v>
      </c>
      <c r="I40" s="56">
        <f>_xlfn.XLOOKUP($A40,Inputs!$A:$A,Inputs!I:I,,0)</f>
        <v>349367</v>
      </c>
      <c r="J40" s="56">
        <f>_xlfn.XLOOKUP($A40,Inputs!$A:$A,Inputs!J:J,,0)</f>
        <v>347584</v>
      </c>
      <c r="K40" s="56">
        <f>_xlfn.XLOOKUP($A40,Inputs!$A:$A,Inputs!K:K,,0)</f>
        <v>310986</v>
      </c>
      <c r="L40" s="56">
        <f>_xlfn.XLOOKUP($A40,Inputs!$A:$A,Inputs!L:L,,0)</f>
        <v>257096</v>
      </c>
      <c r="M40" s="57">
        <f>_xlfn.XLOOKUP($A40,Inputs!$A:$A,Inputs!M:M,,0)</f>
        <v>204269</v>
      </c>
      <c r="N40" s="47"/>
    </row>
    <row r="41" spans="1:14" ht="12.95">
      <c r="A41" s="64" t="s">
        <v>306</v>
      </c>
      <c r="B41" s="56">
        <f>_xlfn.XLOOKUP($A41,Inputs!$A:$A,Inputs!B:B,,0)</f>
        <v>993383</v>
      </c>
      <c r="C41" s="56">
        <f>_xlfn.XLOOKUP($A41,Inputs!$A:$A,Inputs!C:C,,0)</f>
        <v>671461</v>
      </c>
      <c r="D41" s="56">
        <f>_xlfn.XLOOKUP($A41,Inputs!$A:$A,Inputs!D:D,,0)</f>
        <v>469396</v>
      </c>
      <c r="E41" s="56">
        <f>_xlfn.XLOOKUP($A41,Inputs!$A:$A,Inputs!E:E,,0)</f>
        <v>433782</v>
      </c>
      <c r="F41" s="56">
        <f>_xlfn.XLOOKUP($A41,Inputs!$A:$A,Inputs!F:F,,0)</f>
        <v>436356</v>
      </c>
      <c r="G41" s="56">
        <f>_xlfn.XLOOKUP($A41,Inputs!$A:$A,Inputs!G:G,,0)</f>
        <v>387225</v>
      </c>
      <c r="H41" s="56">
        <f>_xlfn.XLOOKUP($A41,Inputs!$A:$A,Inputs!H:H,,0)</f>
        <v>358301</v>
      </c>
      <c r="I41" s="56">
        <f>_xlfn.XLOOKUP($A41,Inputs!$A:$A,Inputs!I:I,,0)</f>
        <v>333650</v>
      </c>
      <c r="J41" s="56">
        <f>_xlfn.XLOOKUP($A41,Inputs!$A:$A,Inputs!J:J,,0)</f>
        <v>354158</v>
      </c>
      <c r="K41" s="56">
        <f>_xlfn.XLOOKUP($A41,Inputs!$A:$A,Inputs!K:K,,0)</f>
        <v>317559</v>
      </c>
      <c r="L41" s="56">
        <f>_xlfn.XLOOKUP($A41,Inputs!$A:$A,Inputs!L:L,,0)</f>
        <v>285167</v>
      </c>
      <c r="M41" s="57">
        <f>_xlfn.XLOOKUP($A41,Inputs!$A:$A,Inputs!M:M,,0)</f>
        <v>243598</v>
      </c>
      <c r="N41" s="47"/>
    </row>
    <row r="42" spans="1:14" ht="12.95">
      <c r="A42" s="58" t="s">
        <v>593</v>
      </c>
      <c r="B42" s="56">
        <f>_xlfn.XLOOKUP($A42,Inputs!$A:$A,Inputs!B:B,,0)</f>
        <v>900944</v>
      </c>
      <c r="C42" s="56">
        <f>_xlfn.XLOOKUP($A42,Inputs!$A:$A,Inputs!C:C,,0)</f>
        <v>743364</v>
      </c>
      <c r="D42" s="56">
        <f>_xlfn.XLOOKUP($A42,Inputs!$A:$A,Inputs!D:D,,0)</f>
        <v>647410</v>
      </c>
      <c r="E42" s="56">
        <f>_xlfn.XLOOKUP($A42,Inputs!$A:$A,Inputs!E:E,,0)</f>
        <v>579980</v>
      </c>
      <c r="F42" s="56">
        <f>_xlfn.XLOOKUP($A42,Inputs!$A:$A,Inputs!F:F,,0)</f>
        <v>482962</v>
      </c>
      <c r="G42" s="56">
        <f>_xlfn.XLOOKUP($A42,Inputs!$A:$A,Inputs!G:G,,0)</f>
        <v>454834</v>
      </c>
      <c r="H42" s="56">
        <f>_xlfn.XLOOKUP($A42,Inputs!$A:$A,Inputs!H:H,,0)</f>
        <v>424527</v>
      </c>
      <c r="I42" s="56">
        <f>_xlfn.XLOOKUP($A42,Inputs!$A:$A,Inputs!I:I,,0)</f>
        <v>385099</v>
      </c>
      <c r="J42" s="56">
        <f>_xlfn.XLOOKUP($A42,Inputs!$A:$A,Inputs!J:J,,0)</f>
        <v>347755</v>
      </c>
      <c r="K42" s="56">
        <f>_xlfn.XLOOKUP($A42,Inputs!$A:$A,Inputs!K:K,,0)</f>
        <v>299716</v>
      </c>
      <c r="L42" s="56">
        <f>_xlfn.XLOOKUP($A42,Inputs!$A:$A,Inputs!L:L,,0)</f>
        <v>274201</v>
      </c>
      <c r="M42" s="57">
        <f>_xlfn.XLOOKUP($A42,Inputs!$A:$A,Inputs!M:M,,0)</f>
        <v>224357</v>
      </c>
      <c r="N42" s="47"/>
    </row>
    <row r="43" spans="1:14" ht="12.95">
      <c r="A43" s="64" t="s">
        <v>594</v>
      </c>
      <c r="B43" s="56">
        <f>_xlfn.XLOOKUP($A43,Inputs!$A:$A,Inputs!B:B,,0)</f>
        <v>917696</v>
      </c>
      <c r="C43" s="56">
        <f>_xlfn.XLOOKUP($A43,Inputs!$A:$A,Inputs!C:C,,0)</f>
        <v>796178</v>
      </c>
      <c r="D43" s="56">
        <f>_xlfn.XLOOKUP($A43,Inputs!$A:$A,Inputs!D:D,,0)</f>
        <v>701296</v>
      </c>
      <c r="E43" s="56">
        <f>_xlfn.XLOOKUP($A43,Inputs!$A:$A,Inputs!E:E,,0)</f>
        <v>669611</v>
      </c>
      <c r="F43" s="56">
        <f>_xlfn.XLOOKUP($A43,Inputs!$A:$A,Inputs!F:F,,0)</f>
        <v>663256</v>
      </c>
      <c r="G43" s="56">
        <f>_xlfn.XLOOKUP($A43,Inputs!$A:$A,Inputs!G:G,,0)</f>
        <v>573160</v>
      </c>
      <c r="H43" s="56">
        <f>_xlfn.XLOOKUP($A43,Inputs!$A:$A,Inputs!H:H,,0)</f>
        <v>613573</v>
      </c>
      <c r="I43" s="56">
        <f>_xlfn.XLOOKUP($A43,Inputs!$A:$A,Inputs!I:I,,0)</f>
        <v>596434</v>
      </c>
      <c r="J43" s="56">
        <f>_xlfn.XLOOKUP($A43,Inputs!$A:$A,Inputs!J:J,,0)</f>
        <v>668160</v>
      </c>
      <c r="K43" s="56">
        <f>_xlfn.XLOOKUP($A43,Inputs!$A:$A,Inputs!K:K,,0)</f>
        <v>633349</v>
      </c>
      <c r="L43" s="56">
        <f>_xlfn.XLOOKUP($A43,Inputs!$A:$A,Inputs!L:L,,0)</f>
        <v>586003</v>
      </c>
      <c r="M43" s="57">
        <f>_xlfn.XLOOKUP($A43,Inputs!$A:$A,Inputs!M:M,,0)</f>
        <v>234440</v>
      </c>
      <c r="N43" s="47"/>
    </row>
    <row r="44" spans="1:14" ht="12.95">
      <c r="A44" s="65" t="s">
        <v>46</v>
      </c>
      <c r="B44" s="66">
        <f>_xlfn.XLOOKUP($A44,Inputs!$A:$A,Inputs!B:B,,0)</f>
        <v>4303682</v>
      </c>
      <c r="C44" s="66">
        <f>_xlfn.XLOOKUP($A44,Inputs!$A:$A,Inputs!C:C,,0)</f>
        <v>3823038</v>
      </c>
      <c r="D44" s="66">
        <f>_xlfn.XLOOKUP($A44,Inputs!$A:$A,Inputs!D:D,,0)</f>
        <v>3239662</v>
      </c>
      <c r="E44" s="66">
        <f>_xlfn.XLOOKUP($A44,Inputs!$A:$A,Inputs!E:E,,0)</f>
        <v>2667512</v>
      </c>
      <c r="F44" s="66">
        <f>_xlfn.XLOOKUP($A44,Inputs!$A:$A,Inputs!F:F,,0)</f>
        <v>2700890</v>
      </c>
      <c r="G44" s="66">
        <f>_xlfn.XLOOKUP($A44,Inputs!$A:$A,Inputs!G:G,,0)</f>
        <v>2475708</v>
      </c>
      <c r="H44" s="66">
        <f>_xlfn.XLOOKUP($A44,Inputs!$A:$A,Inputs!H:H,,0)</f>
        <v>2356148</v>
      </c>
      <c r="I44" s="66">
        <f>_xlfn.XLOOKUP($A44,Inputs!$A:$A,Inputs!I:I,,0)</f>
        <v>2191105</v>
      </c>
      <c r="J44" s="66">
        <f>_xlfn.XLOOKUP($A44,Inputs!$A:$A,Inputs!J:J,,0)</f>
        <v>2263989</v>
      </c>
      <c r="K44" s="66">
        <f>_xlfn.XLOOKUP($A44,Inputs!$A:$A,Inputs!K:K,,0)</f>
        <v>2011870</v>
      </c>
      <c r="L44" s="66">
        <f>_xlfn.XLOOKUP($A44,Inputs!$A:$A,Inputs!L:L,,0)</f>
        <v>1735836</v>
      </c>
      <c r="M44" s="66">
        <f>_xlfn.XLOOKUP($A44,Inputs!$A:$A,Inputs!M:M,,0)</f>
        <v>1160564</v>
      </c>
      <c r="N44" s="47"/>
    </row>
    <row r="45" spans="1:14" ht="12.95">
      <c r="B45"/>
      <c r="C45"/>
      <c r="D45"/>
      <c r="E45"/>
      <c r="F45"/>
      <c r="G45"/>
      <c r="H45"/>
      <c r="I45"/>
      <c r="J45"/>
      <c r="K45"/>
      <c r="L45"/>
      <c r="M45"/>
      <c r="N45" s="47"/>
    </row>
    <row r="46" spans="1:14" ht="12.95">
      <c r="B46"/>
      <c r="C46"/>
      <c r="D46"/>
      <c r="E46"/>
      <c r="F46"/>
      <c r="G46"/>
      <c r="H46"/>
      <c r="I46"/>
      <c r="J46"/>
      <c r="K46"/>
      <c r="L46"/>
      <c r="M46"/>
      <c r="N46" s="47"/>
    </row>
    <row r="47" spans="1:14" ht="20.100000000000001">
      <c r="A47" s="1101" t="s">
        <v>595</v>
      </c>
      <c r="B47" s="1101"/>
      <c r="C47" s="1101"/>
      <c r="D47" s="1101"/>
      <c r="E47" s="1101"/>
      <c r="F47" s="1101"/>
      <c r="G47" s="1101"/>
      <c r="H47" s="1101"/>
      <c r="I47" s="1101"/>
      <c r="J47" s="1101"/>
      <c r="K47" s="1101"/>
      <c r="L47" s="1101"/>
      <c r="M47" s="1101"/>
      <c r="N47" s="47"/>
    </row>
    <row r="48" spans="1:14" ht="12.95">
      <c r="A48" s="68" t="s">
        <v>310</v>
      </c>
      <c r="B48" s="66">
        <f>_xlfn.XLOOKUP($A48,Inputs!$A:$A,Inputs!B:B,,0)</f>
        <v>1449321</v>
      </c>
      <c r="C48" s="66">
        <f>_xlfn.XLOOKUP($A48,Inputs!$A:$A,Inputs!C:C,,0)</f>
        <v>1306239</v>
      </c>
      <c r="D48" s="66">
        <f>_xlfn.XLOOKUP($A48,Inputs!$A:$A,Inputs!D:D,,0)</f>
        <v>765984</v>
      </c>
      <c r="E48" s="66">
        <f>_xlfn.XLOOKUP($A48,Inputs!$A:$A,Inputs!E:E,,0)</f>
        <v>693957</v>
      </c>
      <c r="F48" s="66">
        <f>_xlfn.XLOOKUP($A48,Inputs!$A:$A,Inputs!F:F,,0)</f>
        <v>768815</v>
      </c>
      <c r="G48" s="66">
        <f>_xlfn.XLOOKUP($A48,Inputs!$A:$A,Inputs!G:G,,0)</f>
        <v>603331</v>
      </c>
      <c r="H48" s="66">
        <f>_xlfn.XLOOKUP($A48,Inputs!$A:$A,Inputs!H:H,,0)</f>
        <v>626676</v>
      </c>
      <c r="I48" s="66">
        <f>_xlfn.XLOOKUP($A48,Inputs!$A:$A,Inputs!I:I,,0)</f>
        <v>563727</v>
      </c>
      <c r="J48" s="66">
        <f>_xlfn.XLOOKUP($A48,Inputs!$A:$A,Inputs!J:J,,0)</f>
        <v>525624</v>
      </c>
      <c r="K48" s="66">
        <f>_xlfn.XLOOKUP($A48,Inputs!$A:$A,Inputs!K:K,,0)</f>
        <v>533467</v>
      </c>
      <c r="L48" s="66">
        <f>_xlfn.XLOOKUP($A48,Inputs!$A:$A,Inputs!L:L,,0)</f>
        <v>382627</v>
      </c>
      <c r="M48" s="66">
        <f>_xlfn.XLOOKUP($A48,Inputs!$A:$A,Inputs!M:M,,0)</f>
        <v>396339</v>
      </c>
      <c r="N48" s="47"/>
    </row>
    <row r="49" spans="1:14" ht="12.95">
      <c r="A49" s="69" t="s">
        <v>596</v>
      </c>
      <c r="B49" s="56">
        <f>_xlfn.XLOOKUP($A49,Inputs!$A:$A,Inputs!B:B,,0)</f>
        <v>372541</v>
      </c>
      <c r="C49" s="56">
        <f>_xlfn.XLOOKUP($A49,Inputs!$A:$A,Inputs!C:C,,0)</f>
        <v>97376</v>
      </c>
      <c r="D49" s="56">
        <f>_xlfn.XLOOKUP($A49,Inputs!$A:$A,Inputs!D:D,,0)</f>
        <v>40754</v>
      </c>
      <c r="E49" s="56">
        <f>_xlfn.XLOOKUP($A49,Inputs!$A:$A,Inputs!E:E,,0)</f>
        <v>48937</v>
      </c>
      <c r="F49" s="56">
        <f>_xlfn.XLOOKUP($A49,Inputs!$A:$A,Inputs!F:F,,0)</f>
        <v>146066</v>
      </c>
      <c r="G49" s="56">
        <f>_xlfn.XLOOKUP($A49,Inputs!$A:$A,Inputs!G:G,,0)</f>
        <v>45530</v>
      </c>
      <c r="H49" s="56">
        <f>_xlfn.XLOOKUP($A49,Inputs!$A:$A,Inputs!H:H,,0)</f>
        <v>57699</v>
      </c>
      <c r="I49" s="56">
        <f>_xlfn.XLOOKUP($A49,Inputs!$A:$A,Inputs!I:I,,0)</f>
        <v>54675</v>
      </c>
      <c r="J49" s="56">
        <f>_xlfn.XLOOKUP($A49,Inputs!$A:$A,Inputs!J:J,,0)</f>
        <v>57897</v>
      </c>
      <c r="K49" s="56">
        <f>_xlfn.XLOOKUP($A49,Inputs!$A:$A,Inputs!K:K,,0)</f>
        <v>43325</v>
      </c>
      <c r="L49" s="56">
        <f>_xlfn.XLOOKUP($A49,Inputs!$A:$A,Inputs!L:L,,0)</f>
        <v>65334</v>
      </c>
      <c r="M49" s="56">
        <f>_xlfn.XLOOKUP($A49,Inputs!$A:$A,Inputs!M:M,,0)</f>
        <v>90448</v>
      </c>
      <c r="N49" s="47"/>
    </row>
    <row r="50" spans="1:14" ht="12.95">
      <c r="A50" s="55" t="s">
        <v>597</v>
      </c>
      <c r="B50" s="56">
        <f>_xlfn.XLOOKUP($A50,Inputs!$A:$A,Inputs!B:B,,0)</f>
        <v>30442</v>
      </c>
      <c r="C50" s="56">
        <f>_xlfn.XLOOKUP($A50,Inputs!$A:$A,Inputs!C:C,,0)</f>
        <v>25876</v>
      </c>
      <c r="D50" s="56">
        <f>_xlfn.XLOOKUP($A50,Inputs!$A:$A,Inputs!D:D,,0)</f>
        <v>20639</v>
      </c>
      <c r="E50" s="56">
        <f>_xlfn.XLOOKUP($A50,Inputs!$A:$A,Inputs!E:E,,0)</f>
        <v>17300</v>
      </c>
      <c r="F50" s="56">
        <f>_xlfn.XLOOKUP($A50,Inputs!$A:$A,Inputs!F:F,,0)</f>
        <v>1241</v>
      </c>
      <c r="G50" s="56">
        <f>_xlfn.XLOOKUP($A50,Inputs!$A:$A,Inputs!G:G,,0)</f>
        <v>1499</v>
      </c>
      <c r="H50" s="56">
        <f>_xlfn.XLOOKUP($A50,Inputs!$A:$A,Inputs!H:H,,0)</f>
        <v>1797</v>
      </c>
      <c r="I50" s="56">
        <f>_xlfn.XLOOKUP($A50,Inputs!$A:$A,Inputs!I:I,,0)</f>
        <v>1943</v>
      </c>
      <c r="J50" s="56">
        <f>_xlfn.XLOOKUP($A50,Inputs!$A:$A,Inputs!J:J,,0)</f>
        <v>1913</v>
      </c>
      <c r="K50" s="56">
        <f>_xlfn.XLOOKUP($A50,Inputs!$A:$A,Inputs!K:K,,0)</f>
        <v>1731</v>
      </c>
      <c r="L50" s="56">
        <f>_xlfn.XLOOKUP($A50,Inputs!$A:$A,Inputs!L:L,,0)</f>
        <v>1464</v>
      </c>
      <c r="M50" s="56">
        <f>_xlfn.XLOOKUP($A50,Inputs!$A:$A,Inputs!M:M,,0)</f>
        <v>2042</v>
      </c>
      <c r="N50" s="47"/>
    </row>
    <row r="51" spans="1:14" ht="12.95">
      <c r="A51" s="58" t="s">
        <v>598</v>
      </c>
      <c r="B51" s="56">
        <f>_xlfn.XLOOKUP($A51,Inputs!$A:$A,Inputs!B:B,,0)</f>
        <v>693691</v>
      </c>
      <c r="C51" s="56">
        <f>_xlfn.XLOOKUP($A51,Inputs!$A:$A,Inputs!C:C,,0)</f>
        <v>880366</v>
      </c>
      <c r="D51" s="56">
        <f>_xlfn.XLOOKUP($A51,Inputs!$A:$A,Inputs!D:D,,0)</f>
        <v>474845</v>
      </c>
      <c r="E51" s="56">
        <f>_xlfn.XLOOKUP($A51,Inputs!$A:$A,Inputs!E:E,,0)</f>
        <v>437877</v>
      </c>
      <c r="F51" s="56">
        <f>_xlfn.XLOOKUP($A51,Inputs!$A:$A,Inputs!F:F,,0)</f>
        <v>416973</v>
      </c>
      <c r="G51" s="56">
        <f>_xlfn.XLOOKUP($A51,Inputs!$A:$A,Inputs!G:G,,0)</f>
        <v>372311</v>
      </c>
      <c r="H51" s="56">
        <f>_xlfn.XLOOKUP($A51,Inputs!$A:$A,Inputs!H:H,,0)</f>
        <v>394033</v>
      </c>
      <c r="I51" s="56">
        <f>_xlfn.XLOOKUP($A51,Inputs!$A:$A,Inputs!I:I,,0)</f>
        <v>351071</v>
      </c>
      <c r="J51" s="56">
        <f>_xlfn.XLOOKUP($A51,Inputs!$A:$A,Inputs!J:J,,0)</f>
        <v>311877</v>
      </c>
      <c r="K51" s="56">
        <f>_xlfn.XLOOKUP($A51,Inputs!$A:$A,Inputs!K:K,,0)</f>
        <v>326327</v>
      </c>
      <c r="L51" s="56">
        <f>_xlfn.XLOOKUP($A51,Inputs!$A:$A,Inputs!L:L,,0)</f>
        <v>188465</v>
      </c>
      <c r="M51" s="56">
        <f>_xlfn.XLOOKUP($A51,Inputs!$A:$A,Inputs!M:M,,0)</f>
        <v>193741</v>
      </c>
      <c r="N51" s="47"/>
    </row>
    <row r="52" spans="1:14" ht="12.95">
      <c r="A52" s="68" t="s">
        <v>599</v>
      </c>
      <c r="B52" s="66">
        <f>_xlfn.XLOOKUP($A52,Inputs!$A:$A,Inputs!B:B,,0)</f>
        <v>616213</v>
      </c>
      <c r="C52" s="66">
        <f>_xlfn.XLOOKUP($A52,Inputs!$A:$A,Inputs!C:C,,0)</f>
        <v>545526</v>
      </c>
      <c r="D52" s="66">
        <f>_xlfn.XLOOKUP($A52,Inputs!$A:$A,Inputs!D:D,,0)</f>
        <v>805970</v>
      </c>
      <c r="E52" s="66">
        <f>_xlfn.XLOOKUP($A52,Inputs!$A:$A,Inputs!E:E,,0)</f>
        <v>536700</v>
      </c>
      <c r="F52" s="66">
        <f>_xlfn.XLOOKUP($A52,Inputs!$A:$A,Inputs!F:F,,0)</f>
        <v>514280</v>
      </c>
      <c r="G52" s="66">
        <f>_xlfn.XLOOKUP($A52,Inputs!$A:$A,Inputs!G:G,,0)</f>
        <v>574314</v>
      </c>
      <c r="H52" s="66">
        <f>_xlfn.XLOOKUP($A52,Inputs!$A:$A,Inputs!H:H,,0)</f>
        <v>616756</v>
      </c>
      <c r="I52" s="66">
        <f>_xlfn.XLOOKUP($A52,Inputs!$A:$A,Inputs!I:I,,0)</f>
        <v>611851</v>
      </c>
      <c r="J52" s="66">
        <f>_xlfn.XLOOKUP($A52,Inputs!$A:$A,Inputs!J:J,,0)</f>
        <v>712648</v>
      </c>
      <c r="K52" s="66">
        <f>_xlfn.XLOOKUP($A52,Inputs!$A:$A,Inputs!K:K,,0)</f>
        <v>675707</v>
      </c>
      <c r="L52" s="66">
        <f>_xlfn.XLOOKUP($A52,Inputs!$A:$A,Inputs!L:L,,0)</f>
        <v>733756</v>
      </c>
      <c r="M52" s="66">
        <f>_xlfn.XLOOKUP($A52,Inputs!$A:$A,Inputs!M:M,,0)</f>
        <v>260414</v>
      </c>
      <c r="N52" s="47"/>
    </row>
    <row r="53" spans="1:14" ht="12.95">
      <c r="A53" s="69" t="s">
        <v>600</v>
      </c>
      <c r="B53" s="56">
        <f>_xlfn.XLOOKUP($A53,Inputs!$A:$A,Inputs!B:B,,0)</f>
        <v>314186</v>
      </c>
      <c r="C53" s="56">
        <f>_xlfn.XLOOKUP($A53,Inputs!$A:$A,Inputs!C:C,,0)</f>
        <v>260572</v>
      </c>
      <c r="D53" s="56">
        <f>_xlfn.XLOOKUP($A53,Inputs!$A:$A,Inputs!D:D,,0)</f>
        <v>548803</v>
      </c>
      <c r="E53" s="56">
        <f>_xlfn.XLOOKUP($A53,Inputs!$A:$A,Inputs!E:E,,0)</f>
        <v>323184</v>
      </c>
      <c r="F53" s="56">
        <f>_xlfn.XLOOKUP($A53,Inputs!$A:$A,Inputs!F:F,,0)</f>
        <v>335988</v>
      </c>
      <c r="G53" s="56">
        <f>_xlfn.XLOOKUP($A53,Inputs!$A:$A,Inputs!G:G,,0)</f>
        <v>421051</v>
      </c>
      <c r="H53" s="56">
        <f>_xlfn.XLOOKUP($A53,Inputs!$A:$A,Inputs!H:H,,0)</f>
        <v>463292</v>
      </c>
      <c r="I53" s="56">
        <f>_xlfn.XLOOKUP($A53,Inputs!$A:$A,Inputs!I:I,,0)</f>
        <v>477491</v>
      </c>
      <c r="J53" s="56">
        <f>_xlfn.XLOOKUP($A53,Inputs!$A:$A,Inputs!J:J,,0)</f>
        <v>560874</v>
      </c>
      <c r="K53" s="56">
        <f>_xlfn.XLOOKUP($A53,Inputs!$A:$A,Inputs!K:K,,0)</f>
        <v>550475</v>
      </c>
      <c r="L53" s="56">
        <f>_xlfn.XLOOKUP($A53,Inputs!$A:$A,Inputs!L:L,,0)</f>
        <v>633033</v>
      </c>
      <c r="M53" s="56">
        <f>_xlfn.XLOOKUP($A53,Inputs!$A:$A,Inputs!M:M,,0)</f>
        <v>238108</v>
      </c>
      <c r="N53" s="47"/>
    </row>
    <row r="54" spans="1:14" ht="12.95">
      <c r="A54" s="55" t="s">
        <v>601</v>
      </c>
      <c r="B54" s="56">
        <f>_xlfn.XLOOKUP($A54,Inputs!$A:$A,Inputs!B:B,,0)</f>
        <v>96597</v>
      </c>
      <c r="C54" s="56">
        <f>_xlfn.XLOOKUP($A54,Inputs!$A:$A,Inputs!C:C,,0)</f>
        <v>76508</v>
      </c>
      <c r="D54" s="56">
        <f>_xlfn.XLOOKUP($A54,Inputs!$A:$A,Inputs!D:D,,0)</f>
        <v>64736</v>
      </c>
      <c r="E54" s="56">
        <f>_xlfn.XLOOKUP($A54,Inputs!$A:$A,Inputs!E:E,,0)</f>
        <v>58482</v>
      </c>
      <c r="F54" s="56">
        <f>_xlfn.XLOOKUP($A54,Inputs!$A:$A,Inputs!F:F,,0)</f>
        <v>9959</v>
      </c>
      <c r="G54" s="56">
        <f>_xlfn.XLOOKUP($A54,Inputs!$A:$A,Inputs!G:G,,0)</f>
        <v>9301</v>
      </c>
      <c r="H54" s="56">
        <f>_xlfn.XLOOKUP($A54,Inputs!$A:$A,Inputs!H:H,,0)</f>
        <v>9462</v>
      </c>
      <c r="I54" s="56">
        <f>_xlfn.XLOOKUP($A54,Inputs!$A:$A,Inputs!I:I,,0)</f>
        <v>1929</v>
      </c>
      <c r="J54" s="56">
        <f>_xlfn.XLOOKUP($A54,Inputs!$A:$A,Inputs!J:J,,0)</f>
        <v>2717</v>
      </c>
      <c r="K54" s="56">
        <f>_xlfn.XLOOKUP($A54,Inputs!$A:$A,Inputs!K:K,,0)</f>
        <v>0</v>
      </c>
      <c r="L54" s="56">
        <f>_xlfn.XLOOKUP($A54,Inputs!$A:$A,Inputs!L:L,,0)</f>
        <v>1912</v>
      </c>
      <c r="M54" s="56">
        <f>_xlfn.XLOOKUP($A54,Inputs!$A:$A,Inputs!M:M,,0)</f>
        <v>2002</v>
      </c>
      <c r="N54" s="47"/>
    </row>
    <row r="55" spans="1:14" ht="12.95">
      <c r="A55" s="58" t="s">
        <v>602</v>
      </c>
      <c r="B55" s="56">
        <f>_xlfn.XLOOKUP($A55,Inputs!$A:$A,Inputs!B:B,,0)</f>
        <v>205430</v>
      </c>
      <c r="C55" s="56">
        <f>_xlfn.XLOOKUP($A55,Inputs!$A:$A,Inputs!C:C,,0)</f>
        <v>208446</v>
      </c>
      <c r="D55" s="56">
        <f>_xlfn.XLOOKUP($A55,Inputs!$A:$A,Inputs!D:D,,0)</f>
        <v>192431</v>
      </c>
      <c r="E55" s="56">
        <f>_xlfn.XLOOKUP($A55,Inputs!$A:$A,Inputs!E:E,,0)</f>
        <v>155034</v>
      </c>
      <c r="F55" s="56">
        <f>_xlfn.XLOOKUP($A55,Inputs!$A:$A,Inputs!F:F,,0)</f>
        <v>168333</v>
      </c>
      <c r="G55" s="56">
        <f>_xlfn.XLOOKUP($A55,Inputs!$A:$A,Inputs!G:G,,0)</f>
        <v>143962</v>
      </c>
      <c r="H55" s="56">
        <f>_xlfn.XLOOKUP($A55,Inputs!$A:$A,Inputs!H:H,,0)</f>
        <v>144002</v>
      </c>
      <c r="I55" s="56">
        <f>_xlfn.XLOOKUP($A55,Inputs!$A:$A,Inputs!I:I,,0)</f>
        <v>132431</v>
      </c>
      <c r="J55" s="56">
        <f>_xlfn.XLOOKUP($A55,Inputs!$A:$A,Inputs!J:J,,0)</f>
        <v>149057</v>
      </c>
      <c r="K55" s="56">
        <f>_xlfn.XLOOKUP($A55,Inputs!$A:$A,Inputs!K:K,,0)</f>
        <v>125232</v>
      </c>
      <c r="L55" s="56">
        <f>_xlfn.XLOOKUP($A55,Inputs!$A:$A,Inputs!L:L,,0)</f>
        <v>98811</v>
      </c>
      <c r="M55" s="56">
        <f>_xlfn.XLOOKUP($A55,Inputs!$A:$A,Inputs!M:M,,0)</f>
        <v>20304</v>
      </c>
      <c r="N55" s="47"/>
    </row>
    <row r="56" spans="1:14" ht="12.95">
      <c r="A56" s="68" t="s">
        <v>52</v>
      </c>
      <c r="B56" s="66">
        <f>_xlfn.XLOOKUP($A56,Inputs!$A:$A,Inputs!B:B,,0)</f>
        <v>2065534</v>
      </c>
      <c r="C56" s="66">
        <f>_xlfn.XLOOKUP($A56,Inputs!$A:$A,Inputs!C:C,,0)</f>
        <v>1851765</v>
      </c>
      <c r="D56" s="66">
        <f>_xlfn.XLOOKUP($A56,Inputs!$A:$A,Inputs!D:D,,0)</f>
        <v>1571954</v>
      </c>
      <c r="E56" s="66">
        <f>_xlfn.XLOOKUP($A56,Inputs!$A:$A,Inputs!E:E,,0)</f>
        <v>1230657</v>
      </c>
      <c r="F56" s="66">
        <f>_xlfn.XLOOKUP($A56,Inputs!$A:$A,Inputs!F:F,,0)</f>
        <v>1283095</v>
      </c>
      <c r="G56" s="66">
        <f>_xlfn.XLOOKUP($A56,Inputs!$A:$A,Inputs!G:G,,0)</f>
        <v>1177645</v>
      </c>
      <c r="H56" s="66">
        <f>_xlfn.XLOOKUP($A56,Inputs!$A:$A,Inputs!H:H,,0)</f>
        <v>1243432</v>
      </c>
      <c r="I56" s="66">
        <f>_xlfn.XLOOKUP($A56,Inputs!$A:$A,Inputs!I:I,,0)</f>
        <v>1175578</v>
      </c>
      <c r="J56" s="66">
        <f>_xlfn.XLOOKUP($A56,Inputs!$A:$A,Inputs!J:J,,0)</f>
        <v>1238272</v>
      </c>
      <c r="K56" s="66">
        <f>_xlfn.XLOOKUP($A56,Inputs!$A:$A,Inputs!K:K,,0)</f>
        <v>1209174</v>
      </c>
      <c r="L56" s="66">
        <f>_xlfn.XLOOKUP($A56,Inputs!$A:$A,Inputs!L:L,,0)</f>
        <v>1116383</v>
      </c>
      <c r="M56" s="66">
        <f>_xlfn.XLOOKUP($A56,Inputs!$A:$A,Inputs!M:M,,0)</f>
        <v>656753</v>
      </c>
      <c r="N56" s="47"/>
    </row>
    <row r="57" spans="1:14" ht="12.95">
      <c r="B57"/>
      <c r="C57"/>
      <c r="D57"/>
      <c r="E57"/>
      <c r="F57"/>
      <c r="G57"/>
      <c r="H57"/>
      <c r="I57"/>
      <c r="J57"/>
      <c r="K57"/>
      <c r="L57"/>
      <c r="M57"/>
      <c r="N57" s="47"/>
    </row>
    <row r="58" spans="1:14" ht="12.95">
      <c r="A58" s="68" t="s">
        <v>562</v>
      </c>
      <c r="B58" s="66">
        <f t="shared" ref="B58:M58" si="20">B49+B53</f>
        <v>686727</v>
      </c>
      <c r="C58" s="66">
        <f t="shared" si="20"/>
        <v>357948</v>
      </c>
      <c r="D58" s="66">
        <f t="shared" si="20"/>
        <v>589557</v>
      </c>
      <c r="E58" s="66">
        <f t="shared" si="20"/>
        <v>372121</v>
      </c>
      <c r="F58" s="66">
        <f t="shared" si="20"/>
        <v>482054</v>
      </c>
      <c r="G58" s="66">
        <f t="shared" si="20"/>
        <v>466581</v>
      </c>
      <c r="H58" s="66">
        <f t="shared" si="20"/>
        <v>520991</v>
      </c>
      <c r="I58" s="66">
        <f t="shared" si="20"/>
        <v>532166</v>
      </c>
      <c r="J58" s="66">
        <f t="shared" si="20"/>
        <v>618771</v>
      </c>
      <c r="K58" s="66">
        <f t="shared" si="20"/>
        <v>593800</v>
      </c>
      <c r="L58" s="66">
        <f t="shared" si="20"/>
        <v>698367</v>
      </c>
      <c r="M58" s="67">
        <f t="shared" si="20"/>
        <v>328556</v>
      </c>
      <c r="N58" s="47"/>
    </row>
    <row r="59" spans="1:14" ht="12.95">
      <c r="A59" s="69" t="s">
        <v>75</v>
      </c>
      <c r="B59" s="59">
        <f>IFERROR(B58/B44,"-")</f>
        <v>0.15956731933260868</v>
      </c>
      <c r="C59" s="59">
        <f t="shared" ref="C59:M59" si="21">IFERROR(C58/C44,"-")</f>
        <v>9.3629202743995749E-2</v>
      </c>
      <c r="D59" s="59">
        <f t="shared" si="21"/>
        <v>0.18198102147693185</v>
      </c>
      <c r="E59" s="59">
        <f t="shared" si="21"/>
        <v>0.13950115313445638</v>
      </c>
      <c r="F59" s="59">
        <f t="shared" si="21"/>
        <v>0.17847968632561859</v>
      </c>
      <c r="G59" s="59">
        <f t="shared" si="21"/>
        <v>0.1884636637277094</v>
      </c>
      <c r="H59" s="59">
        <f t="shared" si="21"/>
        <v>0.22111981080984727</v>
      </c>
      <c r="I59" s="59">
        <f t="shared" si="21"/>
        <v>0.24287562668151458</v>
      </c>
      <c r="J59" s="59">
        <f t="shared" si="21"/>
        <v>0.27331007350300729</v>
      </c>
      <c r="K59" s="59">
        <f t="shared" si="21"/>
        <v>0.29514829486994687</v>
      </c>
      <c r="L59" s="59">
        <f t="shared" si="21"/>
        <v>0.40232314573496575</v>
      </c>
      <c r="M59" s="59">
        <f t="shared" si="21"/>
        <v>0.28310028572314838</v>
      </c>
      <c r="N59" s="47"/>
    </row>
    <row r="60" spans="1:14" ht="12.95">
      <c r="B60"/>
      <c r="C60"/>
      <c r="D60"/>
      <c r="E60"/>
      <c r="F60"/>
      <c r="G60"/>
      <c r="H60"/>
      <c r="I60"/>
      <c r="J60"/>
      <c r="K60"/>
      <c r="L60"/>
      <c r="M60"/>
      <c r="N60" s="47"/>
    </row>
    <row r="61" spans="1:14" s="48" customFormat="1" ht="12.95">
      <c r="A61" s="68" t="s">
        <v>604</v>
      </c>
      <c r="B61" s="66">
        <f>_xlfn.XLOOKUP($A61,Inputs!$A:$A,Inputs!B:B,,0)</f>
        <v>40947</v>
      </c>
      <c r="C61" s="66">
        <f>_xlfn.XLOOKUP($A61,Inputs!$A:$A,Inputs!C:C,,0)</f>
        <v>35876</v>
      </c>
      <c r="D61" s="66">
        <f>_xlfn.XLOOKUP($A61,Inputs!$A:$A,Inputs!D:D,,0)</f>
        <v>30787</v>
      </c>
      <c r="E61" s="66">
        <f>_xlfn.XLOOKUP($A61,Inputs!$A:$A,Inputs!E:E,,0)</f>
        <v>25736</v>
      </c>
      <c r="F61" s="66">
        <f>_xlfn.XLOOKUP($A61,Inputs!$A:$A,Inputs!F:F,,0)</f>
        <v>29054</v>
      </c>
      <c r="G61" s="66">
        <f>_xlfn.XLOOKUP($A61,Inputs!$A:$A,Inputs!G:G,,0)</f>
        <v>26258</v>
      </c>
      <c r="H61" s="66">
        <f>_xlfn.XLOOKUP($A61,Inputs!$A:$A,Inputs!H:H,,0)</f>
        <v>22893</v>
      </c>
      <c r="I61" s="66">
        <f>_xlfn.XLOOKUP($A61,Inputs!$A:$A,Inputs!I:I,,0)</f>
        <v>21942</v>
      </c>
      <c r="J61" s="66">
        <f>_xlfn.XLOOKUP($A61,Inputs!$A:$A,Inputs!J:J,,0)</f>
        <v>22594</v>
      </c>
      <c r="K61" s="66">
        <f>_xlfn.XLOOKUP($A61,Inputs!$A:$A,Inputs!K:K,,0)</f>
        <v>21162</v>
      </c>
      <c r="L61" s="66">
        <f>_xlfn.XLOOKUP($A61,Inputs!$A:$A,Inputs!L:L,,0)</f>
        <v>16543</v>
      </c>
      <c r="M61" s="66">
        <f>_xlfn.XLOOKUP($A61,Inputs!$A:$A,Inputs!M:M,,0)</f>
        <v>12110</v>
      </c>
      <c r="N61" s="49"/>
    </row>
    <row r="62" spans="1:14" ht="12.95">
      <c r="B62"/>
      <c r="C62"/>
      <c r="D62"/>
      <c r="E62"/>
      <c r="F62"/>
      <c r="G62"/>
      <c r="H62"/>
      <c r="I62"/>
      <c r="J62"/>
      <c r="K62"/>
      <c r="L62"/>
      <c r="M62"/>
      <c r="N62" s="47"/>
    </row>
    <row r="63" spans="1:14" ht="12.95">
      <c r="A63" s="68" t="s">
        <v>605</v>
      </c>
      <c r="B63" s="66">
        <f>_xlfn.XLOOKUP($A63,Inputs!$A:$A,Inputs!B:B,,0)</f>
        <v>2197201</v>
      </c>
      <c r="C63" s="66">
        <f>_xlfn.XLOOKUP($A63,Inputs!$A:$A,Inputs!C:C,,0)</f>
        <v>1935397</v>
      </c>
      <c r="D63" s="66">
        <f>_xlfn.XLOOKUP($A63,Inputs!$A:$A,Inputs!D:D,,0)</f>
        <v>1636921</v>
      </c>
      <c r="E63" s="66">
        <f>_xlfn.XLOOKUP($A63,Inputs!$A:$A,Inputs!E:E,,0)</f>
        <v>1411119</v>
      </c>
      <c r="F63" s="66">
        <f>_xlfn.XLOOKUP($A63,Inputs!$A:$A,Inputs!F:F,,0)</f>
        <v>1388741</v>
      </c>
      <c r="G63" s="66">
        <f>_xlfn.XLOOKUP($A63,Inputs!$A:$A,Inputs!G:G,,0)</f>
        <v>1271805</v>
      </c>
      <c r="H63" s="66">
        <f>_xlfn.XLOOKUP($A63,Inputs!$A:$A,Inputs!H:H,,0)</f>
        <v>1089823</v>
      </c>
      <c r="I63" s="66">
        <f>_xlfn.XLOOKUP($A63,Inputs!$A:$A,Inputs!I:I,,0)</f>
        <v>993585</v>
      </c>
      <c r="J63" s="66">
        <f>_xlfn.XLOOKUP($A63,Inputs!$A:$A,Inputs!J:J,,0)</f>
        <v>1003123</v>
      </c>
      <c r="K63" s="66">
        <f>_xlfn.XLOOKUP($A63,Inputs!$A:$A,Inputs!K:K,,0)</f>
        <v>781534</v>
      </c>
      <c r="L63" s="66">
        <f>_xlfn.XLOOKUP($A63,Inputs!$A:$A,Inputs!L:L,,0)</f>
        <v>602910</v>
      </c>
      <c r="M63" s="66">
        <f>_xlfn.XLOOKUP($A63,Inputs!$A:$A,Inputs!M:M,,0)</f>
        <v>491701</v>
      </c>
      <c r="N63" s="47"/>
    </row>
    <row r="64" spans="1:14" ht="12" customHeight="1">
      <c r="K64" s="43"/>
      <c r="L64" s="43"/>
      <c r="M64" s="43"/>
      <c r="N64" s="47"/>
    </row>
    <row r="65" spans="1:236" ht="12" customHeight="1">
      <c r="K65" s="43"/>
      <c r="L65" s="43"/>
      <c r="M65" s="43"/>
      <c r="N65" s="47"/>
    </row>
    <row r="66" spans="1:236" ht="20.100000000000001">
      <c r="A66" s="1101" t="s">
        <v>607</v>
      </c>
      <c r="B66" s="1101"/>
      <c r="C66" s="1101"/>
      <c r="D66" s="1101"/>
      <c r="E66" s="1101"/>
      <c r="F66" s="1101"/>
      <c r="G66" s="1101"/>
      <c r="H66" s="1101"/>
      <c r="I66" s="1101"/>
      <c r="J66" s="1101"/>
      <c r="K66" s="1101"/>
      <c r="L66" s="1101"/>
      <c r="M66" s="1101"/>
    </row>
    <row r="67" spans="1:236" ht="12.95">
      <c r="A67" s="55" t="s">
        <v>608</v>
      </c>
      <c r="B67" s="56" t="e">
        <f>_xlfn.XLOOKUP($A67,Inputs!$A:$A,Inputs!B:B,,0)</f>
        <v>#N/A</v>
      </c>
      <c r="C67" s="56" t="e">
        <f>_xlfn.XLOOKUP($A67,Inputs!$A:$A,Inputs!C:C,,0)</f>
        <v>#N/A</v>
      </c>
      <c r="D67" s="56" t="e">
        <f>_xlfn.XLOOKUP($A67,Inputs!$A:$A,Inputs!D:D,,0)</f>
        <v>#N/A</v>
      </c>
      <c r="E67" s="56" t="e">
        <f>_xlfn.XLOOKUP($A67,Inputs!$A:$A,Inputs!E:E,,0)</f>
        <v>#N/A</v>
      </c>
      <c r="F67" s="56" t="e">
        <f>_xlfn.XLOOKUP($A67,Inputs!$A:$A,Inputs!F:F,,0)</f>
        <v>#N/A</v>
      </c>
      <c r="G67" s="56" t="e">
        <f>_xlfn.XLOOKUP($A67,Inputs!$A:$A,Inputs!G:G,,0)</f>
        <v>#N/A</v>
      </c>
      <c r="H67" s="56" t="e">
        <f>_xlfn.XLOOKUP($A67,Inputs!$A:$A,Inputs!H:H,,0)</f>
        <v>#N/A</v>
      </c>
      <c r="I67" s="56" t="e">
        <f>_xlfn.XLOOKUP($A67,Inputs!$A:$A,Inputs!I:I,,0)</f>
        <v>#N/A</v>
      </c>
      <c r="J67" s="56" t="e">
        <f>_xlfn.XLOOKUP($A67,Inputs!$A:$A,Inputs!J:J,,0)</f>
        <v>#N/A</v>
      </c>
      <c r="K67" s="56" t="e">
        <f>_xlfn.XLOOKUP($A67,Inputs!$A:$A,Inputs!K:K,,0)</f>
        <v>#N/A</v>
      </c>
      <c r="L67" s="56" t="e">
        <f>_xlfn.XLOOKUP($A67,Inputs!$A:$A,Inputs!L:L,,0)</f>
        <v>#N/A</v>
      </c>
      <c r="M67" s="56" t="e">
        <f>_xlfn.XLOOKUP($A67,Inputs!$A:$A,Inputs!M:M,,0)</f>
        <v>#N/A</v>
      </c>
    </row>
    <row r="68" spans="1:236" ht="12.95">
      <c r="A68" s="69" t="s">
        <v>609</v>
      </c>
      <c r="B68" s="56" t="e">
        <f>_xlfn.XLOOKUP($A68,Inputs!$A:$A,Inputs!B:B,,0)</f>
        <v>#N/A</v>
      </c>
      <c r="C68" s="56" t="e">
        <f>_xlfn.XLOOKUP($A68,Inputs!$A:$A,Inputs!C:C,,0)</f>
        <v>#N/A</v>
      </c>
      <c r="D68" s="56" t="e">
        <f>_xlfn.XLOOKUP($A68,Inputs!$A:$A,Inputs!D:D,,0)</f>
        <v>#N/A</v>
      </c>
      <c r="E68" s="56" t="e">
        <f>_xlfn.XLOOKUP($A68,Inputs!$A:$A,Inputs!E:E,,0)</f>
        <v>#N/A</v>
      </c>
      <c r="F68" s="56" t="e">
        <f>_xlfn.XLOOKUP($A68,Inputs!$A:$A,Inputs!F:F,,0)</f>
        <v>#N/A</v>
      </c>
      <c r="G68" s="56" t="e">
        <f>_xlfn.XLOOKUP($A68,Inputs!$A:$A,Inputs!G:G,,0)</f>
        <v>#N/A</v>
      </c>
      <c r="H68" s="56" t="e">
        <f>_xlfn.XLOOKUP($A68,Inputs!$A:$A,Inputs!H:H,,0)</f>
        <v>#N/A</v>
      </c>
      <c r="I68" s="56" t="e">
        <f>_xlfn.XLOOKUP($A68,Inputs!$A:$A,Inputs!I:I,,0)</f>
        <v>#N/A</v>
      </c>
      <c r="J68" s="56" t="e">
        <f>_xlfn.XLOOKUP($A68,Inputs!$A:$A,Inputs!J:J,,0)</f>
        <v>#N/A</v>
      </c>
      <c r="K68" s="56" t="e">
        <f>_xlfn.XLOOKUP($A68,Inputs!$A:$A,Inputs!K:K,,0)</f>
        <v>#N/A</v>
      </c>
      <c r="L68" s="56" t="e">
        <f>_xlfn.XLOOKUP($A68,Inputs!$A:$A,Inputs!L:L,,0)</f>
        <v>#N/A</v>
      </c>
      <c r="M68" s="56" t="e">
        <f>_xlfn.XLOOKUP($A68,Inputs!$A:$A,Inputs!M:M,,0)</f>
        <v>#N/A</v>
      </c>
    </row>
    <row r="69" spans="1:236" ht="12.95">
      <c r="A69" s="55" t="s">
        <v>50</v>
      </c>
      <c r="B69" s="56">
        <f>_xlfn.XLOOKUP($A69,Inputs!$A:$A,Inputs!B:B,,0)</f>
        <v>0.91467576791808869</v>
      </c>
      <c r="C69" s="56" t="str">
        <f>_xlfn.XLOOKUP($A69,Inputs!$A:$A,Inputs!C:C,,0)</f>
        <v>Yahoo Finance</v>
      </c>
      <c r="D69" s="56">
        <f>_xlfn.XLOOKUP($A69,Inputs!$A:$A,Inputs!D:D,,0)</f>
        <v>0</v>
      </c>
      <c r="E69" s="56">
        <f>_xlfn.XLOOKUP($A69,Inputs!$A:$A,Inputs!E:E,,0)</f>
        <v>0</v>
      </c>
      <c r="F69" s="56">
        <f>_xlfn.XLOOKUP($A69,Inputs!$A:$A,Inputs!F:F,,0)</f>
        <v>0</v>
      </c>
      <c r="G69" s="56">
        <f>_xlfn.XLOOKUP($A69,Inputs!$A:$A,Inputs!G:G,,0)</f>
        <v>0</v>
      </c>
      <c r="H69" s="56">
        <f>_xlfn.XLOOKUP($A69,Inputs!$A:$A,Inputs!H:H,,0)</f>
        <v>0</v>
      </c>
      <c r="I69" s="56">
        <f>_xlfn.XLOOKUP($A69,Inputs!$A:$A,Inputs!I:I,,0)</f>
        <v>0</v>
      </c>
      <c r="J69" s="56">
        <f>_xlfn.XLOOKUP($A69,Inputs!$A:$A,Inputs!J:J,,0)</f>
        <v>0</v>
      </c>
      <c r="K69" s="56">
        <f>_xlfn.XLOOKUP($A69,Inputs!$A:$A,Inputs!K:K,,0)</f>
        <v>0</v>
      </c>
      <c r="L69" s="56">
        <f>_xlfn.XLOOKUP($A69,Inputs!$A:$A,Inputs!L:L,,0)</f>
        <v>0</v>
      </c>
      <c r="M69" s="56">
        <f>_xlfn.XLOOKUP($A69,Inputs!$A:$A,Inputs!M:M,,0)</f>
        <v>0</v>
      </c>
    </row>
    <row r="70" spans="1:236" ht="12.95">
      <c r="A70" s="69" t="s">
        <v>55</v>
      </c>
      <c r="B70" s="56">
        <f>_xlfn.XLOOKUP($A70,Inputs!$A:$A,Inputs!B:B,,0)</f>
        <v>0</v>
      </c>
      <c r="C70" s="56" t="str">
        <f>_xlfn.XLOOKUP($A70,Inputs!$A:$A,Inputs!C:C,,0)</f>
        <v>Yahoo Finance</v>
      </c>
      <c r="D70" s="56">
        <f>_xlfn.XLOOKUP($A70,Inputs!$A:$A,Inputs!D:D,,0)</f>
        <v>0</v>
      </c>
      <c r="E70" s="56">
        <f>_xlfn.XLOOKUP($A70,Inputs!$A:$A,Inputs!E:E,,0)</f>
        <v>0</v>
      </c>
      <c r="F70" s="56">
        <f>_xlfn.XLOOKUP($A70,Inputs!$A:$A,Inputs!F:F,,0)</f>
        <v>0</v>
      </c>
      <c r="G70" s="56">
        <f>_xlfn.XLOOKUP($A70,Inputs!$A:$A,Inputs!G:G,,0)</f>
        <v>0</v>
      </c>
      <c r="H70" s="56">
        <f>_xlfn.XLOOKUP($A70,Inputs!$A:$A,Inputs!H:H,,0)</f>
        <v>0</v>
      </c>
      <c r="I70" s="56">
        <f>_xlfn.XLOOKUP($A70,Inputs!$A:$A,Inputs!I:I,,0)</f>
        <v>0</v>
      </c>
      <c r="J70" s="56">
        <f>_xlfn.XLOOKUP($A70,Inputs!$A:$A,Inputs!J:J,,0)</f>
        <v>0</v>
      </c>
      <c r="K70" s="56">
        <f>_xlfn.XLOOKUP($A70,Inputs!$A:$A,Inputs!K:K,,0)</f>
        <v>0</v>
      </c>
      <c r="L70" s="56">
        <f>_xlfn.XLOOKUP($A70,Inputs!$A:$A,Inputs!L:L,,0)</f>
        <v>0</v>
      </c>
      <c r="M70" s="56">
        <f>_xlfn.XLOOKUP($A70,Inputs!$A:$A,Inputs!M:M,,0)</f>
        <v>0</v>
      </c>
    </row>
    <row r="71" spans="1:236" ht="12.95">
      <c r="A71" s="55" t="s">
        <v>610</v>
      </c>
      <c r="B71" s="56" t="str">
        <f>_xlfn.XLOOKUP($A71,Inputs!$A:$A,Inputs!B:B,,0)</f>
        <v>A2</v>
      </c>
      <c r="C71" s="56" t="str">
        <f>_xlfn.XLOOKUP($A71,Inputs!$A:$A,Inputs!C:C,,0)</f>
        <v>10-K</v>
      </c>
      <c r="D71" s="56">
        <f>_xlfn.XLOOKUP($A71,Inputs!$A:$A,Inputs!D:D,,0)</f>
        <v>0</v>
      </c>
      <c r="E71" s="56">
        <f>_xlfn.XLOOKUP($A71,Inputs!$A:$A,Inputs!E:E,,0)</f>
        <v>0</v>
      </c>
      <c r="F71" s="56">
        <f>_xlfn.XLOOKUP($A71,Inputs!$A:$A,Inputs!F:F,,0)</f>
        <v>0</v>
      </c>
      <c r="G71" s="56">
        <f>_xlfn.XLOOKUP($A71,Inputs!$A:$A,Inputs!G:G,,0)</f>
        <v>0</v>
      </c>
      <c r="H71" s="56">
        <f>_xlfn.XLOOKUP($A71,Inputs!$A:$A,Inputs!H:H,,0)</f>
        <v>0</v>
      </c>
      <c r="I71" s="56">
        <f>_xlfn.XLOOKUP($A71,Inputs!$A:$A,Inputs!I:I,,0)</f>
        <v>0</v>
      </c>
      <c r="J71" s="56">
        <f>_xlfn.XLOOKUP($A71,Inputs!$A:$A,Inputs!J:J,,0)</f>
        <v>0</v>
      </c>
      <c r="K71" s="56">
        <f>_xlfn.XLOOKUP($A71,Inputs!$A:$A,Inputs!K:K,,0)</f>
        <v>0</v>
      </c>
      <c r="L71" s="56">
        <f>_xlfn.XLOOKUP($A71,Inputs!$A:$A,Inputs!L:L,,0)</f>
        <v>0</v>
      </c>
      <c r="M71" s="56">
        <f>_xlfn.XLOOKUP($A71,Inputs!$A:$A,Inputs!M:M,,0)</f>
        <v>0</v>
      </c>
    </row>
    <row r="72" spans="1:236" ht="12.95">
      <c r="A72" s="55" t="s">
        <v>611</v>
      </c>
      <c r="B72" s="56" t="e">
        <f>_xlfn.XLOOKUP($A72,Inputs!$A:$A,Inputs!B:B,,0)</f>
        <v>#N/A</v>
      </c>
      <c r="C72" s="56" t="e">
        <f>_xlfn.XLOOKUP($A72,Inputs!$A:$A,Inputs!C:C,,0)</f>
        <v>#N/A</v>
      </c>
      <c r="D72" s="56" t="e">
        <f>_xlfn.XLOOKUP($A72,Inputs!$A:$A,Inputs!D:D,,0)</f>
        <v>#N/A</v>
      </c>
      <c r="E72" s="56" t="e">
        <f>_xlfn.XLOOKUP($A72,Inputs!$A:$A,Inputs!E:E,,0)</f>
        <v>#N/A</v>
      </c>
      <c r="F72" s="56" t="e">
        <f>_xlfn.XLOOKUP($A72,Inputs!$A:$A,Inputs!F:F,,0)</f>
        <v>#N/A</v>
      </c>
      <c r="G72" s="56" t="e">
        <f>_xlfn.XLOOKUP($A72,Inputs!$A:$A,Inputs!G:G,,0)</f>
        <v>#N/A</v>
      </c>
      <c r="H72" s="56" t="e">
        <f>_xlfn.XLOOKUP($A72,Inputs!$A:$A,Inputs!H:H,,0)</f>
        <v>#N/A</v>
      </c>
      <c r="I72" s="56" t="e">
        <f>_xlfn.XLOOKUP($A72,Inputs!$A:$A,Inputs!I:I,,0)</f>
        <v>#N/A</v>
      </c>
      <c r="J72" s="56" t="e">
        <f>_xlfn.XLOOKUP($A72,Inputs!$A:$A,Inputs!J:J,,0)</f>
        <v>#N/A</v>
      </c>
      <c r="K72" s="56" t="e">
        <f>_xlfn.XLOOKUP($A72,Inputs!$A:$A,Inputs!K:K,,0)</f>
        <v>#N/A</v>
      </c>
      <c r="L72" s="56" t="e">
        <f>_xlfn.XLOOKUP($A72,Inputs!$A:$A,Inputs!L:L,,0)</f>
        <v>#N/A</v>
      </c>
      <c r="M72" s="56" t="e">
        <f>_xlfn.XLOOKUP($A72,Inputs!$A:$A,Inputs!M:M,,0)</f>
        <v>#N/A</v>
      </c>
    </row>
    <row r="73" spans="1:236" ht="12.95">
      <c r="A73" s="69" t="s">
        <v>612</v>
      </c>
      <c r="B73" s="56" t="str">
        <f>_xlfn.XLOOKUP($A73,Inputs!$A:$A,Inputs!B:B,,0)</f>
        <v>3.238</v>
      </c>
      <c r="C73" s="56" t="str">
        <f>_xlfn.XLOOKUP($A73,Inputs!$A:$A,Inputs!C:C,,0)</f>
        <v>Yahoo Finance</v>
      </c>
      <c r="D73" s="56">
        <f>_xlfn.XLOOKUP($A73,Inputs!$A:$A,Inputs!D:D,,0)</f>
        <v>0</v>
      </c>
      <c r="E73" s="56">
        <f>_xlfn.XLOOKUP($A73,Inputs!$A:$A,Inputs!E:E,,0)</f>
        <v>0</v>
      </c>
      <c r="F73" s="56">
        <f>_xlfn.XLOOKUP($A73,Inputs!$A:$A,Inputs!F:F,,0)</f>
        <v>0</v>
      </c>
      <c r="G73" s="56">
        <f>_xlfn.XLOOKUP($A73,Inputs!$A:$A,Inputs!G:G,,0)</f>
        <v>0</v>
      </c>
      <c r="H73" s="56">
        <f>_xlfn.XLOOKUP($A73,Inputs!$A:$A,Inputs!H:H,,0)</f>
        <v>0</v>
      </c>
      <c r="I73" s="56">
        <f>_xlfn.XLOOKUP($A73,Inputs!$A:$A,Inputs!I:I,,0)</f>
        <v>0</v>
      </c>
      <c r="J73" s="56">
        <f>_xlfn.XLOOKUP($A73,Inputs!$A:$A,Inputs!J:J,,0)</f>
        <v>0</v>
      </c>
      <c r="K73" s="56">
        <f>_xlfn.XLOOKUP($A73,Inputs!$A:$A,Inputs!K:K,,0)</f>
        <v>0</v>
      </c>
      <c r="L73" s="56">
        <f>_xlfn.XLOOKUP($A73,Inputs!$A:$A,Inputs!L:L,,0)</f>
        <v>0</v>
      </c>
      <c r="M73" s="56">
        <f>_xlfn.XLOOKUP($A73,Inputs!$A:$A,Inputs!M:M,,0)</f>
        <v>0</v>
      </c>
      <c r="IB73" s="43"/>
    </row>
    <row r="74" spans="1:236" ht="12" customHeight="1">
      <c r="B74" s="46"/>
      <c r="C74" s="46"/>
      <c r="D74" s="46"/>
      <c r="E74" s="46"/>
      <c r="F74" s="46"/>
      <c r="G74" s="46"/>
      <c r="H74" s="46"/>
      <c r="I74" s="46"/>
      <c r="J74" s="46"/>
      <c r="K74" s="46"/>
      <c r="L74" s="46"/>
      <c r="M74" s="46"/>
      <c r="IB74" s="43"/>
    </row>
    <row r="75" spans="1:236" ht="12" customHeight="1">
      <c r="B75" s="44">
        <v>2020</v>
      </c>
      <c r="C75" s="44">
        <v>2021</v>
      </c>
      <c r="D75" s="44">
        <v>2022</v>
      </c>
      <c r="G75" s="44"/>
      <c r="H75" s="46"/>
      <c r="I75" s="46"/>
      <c r="J75" s="46"/>
      <c r="K75" s="46"/>
      <c r="L75" s="46"/>
      <c r="M75" s="46"/>
      <c r="IB75" s="43"/>
    </row>
    <row r="76" spans="1:236" ht="12.95">
      <c r="A76" s="55" t="s">
        <v>613</v>
      </c>
      <c r="B76" s="62">
        <v>0</v>
      </c>
      <c r="C76" s="62">
        <v>0</v>
      </c>
      <c r="D76" s="63">
        <v>0</v>
      </c>
      <c r="G76" s="46"/>
      <c r="H76" s="46"/>
      <c r="I76" s="46"/>
      <c r="J76" s="46"/>
      <c r="K76" s="46"/>
      <c r="L76" s="46"/>
      <c r="M76" s="46"/>
      <c r="IB76" s="43"/>
    </row>
    <row r="77" spans="1:236" ht="12.95">
      <c r="A77" s="69" t="s">
        <v>76</v>
      </c>
      <c r="B77" s="62">
        <v>0</v>
      </c>
      <c r="C77" s="62">
        <v>0</v>
      </c>
      <c r="D77" s="63">
        <v>0</v>
      </c>
    </row>
    <row r="78" spans="1:236" ht="12" customHeight="1"/>
    <row r="79" spans="1:236">
      <c r="A79" s="45" t="s">
        <v>614</v>
      </c>
      <c r="B79" s="44" t="s">
        <v>615</v>
      </c>
      <c r="C79" s="44" t="s">
        <v>616</v>
      </c>
      <c r="D79" s="44" t="s">
        <v>617</v>
      </c>
      <c r="E79" s="44" t="s">
        <v>618</v>
      </c>
      <c r="G79" s="44"/>
    </row>
    <row r="80" spans="1:236" ht="12.95">
      <c r="B80" s="70" t="e">
        <f>VLOOKUP($A80,Inputs!$A$5:$M$98,MATCH(B$4,Inputs!$B$5:$M$5,0)+1,FALSE)</f>
        <v>#N/A</v>
      </c>
      <c r="C80" s="70" t="e">
        <f>VLOOKUP($A80,Inputs!$A$5:$M$98,MATCH(C$4,Inputs!$B$5:$M$5,0)+1,FALSE)</f>
        <v>#N/A</v>
      </c>
      <c r="D80" s="70" t="e">
        <f>VLOOKUP($A80,Inputs!$A$5:$M$98,MATCH(D$4,Inputs!$B$5:$M$5,0)+1,FALSE)</f>
        <v>#N/A</v>
      </c>
      <c r="E80" s="70" t="e">
        <f>VLOOKUP($A80,Inputs!$A$5:$M$98,MATCH(E$4,Inputs!$B$5:$M$5,0)+1,FALSE)</f>
        <v>#N/A</v>
      </c>
    </row>
    <row r="81" spans="2:6" ht="12.95">
      <c r="B81" s="71"/>
      <c r="C81" s="71"/>
      <c r="D81" s="2"/>
      <c r="E81" s="71"/>
      <c r="F81" s="2"/>
    </row>
    <row r="82" spans="2:6" ht="12.95">
      <c r="B82" s="71"/>
      <c r="C82" s="71"/>
      <c r="D82" s="2"/>
      <c r="E82" s="71"/>
      <c r="F82" s="2"/>
    </row>
    <row r="83" spans="2:6" ht="12.95">
      <c r="B83" s="71"/>
      <c r="C83" s="71"/>
      <c r="D83" s="2"/>
      <c r="E83" s="71"/>
      <c r="F83" s="2"/>
    </row>
    <row r="84" spans="2:6" ht="12.95">
      <c r="B84" s="71"/>
      <c r="C84" s="71"/>
      <c r="D84" s="2"/>
      <c r="E84" s="71"/>
      <c r="F84" s="2"/>
    </row>
    <row r="85" spans="2:6" ht="12.95">
      <c r="B85" s="71"/>
      <c r="C85" s="71"/>
      <c r="D85" s="2"/>
      <c r="E85" s="71"/>
      <c r="F85" s="2"/>
    </row>
    <row r="86" spans="2:6" ht="12.95">
      <c r="B86" s="71"/>
      <c r="C86" s="71"/>
      <c r="D86" s="2"/>
      <c r="E86" s="71"/>
      <c r="F86" s="2"/>
    </row>
    <row r="87" spans="2:6" ht="12.95">
      <c r="B87" s="71"/>
      <c r="C87" s="71"/>
      <c r="D87" s="2"/>
      <c r="E87" s="71"/>
      <c r="F87" s="2"/>
    </row>
    <row r="88" spans="2:6" ht="12.95">
      <c r="B88" s="71"/>
      <c r="C88" s="71"/>
      <c r="D88" s="2"/>
      <c r="E88" s="71"/>
      <c r="F88" s="2"/>
    </row>
  </sheetData>
  <mergeCells count="6">
    <mergeCell ref="A66:M66"/>
    <mergeCell ref="A1:M1"/>
    <mergeCell ref="A2:M2"/>
    <mergeCell ref="A3:M3"/>
    <mergeCell ref="A38:M38"/>
    <mergeCell ref="A47:M47"/>
  </mergeCells>
  <phoneticPr fontId="106" type="noConversion"/>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zoomScaleNormal="100" workbookViewId="0">
      <selection activeCell="H3" sqref="H3"/>
    </sheetView>
  </sheetViews>
  <sheetFormatPr defaultColWidth="10.42578125" defaultRowHeight="14.1"/>
  <cols>
    <col min="1" max="1" width="40.42578125" style="22" bestFit="1" customWidth="1"/>
    <col min="2" max="9" width="13.42578125" style="22" customWidth="1"/>
    <col min="10" max="10" width="14.42578125" style="22" customWidth="1"/>
    <col min="11" max="11" width="15.42578125" style="24" customWidth="1"/>
    <col min="12" max="12" width="17" style="24" customWidth="1"/>
    <col min="13" max="13" width="14.42578125" style="22" customWidth="1"/>
    <col min="14" max="14" width="21.42578125" style="22" bestFit="1" customWidth="1"/>
    <col min="15" max="15" width="32.42578125" style="22" customWidth="1"/>
    <col min="16" max="16" width="11.42578125" style="22" customWidth="1"/>
    <col min="17" max="23" width="0" style="22" hidden="1" customWidth="1"/>
    <col min="24" max="24" width="15.42578125" style="22" bestFit="1" customWidth="1"/>
    <col min="25" max="25" width="33.42578125" style="22" customWidth="1"/>
    <col min="26" max="33" width="0" style="22" hidden="1" customWidth="1"/>
    <col min="34" max="40" width="10.42578125" style="22"/>
    <col min="41" max="41" width="24.42578125" style="22" customWidth="1"/>
    <col min="42" max="16384" width="10.42578125" style="22"/>
  </cols>
  <sheetData>
    <row r="1" spans="1:51">
      <c r="B1" s="51"/>
      <c r="C1" s="51"/>
      <c r="D1" s="51"/>
      <c r="E1" s="51"/>
      <c r="F1" s="51"/>
      <c r="G1" s="51"/>
      <c r="H1" s="51"/>
      <c r="I1" s="51"/>
      <c r="J1" s="51"/>
      <c r="K1" s="51"/>
      <c r="L1" s="51"/>
      <c r="M1" s="51"/>
      <c r="N1"/>
      <c r="O1"/>
    </row>
    <row r="2" spans="1:51">
      <c r="G2" s="1104" t="s">
        <v>621</v>
      </c>
      <c r="H2" s="1104"/>
      <c r="I2" s="1104"/>
      <c r="J2" s="1104"/>
      <c r="K2" s="25"/>
      <c r="L2" s="25"/>
      <c r="M2" s="25"/>
      <c r="N2" s="25"/>
      <c r="O2" s="25"/>
    </row>
    <row r="3" spans="1:51">
      <c r="G3" s="22" t="s">
        <v>573</v>
      </c>
      <c r="H3" s="22" t="s">
        <v>444</v>
      </c>
      <c r="M3"/>
      <c r="N3"/>
      <c r="O3"/>
    </row>
    <row r="4" spans="1:51">
      <c r="D4" s="1104" t="s">
        <v>622</v>
      </c>
      <c r="E4" s="1104"/>
      <c r="F4" s="1104"/>
      <c r="G4" s="1104"/>
      <c r="H4" s="1104"/>
      <c r="I4" s="1104"/>
      <c r="J4" s="1104"/>
      <c r="K4" s="1104"/>
      <c r="L4" s="1104"/>
      <c r="M4" s="1104"/>
      <c r="N4"/>
      <c r="O4"/>
    </row>
    <row r="5" spans="1:51">
      <c r="A5" s="51" t="s">
        <v>623</v>
      </c>
      <c r="B5" s="396">
        <f>OP!J17</f>
        <v>2022</v>
      </c>
      <c r="C5" s="396">
        <v>2021</v>
      </c>
      <c r="D5" s="396">
        <f t="shared" ref="D5:M5" si="0">C5-1</f>
        <v>2020</v>
      </c>
      <c r="E5" s="396">
        <f t="shared" si="0"/>
        <v>2019</v>
      </c>
      <c r="F5" s="396">
        <f t="shared" si="0"/>
        <v>2018</v>
      </c>
      <c r="G5" s="396">
        <f t="shared" si="0"/>
        <v>2017</v>
      </c>
      <c r="H5" s="396">
        <f t="shared" si="0"/>
        <v>2016</v>
      </c>
      <c r="I5" s="396">
        <f t="shared" si="0"/>
        <v>2015</v>
      </c>
      <c r="J5" s="396">
        <f t="shared" si="0"/>
        <v>2014</v>
      </c>
      <c r="K5" s="396">
        <f t="shared" si="0"/>
        <v>2013</v>
      </c>
      <c r="L5" s="396">
        <f t="shared" si="0"/>
        <v>2012</v>
      </c>
      <c r="M5" s="396">
        <f t="shared" si="0"/>
        <v>2011</v>
      </c>
      <c r="N5"/>
      <c r="O5"/>
      <c r="Q5" s="10" t="s">
        <v>624</v>
      </c>
      <c r="R5" s="1105" t="s">
        <v>625</v>
      </c>
      <c r="S5" s="1105"/>
      <c r="T5" s="22" t="s">
        <v>626</v>
      </c>
      <c r="Z5" s="51">
        <v>2016</v>
      </c>
      <c r="AA5" s="51">
        <v>2015</v>
      </c>
      <c r="AB5" s="51">
        <v>2014</v>
      </c>
      <c r="AC5" s="51">
        <v>2013</v>
      </c>
      <c r="AD5" s="51">
        <v>2012</v>
      </c>
      <c r="AE5" s="51">
        <v>2011</v>
      </c>
      <c r="AF5" s="51">
        <v>2010</v>
      </c>
      <c r="AG5" s="51">
        <v>2009</v>
      </c>
    </row>
    <row r="6" spans="1:51">
      <c r="A6" s="26" t="s">
        <v>131</v>
      </c>
      <c r="B6" s="286">
        <v>3981578</v>
      </c>
      <c r="C6" s="286">
        <v>3109106</v>
      </c>
      <c r="D6" s="286">
        <v>2493386</v>
      </c>
      <c r="E6" s="286">
        <v>2550305</v>
      </c>
      <c r="F6" s="286">
        <v>2481109</v>
      </c>
      <c r="G6" s="286">
        <v>2290560</v>
      </c>
      <c r="H6" s="286">
        <v>2043968</v>
      </c>
      <c r="I6" s="397">
        <v>2043691</v>
      </c>
      <c r="J6" s="286">
        <v>1915013</v>
      </c>
      <c r="K6" s="286">
        <v>1787679</v>
      </c>
      <c r="L6" s="286">
        <v>1290903</v>
      </c>
      <c r="M6" s="286">
        <v>1218700</v>
      </c>
      <c r="N6" s="28" t="s">
        <v>627</v>
      </c>
      <c r="O6" t="s">
        <v>628</v>
      </c>
      <c r="P6"/>
      <c r="Q6" s="22" t="s">
        <v>629</v>
      </c>
      <c r="R6" s="22" t="s">
        <v>629</v>
      </c>
      <c r="X6" s="29"/>
      <c r="Y6" s="29"/>
      <c r="Z6" s="27">
        <v>38537</v>
      </c>
      <c r="AA6" s="27">
        <v>47011</v>
      </c>
      <c r="AB6" s="27">
        <v>55184</v>
      </c>
      <c r="AC6" s="27">
        <v>55656</v>
      </c>
      <c r="AD6" s="27">
        <v>65875</v>
      </c>
      <c r="AE6" s="27">
        <v>60138</v>
      </c>
      <c r="AF6" s="27">
        <v>42588</v>
      </c>
      <c r="AG6" s="27">
        <v>32396</v>
      </c>
      <c r="AY6" s="286">
        <v>1160330</v>
      </c>
    </row>
    <row r="7" spans="1:51">
      <c r="A7" s="26" t="s">
        <v>578</v>
      </c>
      <c r="B7" s="286">
        <v>1331476</v>
      </c>
      <c r="C7" s="286">
        <v>1057339</v>
      </c>
      <c r="D7" s="286">
        <v>864136</v>
      </c>
      <c r="E7" s="286">
        <v>884898</v>
      </c>
      <c r="F7" s="286">
        <v>868923</v>
      </c>
      <c r="G7" s="286">
        <v>798829</v>
      </c>
      <c r="H7" s="286">
        <v>730935</v>
      </c>
      <c r="I7" s="398">
        <v>711576</v>
      </c>
      <c r="J7" s="399">
        <v>649901</v>
      </c>
      <c r="K7" s="286">
        <v>568323</v>
      </c>
      <c r="L7" s="286">
        <v>388047</v>
      </c>
      <c r="M7" s="286">
        <v>371901</v>
      </c>
      <c r="N7" s="28" t="s">
        <v>627</v>
      </c>
      <c r="O7" t="str">
        <f>+A7</f>
        <v>Gross Profit</v>
      </c>
      <c r="P7"/>
      <c r="Q7" s="22" t="s">
        <v>629</v>
      </c>
      <c r="R7" s="22" t="s">
        <v>630</v>
      </c>
      <c r="Z7" s="31">
        <f>Z6-28044</f>
        <v>10493</v>
      </c>
      <c r="AA7" s="31">
        <f>AA6-33546</f>
        <v>13465</v>
      </c>
      <c r="AB7" s="31">
        <f>AB6-40718</f>
        <v>14466</v>
      </c>
      <c r="AC7" s="31">
        <f>AC6-40727</f>
        <v>14929</v>
      </c>
      <c r="AD7" s="32">
        <f>+AD6-47055</f>
        <v>18820</v>
      </c>
      <c r="AE7" s="32">
        <f>+AE6-43578</f>
        <v>16560</v>
      </c>
      <c r="AF7" s="32">
        <f>+AF6-30367</f>
        <v>12221</v>
      </c>
      <c r="AG7" s="32">
        <f>+AG6-23886</f>
        <v>8510</v>
      </c>
      <c r="AY7" s="286">
        <v>361664</v>
      </c>
    </row>
    <row r="8" spans="1:51">
      <c r="A8" s="26" t="s">
        <v>300</v>
      </c>
      <c r="B8" s="286">
        <v>364893</v>
      </c>
      <c r="C8" s="286">
        <v>311302</v>
      </c>
      <c r="D8" s="286">
        <v>237927</v>
      </c>
      <c r="E8" s="286">
        <v>241654</v>
      </c>
      <c r="F8" s="286">
        <v>275259</v>
      </c>
      <c r="G8" s="286">
        <v>250816</v>
      </c>
      <c r="H8" s="286">
        <v>230813</v>
      </c>
      <c r="I8" s="398">
        <v>215486</v>
      </c>
      <c r="J8" s="399">
        <v>185291</v>
      </c>
      <c r="K8" s="399">
        <v>155203</v>
      </c>
      <c r="L8" s="399">
        <v>75352</v>
      </c>
      <c r="M8" s="399">
        <v>78998</v>
      </c>
      <c r="N8" s="28" t="s">
        <v>627</v>
      </c>
      <c r="O8" t="s">
        <v>300</v>
      </c>
      <c r="P8"/>
      <c r="Q8" s="22" t="s">
        <v>629</v>
      </c>
      <c r="R8" s="33" t="s">
        <v>631</v>
      </c>
      <c r="Z8" s="31">
        <f>Z7-4383</f>
        <v>6110</v>
      </c>
      <c r="AA8" s="31">
        <f>AA7-4951</f>
        <v>8514</v>
      </c>
      <c r="AB8" s="31">
        <f>AB7-6529</f>
        <v>7937</v>
      </c>
      <c r="AC8" s="31">
        <f>AC7-5547</f>
        <v>9382</v>
      </c>
      <c r="AD8" s="32">
        <f>AD7-5919-2466-797-580-485</f>
        <v>8573</v>
      </c>
      <c r="AE8" s="32">
        <f>+AE7-5203-2297-826-1081</f>
        <v>7153</v>
      </c>
      <c r="AF8" s="32">
        <f>+AF7-4248-1905-914-1191</f>
        <v>3963</v>
      </c>
      <c r="AG8" s="32">
        <f>+AG7-3645-1421-1045-1822</f>
        <v>577</v>
      </c>
      <c r="AY8" s="399">
        <v>47690</v>
      </c>
    </row>
    <row r="9" spans="1:51">
      <c r="A9" s="26" t="s">
        <v>582</v>
      </c>
      <c r="B9" s="286">
        <f>-17461+26994</f>
        <v>9533</v>
      </c>
      <c r="C9" s="286">
        <f>-6738+16570</f>
        <v>9832</v>
      </c>
      <c r="D9" s="286">
        <v>-8652</v>
      </c>
      <c r="E9" s="286">
        <f>-5480+16579</f>
        <v>11099</v>
      </c>
      <c r="F9" s="286">
        <v>-4272</v>
      </c>
      <c r="G9" s="286">
        <f>-6579+5562</f>
        <v>-1017</v>
      </c>
      <c r="H9" s="286">
        <f>-7062+4050</f>
        <v>-3012</v>
      </c>
      <c r="I9" s="286">
        <f>-5383+-7499</f>
        <v>-12882</v>
      </c>
      <c r="J9" s="286">
        <f>-5301+10747</f>
        <v>5446</v>
      </c>
      <c r="K9" s="286">
        <f>-5669+4341</f>
        <v>-1328</v>
      </c>
      <c r="L9" s="286">
        <f>-3068+9680</f>
        <v>6612</v>
      </c>
      <c r="M9" s="286">
        <f>-4992+6280</f>
        <v>1288</v>
      </c>
      <c r="N9" s="28" t="s">
        <v>627</v>
      </c>
      <c r="O9" t="s">
        <v>632</v>
      </c>
      <c r="P9"/>
      <c r="Q9" s="22" t="s">
        <v>629</v>
      </c>
      <c r="R9" s="22" t="s">
        <v>633</v>
      </c>
      <c r="S9" s="22" t="s">
        <v>634</v>
      </c>
      <c r="T9" s="22" t="s">
        <v>635</v>
      </c>
      <c r="U9" s="22" t="s">
        <v>636</v>
      </c>
      <c r="V9" s="22" t="s">
        <v>637</v>
      </c>
      <c r="Z9" s="31">
        <f>1853+596+595+1904+6+8</f>
        <v>4962</v>
      </c>
      <c r="AA9" s="31">
        <f>2119+587+2023+11</f>
        <v>4740</v>
      </c>
      <c r="AB9" s="31">
        <f>2380+624+1619-8+16</f>
        <v>4631</v>
      </c>
      <c r="AC9" s="31">
        <f>2046+727+981+6+14</f>
        <v>3774</v>
      </c>
      <c r="AD9" s="32">
        <f>-14+41</f>
        <v>27</v>
      </c>
      <c r="AE9" s="31">
        <v>53</v>
      </c>
      <c r="AF9" s="31">
        <f>58+24</f>
        <v>82</v>
      </c>
      <c r="AG9" s="31">
        <f>12-68</f>
        <v>-56</v>
      </c>
      <c r="AY9" s="286">
        <v>1404</v>
      </c>
    </row>
    <row r="10" spans="1:51">
      <c r="A10" s="26" t="s">
        <v>301</v>
      </c>
      <c r="B10" s="286">
        <v>-8730</v>
      </c>
      <c r="C10" s="286">
        <v>-638</v>
      </c>
      <c r="D10" s="286">
        <f>-2309+5081</f>
        <v>2772</v>
      </c>
      <c r="E10" s="286">
        <v>-3039</v>
      </c>
      <c r="F10" s="286">
        <f>-4732+2439</f>
        <v>-2293</v>
      </c>
      <c r="G10" s="286">
        <v>-3838</v>
      </c>
      <c r="H10" s="286">
        <v>-3174</v>
      </c>
      <c r="I10" s="398">
        <v>-1526</v>
      </c>
      <c r="J10" s="399">
        <v>-3097</v>
      </c>
      <c r="K10" s="286">
        <v>-5129</v>
      </c>
      <c r="L10" s="286">
        <v>-4043</v>
      </c>
      <c r="M10" s="286">
        <v>-3165</v>
      </c>
      <c r="N10" s="28" t="s">
        <v>627</v>
      </c>
      <c r="O10" t="s">
        <v>638</v>
      </c>
      <c r="P10"/>
      <c r="Q10" s="22" t="s">
        <v>629</v>
      </c>
      <c r="R10" s="22" t="s">
        <v>639</v>
      </c>
      <c r="Z10" s="31">
        <f>505+518</f>
        <v>1023</v>
      </c>
      <c r="AA10" s="31">
        <f>507-161</f>
        <v>346</v>
      </c>
      <c r="AB10" s="31">
        <f>484-322</f>
        <v>162</v>
      </c>
      <c r="AC10" s="31">
        <f>465+35</f>
        <v>500</v>
      </c>
      <c r="AD10" s="32">
        <f>467-130</f>
        <v>337</v>
      </c>
      <c r="AE10" s="31">
        <f>396+32</f>
        <v>428</v>
      </c>
      <c r="AF10" s="31">
        <f>343-130</f>
        <v>213</v>
      </c>
      <c r="AG10" s="31">
        <f>389-381</f>
        <v>8</v>
      </c>
      <c r="AY10" s="286">
        <v>-2727</v>
      </c>
    </row>
    <row r="11" spans="1:51">
      <c r="A11" s="26" t="s">
        <v>302</v>
      </c>
      <c r="B11" s="286">
        <v>-107941</v>
      </c>
      <c r="C11" s="286">
        <v>-102786</v>
      </c>
      <c r="D11" s="286">
        <v>-75797</v>
      </c>
      <c r="E11" s="286">
        <v>-78982</v>
      </c>
      <c r="F11" s="286">
        <v>-79645</v>
      </c>
      <c r="G11" s="286">
        <v>-56908</v>
      </c>
      <c r="H11" s="286">
        <v>-70688</v>
      </c>
      <c r="I11" s="398">
        <v>-64090</v>
      </c>
      <c r="J11" s="399">
        <v>-67965</v>
      </c>
      <c r="K11" s="286">
        <v>-55959</v>
      </c>
      <c r="L11" s="286">
        <v>-34336</v>
      </c>
      <c r="M11" s="286">
        <v>-35948</v>
      </c>
      <c r="N11" s="28" t="s">
        <v>627</v>
      </c>
      <c r="O11" t="s">
        <v>302</v>
      </c>
      <c r="P11"/>
      <c r="Q11" s="22" t="s">
        <v>629</v>
      </c>
      <c r="R11" s="22" t="s">
        <v>640</v>
      </c>
      <c r="Z11" s="27">
        <v>192</v>
      </c>
      <c r="AA11" s="27">
        <v>916</v>
      </c>
      <c r="AB11" s="27">
        <v>692</v>
      </c>
      <c r="AC11" s="27">
        <v>1319</v>
      </c>
      <c r="AD11" s="30">
        <f>2528</f>
        <v>2528</v>
      </c>
      <c r="AE11" s="27">
        <f>1720</f>
        <v>1720</v>
      </c>
      <c r="AF11" s="27">
        <f>968</f>
        <v>968</v>
      </c>
      <c r="AG11" s="27">
        <f>-270</f>
        <v>-270</v>
      </c>
      <c r="AJ11" s="22">
        <v>-8726</v>
      </c>
      <c r="AK11" s="22">
        <v>1189</v>
      </c>
      <c r="AL11" s="22">
        <v>-834</v>
      </c>
      <c r="AM11" s="22">
        <v>781</v>
      </c>
      <c r="AN11" s="22">
        <v>3153</v>
      </c>
      <c r="AO11" s="22">
        <v>-220</v>
      </c>
      <c r="AP11" s="22">
        <v>-605</v>
      </c>
      <c r="AQ11" s="22">
        <v>800</v>
      </c>
      <c r="AR11" s="22">
        <v>4</v>
      </c>
      <c r="AS11" s="22">
        <v>-124</v>
      </c>
      <c r="AT11" s="22">
        <v>-1</v>
      </c>
      <c r="AU11" s="22">
        <v>-1115</v>
      </c>
      <c r="AV11" s="22">
        <v>1404</v>
      </c>
      <c r="AY11" s="286">
        <v>22067</v>
      </c>
    </row>
    <row r="12" spans="1:51">
      <c r="A12" s="26" t="s">
        <v>71</v>
      </c>
      <c r="B12" s="286">
        <v>257755</v>
      </c>
      <c r="C12" s="286">
        <v>217710</v>
      </c>
      <c r="D12" s="286">
        <v>156250</v>
      </c>
      <c r="E12" s="286">
        <v>170732</v>
      </c>
      <c r="F12" s="286">
        <v>189049</v>
      </c>
      <c r="G12" s="286">
        <v>189053</v>
      </c>
      <c r="H12" s="286">
        <v>153939</v>
      </c>
      <c r="I12" s="397">
        <v>136988</v>
      </c>
      <c r="J12" s="286">
        <v>119675</v>
      </c>
      <c r="K12" s="286">
        <v>92787</v>
      </c>
      <c r="L12" s="286">
        <v>43585</v>
      </c>
      <c r="M12" s="286">
        <v>41173</v>
      </c>
      <c r="N12" s="28" t="s">
        <v>627</v>
      </c>
      <c r="O12" t="s">
        <v>71</v>
      </c>
      <c r="P12"/>
      <c r="Q12" s="22" t="s">
        <v>641</v>
      </c>
      <c r="R12" s="22" t="s">
        <v>642</v>
      </c>
      <c r="Z12" s="27">
        <v>-67</v>
      </c>
      <c r="AA12" s="27">
        <v>2512</v>
      </c>
      <c r="AB12" s="27">
        <v>2452</v>
      </c>
      <c r="AC12" s="27">
        <v>3789</v>
      </c>
      <c r="AD12" s="27">
        <v>5681</v>
      </c>
      <c r="AE12" s="27">
        <f>4928+24</f>
        <v>4952</v>
      </c>
      <c r="AF12" s="27">
        <v>2700</v>
      </c>
      <c r="AG12" s="27">
        <v>895</v>
      </c>
      <c r="AJ12" s="22">
        <v>-1047</v>
      </c>
      <c r="AK12" s="22">
        <v>-367</v>
      </c>
      <c r="AL12" s="22">
        <v>-1322</v>
      </c>
      <c r="AM12" s="22">
        <v>205</v>
      </c>
      <c r="AN12" s="22">
        <v>-809</v>
      </c>
      <c r="AO12" s="22">
        <v>-463</v>
      </c>
      <c r="AP12" s="22">
        <v>-475</v>
      </c>
      <c r="AQ12" s="22">
        <v>-1078</v>
      </c>
      <c r="AR12" s="22">
        <v>-437</v>
      </c>
      <c r="AS12" s="22">
        <v>-176</v>
      </c>
      <c r="AT12" s="22">
        <v>489</v>
      </c>
      <c r="AU12" s="22">
        <v>-430</v>
      </c>
      <c r="AV12" s="22">
        <v>-656</v>
      </c>
      <c r="AY12" s="286">
        <v>19876</v>
      </c>
    </row>
    <row r="13" spans="1:51">
      <c r="B13" s="400">
        <f>SUM(B8:B11)</f>
        <v>257755</v>
      </c>
      <c r="C13" s="400">
        <f t="shared" ref="C13:M13" si="1">SUM(C8:C11)</f>
        <v>217710</v>
      </c>
      <c r="D13" s="400">
        <f t="shared" si="1"/>
        <v>156250</v>
      </c>
      <c r="E13" s="400">
        <f t="shared" si="1"/>
        <v>170732</v>
      </c>
      <c r="F13" s="400">
        <f t="shared" si="1"/>
        <v>189049</v>
      </c>
      <c r="G13" s="400">
        <f t="shared" si="1"/>
        <v>189053</v>
      </c>
      <c r="H13" s="400">
        <f t="shared" si="1"/>
        <v>153939</v>
      </c>
      <c r="I13" s="400">
        <f t="shared" si="1"/>
        <v>136988</v>
      </c>
      <c r="J13" s="400">
        <f t="shared" si="1"/>
        <v>119675</v>
      </c>
      <c r="K13" s="400">
        <f t="shared" si="1"/>
        <v>92787</v>
      </c>
      <c r="L13" s="400">
        <f t="shared" si="1"/>
        <v>43585</v>
      </c>
      <c r="M13" s="400">
        <f t="shared" si="1"/>
        <v>41173</v>
      </c>
      <c r="N13"/>
      <c r="O13"/>
      <c r="P13"/>
      <c r="Z13" s="24">
        <f t="shared" ref="Z13:AG13" si="2">Z8-Z10-Z9-Z11</f>
        <v>-67</v>
      </c>
      <c r="AA13" s="24">
        <f t="shared" si="2"/>
        <v>2512</v>
      </c>
      <c r="AB13" s="24">
        <f t="shared" si="2"/>
        <v>2452</v>
      </c>
      <c r="AC13" s="24">
        <f t="shared" si="2"/>
        <v>3789</v>
      </c>
      <c r="AD13" s="24">
        <f t="shared" si="2"/>
        <v>5681</v>
      </c>
      <c r="AE13" s="24">
        <f t="shared" si="2"/>
        <v>4952</v>
      </c>
      <c r="AF13" s="24">
        <f t="shared" si="2"/>
        <v>2700</v>
      </c>
      <c r="AG13" s="24">
        <f t="shared" si="2"/>
        <v>895</v>
      </c>
      <c r="AJ13" s="22">
        <v>-7688</v>
      </c>
      <c r="AK13" s="22">
        <v>-7560</v>
      </c>
      <c r="AL13" s="22">
        <v>-6496</v>
      </c>
      <c r="AM13" s="22">
        <v>-6466</v>
      </c>
      <c r="AN13" s="22">
        <v>-6616</v>
      </c>
      <c r="AO13" s="22">
        <v>-5896</v>
      </c>
      <c r="AP13" s="22">
        <v>-5982</v>
      </c>
      <c r="AQ13" s="22">
        <v>-5105</v>
      </c>
      <c r="AR13" s="22">
        <v>-4868</v>
      </c>
      <c r="AS13" s="22">
        <v>-5369</v>
      </c>
      <c r="AT13" s="22">
        <v>-3556</v>
      </c>
      <c r="AU13" s="22">
        <v>-3447</v>
      </c>
      <c r="AV13" s="22">
        <v>-3768</v>
      </c>
      <c r="AY13" s="400">
        <f t="shared" ref="AY13" si="3">SUM(AY8:AY11)</f>
        <v>68434</v>
      </c>
    </row>
    <row r="14" spans="1:51">
      <c r="A14" s="51" t="s">
        <v>643</v>
      </c>
      <c r="B14" s="401">
        <f t="shared" ref="B14:M14" si="4">B12-B13</f>
        <v>0</v>
      </c>
      <c r="C14" s="401">
        <f t="shared" si="4"/>
        <v>0</v>
      </c>
      <c r="D14" s="401">
        <f t="shared" si="4"/>
        <v>0</v>
      </c>
      <c r="E14" s="401">
        <f t="shared" si="4"/>
        <v>0</v>
      </c>
      <c r="F14" s="401">
        <f t="shared" si="4"/>
        <v>0</v>
      </c>
      <c r="G14" s="401">
        <f t="shared" si="4"/>
        <v>0</v>
      </c>
      <c r="H14" s="401">
        <f t="shared" si="4"/>
        <v>0</v>
      </c>
      <c r="I14" s="401">
        <f t="shared" si="4"/>
        <v>0</v>
      </c>
      <c r="J14" s="401">
        <f t="shared" si="4"/>
        <v>0</v>
      </c>
      <c r="K14" s="401">
        <f t="shared" si="4"/>
        <v>0</v>
      </c>
      <c r="L14" s="401">
        <f t="shared" si="4"/>
        <v>0</v>
      </c>
      <c r="M14" s="401">
        <f t="shared" si="4"/>
        <v>0</v>
      </c>
      <c r="N14"/>
      <c r="O14"/>
      <c r="P14"/>
      <c r="X14" s="22" t="s">
        <v>644</v>
      </c>
      <c r="Z14" s="35">
        <f t="shared" ref="Z14:AG14" si="5">Z12-Z13</f>
        <v>0</v>
      </c>
      <c r="AA14" s="35">
        <f t="shared" si="5"/>
        <v>0</v>
      </c>
      <c r="AB14" s="35">
        <f t="shared" si="5"/>
        <v>0</v>
      </c>
      <c r="AC14" s="35">
        <f t="shared" si="5"/>
        <v>0</v>
      </c>
      <c r="AD14" s="35">
        <f t="shared" si="5"/>
        <v>0</v>
      </c>
      <c r="AE14" s="35">
        <f t="shared" si="5"/>
        <v>0</v>
      </c>
      <c r="AF14" s="35">
        <f t="shared" si="5"/>
        <v>0</v>
      </c>
      <c r="AG14" s="35">
        <f t="shared" si="5"/>
        <v>0</v>
      </c>
      <c r="AJ14" s="22">
        <f>SUM(AJ11:AJ13)</f>
        <v>-17461</v>
      </c>
      <c r="AK14" s="22">
        <f t="shared" ref="AK14:AV14" si="6">SUM(AK11:AK13)</f>
        <v>-6738</v>
      </c>
      <c r="AL14" s="22">
        <f t="shared" si="6"/>
        <v>-8652</v>
      </c>
      <c r="AM14" s="22">
        <f t="shared" si="6"/>
        <v>-5480</v>
      </c>
      <c r="AN14" s="22">
        <f t="shared" si="6"/>
        <v>-4272</v>
      </c>
      <c r="AO14" s="22">
        <f t="shared" si="6"/>
        <v>-6579</v>
      </c>
      <c r="AP14" s="22">
        <f t="shared" si="6"/>
        <v>-7062</v>
      </c>
      <c r="AQ14" s="22">
        <f t="shared" si="6"/>
        <v>-5383</v>
      </c>
      <c r="AR14" s="22">
        <f t="shared" si="6"/>
        <v>-5301</v>
      </c>
      <c r="AS14" s="22">
        <f t="shared" si="6"/>
        <v>-5669</v>
      </c>
      <c r="AT14" s="22">
        <f t="shared" si="6"/>
        <v>-3068</v>
      </c>
      <c r="AU14" s="22">
        <f t="shared" si="6"/>
        <v>-4992</v>
      </c>
      <c r="AV14" s="22">
        <f t="shared" si="6"/>
        <v>-3020</v>
      </c>
      <c r="AY14" s="401">
        <f t="shared" ref="AY14" si="7">AY12-AY13</f>
        <v>-48558</v>
      </c>
    </row>
    <row r="15" spans="1:51">
      <c r="A15"/>
      <c r="B15" s="405"/>
      <c r="C15" s="405"/>
      <c r="D15" s="405"/>
      <c r="E15" s="405"/>
      <c r="F15" s="405"/>
      <c r="G15" s="405"/>
      <c r="H15" s="405"/>
      <c r="I15" s="405"/>
      <c r="J15" s="405"/>
      <c r="K15" s="405"/>
      <c r="L15" s="405"/>
      <c r="M15" s="405"/>
      <c r="N15"/>
      <c r="O15"/>
      <c r="P15"/>
      <c r="X15" s="22" t="s">
        <v>645</v>
      </c>
      <c r="Z15" s="27"/>
      <c r="AA15" s="27"/>
      <c r="AB15" s="27"/>
      <c r="AC15" s="27"/>
      <c r="AD15" s="27"/>
      <c r="AE15" s="27"/>
      <c r="AF15" s="27"/>
      <c r="AG15" s="27"/>
      <c r="AY15" s="405"/>
    </row>
    <row r="16" spans="1:51">
      <c r="A16" s="26" t="s">
        <v>646</v>
      </c>
      <c r="B16" s="402">
        <v>293</v>
      </c>
      <c r="C16" s="402">
        <v>293</v>
      </c>
      <c r="D16" s="402">
        <v>293</v>
      </c>
      <c r="E16" s="402">
        <v>293</v>
      </c>
      <c r="F16" s="402">
        <v>292</v>
      </c>
      <c r="G16" s="402">
        <v>292</v>
      </c>
      <c r="H16" s="402">
        <v>292</v>
      </c>
      <c r="I16" s="403">
        <v>292</v>
      </c>
      <c r="J16" s="402">
        <v>292</v>
      </c>
      <c r="K16" s="402">
        <v>291</v>
      </c>
      <c r="L16" s="402">
        <v>291</v>
      </c>
      <c r="M16" s="402">
        <v>291</v>
      </c>
      <c r="N16" s="28"/>
      <c r="O16"/>
      <c r="P16"/>
      <c r="X16" s="22" t="s">
        <v>647</v>
      </c>
      <c r="Z16" s="27"/>
      <c r="AA16" s="27"/>
      <c r="AB16" s="27"/>
      <c r="AC16" s="27"/>
      <c r="AD16" s="27"/>
      <c r="AE16" s="27"/>
      <c r="AF16" s="27"/>
      <c r="AG16" s="27"/>
      <c r="AY16" s="402">
        <v>292</v>
      </c>
    </row>
    <row r="17" spans="1:152">
      <c r="A17" s="26" t="s">
        <v>648</v>
      </c>
      <c r="B17" s="402">
        <v>293</v>
      </c>
      <c r="C17" s="402">
        <v>293</v>
      </c>
      <c r="D17" s="402">
        <v>393</v>
      </c>
      <c r="E17" s="402">
        <v>293</v>
      </c>
      <c r="F17" s="402">
        <v>293</v>
      </c>
      <c r="G17" s="402">
        <v>293</v>
      </c>
      <c r="H17" s="402">
        <v>292</v>
      </c>
      <c r="I17" s="403">
        <v>292</v>
      </c>
      <c r="J17" s="402">
        <v>292</v>
      </c>
      <c r="K17" s="402">
        <v>292</v>
      </c>
      <c r="L17" s="402">
        <v>291</v>
      </c>
      <c r="M17" s="402">
        <v>291</v>
      </c>
      <c r="N17" s="28"/>
      <c r="O17"/>
      <c r="P17"/>
      <c r="X17" s="22" t="s">
        <v>649</v>
      </c>
      <c r="Z17" s="27"/>
      <c r="AA17" s="27"/>
      <c r="AB17" s="27"/>
      <c r="AC17" s="27"/>
      <c r="AD17" s="27"/>
      <c r="AE17" s="27"/>
      <c r="AF17" s="27"/>
      <c r="AG17" s="27"/>
      <c r="AY17" s="402">
        <v>292</v>
      </c>
    </row>
    <row r="18" spans="1:152" customFormat="1">
      <c r="B18" s="602"/>
      <c r="C18" s="602"/>
      <c r="D18" s="405"/>
      <c r="E18" s="405"/>
      <c r="F18" s="405"/>
      <c r="G18" s="405"/>
      <c r="H18" s="405"/>
      <c r="I18" s="405"/>
      <c r="J18" s="405"/>
      <c r="K18" s="405"/>
      <c r="L18" s="405"/>
      <c r="M18" s="405"/>
      <c r="X18" s="22" t="s">
        <v>650</v>
      </c>
      <c r="Y18" s="22"/>
      <c r="AY18" s="405"/>
    </row>
    <row r="19" spans="1:152">
      <c r="A19" s="26" t="s">
        <v>651</v>
      </c>
      <c r="B19" s="286">
        <v>103267</v>
      </c>
      <c r="C19" s="286">
        <v>143222</v>
      </c>
      <c r="D19" s="286">
        <v>75637</v>
      </c>
      <c r="E19" s="286">
        <v>-69586</v>
      </c>
      <c r="F19" s="286">
        <v>-8109</v>
      </c>
      <c r="G19" s="286">
        <v>11672</v>
      </c>
      <c r="H19" s="286">
        <v>-32609</v>
      </c>
      <c r="I19" s="397">
        <v>-86963</v>
      </c>
      <c r="J19" s="286">
        <v>93434</v>
      </c>
      <c r="K19" s="286">
        <v>59499</v>
      </c>
      <c r="L19" s="286">
        <v>64782</v>
      </c>
      <c r="M19" s="286">
        <v>-12968</v>
      </c>
      <c r="N19" s="28"/>
      <c r="O19"/>
      <c r="P19"/>
      <c r="Z19" s="27"/>
      <c r="AA19" s="27"/>
      <c r="AB19" s="27"/>
      <c r="AC19" s="27"/>
      <c r="AD19" s="27"/>
      <c r="AE19" s="27"/>
      <c r="AF19" s="27"/>
      <c r="AG19" s="27"/>
      <c r="AY19" s="286"/>
    </row>
    <row r="20" spans="1:152">
      <c r="A20" s="10" t="s">
        <v>652</v>
      </c>
      <c r="B20" s="286">
        <v>354228</v>
      </c>
      <c r="C20" s="286">
        <v>366141</v>
      </c>
      <c r="D20" s="286">
        <v>284851</v>
      </c>
      <c r="E20" s="286">
        <v>73322</v>
      </c>
      <c r="F20" s="286">
        <v>169829</v>
      </c>
      <c r="G20" s="286">
        <v>230616</v>
      </c>
      <c r="H20" s="286">
        <v>136343</v>
      </c>
      <c r="I20" s="397">
        <v>25590</v>
      </c>
      <c r="J20" s="286">
        <v>248650</v>
      </c>
      <c r="K20" s="286">
        <v>183328</v>
      </c>
      <c r="L20" s="286">
        <v>131768</v>
      </c>
      <c r="M20" s="286">
        <v>26949</v>
      </c>
      <c r="N20" s="28"/>
      <c r="O20"/>
      <c r="P20"/>
      <c r="X20" s="22" t="s">
        <v>653</v>
      </c>
      <c r="Z20" s="27"/>
      <c r="AA20" s="27"/>
      <c r="AB20" s="27"/>
      <c r="AC20" s="27"/>
      <c r="AD20" s="27"/>
      <c r="AE20" s="27"/>
      <c r="AF20" s="27"/>
      <c r="AG20" s="27"/>
      <c r="AY20" s="286"/>
    </row>
    <row r="21" spans="1:152" customFormat="1">
      <c r="A21" s="22"/>
      <c r="B21" s="405"/>
      <c r="C21" s="405"/>
      <c r="D21" s="405"/>
      <c r="E21" s="405"/>
      <c r="F21" s="405"/>
      <c r="G21" s="405"/>
      <c r="H21" s="405"/>
      <c r="I21" s="405"/>
      <c r="J21" s="405"/>
      <c r="K21" s="405"/>
      <c r="L21" s="405"/>
      <c r="M21" s="405"/>
      <c r="X21" s="22" t="s">
        <v>654</v>
      </c>
      <c r="Y21" s="22"/>
      <c r="AY21" s="405"/>
    </row>
    <row r="22" spans="1:152">
      <c r="A22" s="22" t="s">
        <v>583</v>
      </c>
      <c r="B22" s="400">
        <f>B23-C23</f>
        <v>318333</v>
      </c>
      <c r="C22" s="400">
        <f>C23-D23</f>
        <v>-189514</v>
      </c>
      <c r="D22" s="400">
        <f t="shared" ref="D22" si="8">D23-E23</f>
        <v>-8398</v>
      </c>
      <c r="E22" s="400">
        <f>E23-F23</f>
        <v>58668</v>
      </c>
      <c r="F22" s="400">
        <f t="shared" ref="F22" si="9">F23-G23</f>
        <v>-63926</v>
      </c>
      <c r="G22" s="400">
        <f t="shared" ref="G22" si="10">G23-H23</f>
        <v>55820</v>
      </c>
      <c r="H22" s="400">
        <f t="shared" ref="H22" si="11">H23-I23</f>
        <v>-22721</v>
      </c>
      <c r="I22" s="400">
        <f t="shared" ref="I22" si="12">I23-J23</f>
        <v>-58205</v>
      </c>
      <c r="J22" s="400">
        <f>J23-K23</f>
        <v>93592</v>
      </c>
      <c r="K22" s="400">
        <f t="shared" ref="K22" si="13">K23-L23</f>
        <v>-58679</v>
      </c>
      <c r="L22" s="400">
        <f>L23-M23</f>
        <v>138068</v>
      </c>
      <c r="M22" s="400">
        <f>M23-N23</f>
        <v>97060</v>
      </c>
      <c r="N22" s="34" t="s">
        <v>655</v>
      </c>
      <c r="O22" t="s">
        <v>656</v>
      </c>
      <c r="P22"/>
      <c r="Q22" s="22" t="s">
        <v>641</v>
      </c>
      <c r="X22" s="22" t="s">
        <v>657</v>
      </c>
      <c r="Z22" s="27"/>
      <c r="AA22" s="27"/>
      <c r="AB22" s="27"/>
      <c r="AC22" s="27"/>
      <c r="AD22" s="30"/>
      <c r="AE22" s="27"/>
      <c r="AF22" s="27"/>
      <c r="AG22" s="27"/>
      <c r="AY22" s="400">
        <f>AY23-AZ23</f>
        <v>103585</v>
      </c>
    </row>
    <row r="23" spans="1:152">
      <c r="A23" s="26" t="s">
        <v>658</v>
      </c>
      <c r="B23" s="286">
        <f>B27-B42-B28</f>
        <v>360098</v>
      </c>
      <c r="C23" s="286">
        <f t="shared" ref="C23:M23" si="14">C27-C42-C28</f>
        <v>41765</v>
      </c>
      <c r="D23" s="286">
        <f t="shared" si="14"/>
        <v>231279</v>
      </c>
      <c r="E23" s="286">
        <f t="shared" si="14"/>
        <v>239677</v>
      </c>
      <c r="F23" s="286">
        <f t="shared" si="14"/>
        <v>181009</v>
      </c>
      <c r="G23" s="286">
        <f t="shared" si="14"/>
        <v>244935</v>
      </c>
      <c r="H23" s="286">
        <f t="shared" si="14"/>
        <v>189115</v>
      </c>
      <c r="I23" s="286">
        <f t="shared" si="14"/>
        <v>211836</v>
      </c>
      <c r="J23" s="286">
        <f t="shared" si="14"/>
        <v>270041</v>
      </c>
      <c r="K23" s="286">
        <f t="shared" si="14"/>
        <v>176449</v>
      </c>
      <c r="L23" s="286">
        <f t="shared" si="14"/>
        <v>235128</v>
      </c>
      <c r="M23" s="286">
        <f t="shared" si="14"/>
        <v>97060</v>
      </c>
      <c r="N23" s="34"/>
      <c r="O23"/>
      <c r="P23"/>
      <c r="X23" s="22" t="s">
        <v>604</v>
      </c>
      <c r="Z23" s="27"/>
      <c r="AA23" s="27"/>
      <c r="AB23" s="27"/>
      <c r="AC23" s="27"/>
      <c r="AD23" s="30"/>
      <c r="AE23" s="27"/>
      <c r="AF23" s="27"/>
      <c r="AG23" s="27"/>
      <c r="AY23" s="286">
        <f t="shared" ref="AY23" si="15">AY27-AY42-AY28</f>
        <v>103585</v>
      </c>
    </row>
    <row r="24" spans="1:152">
      <c r="A24" s="7">
        <v>2625</v>
      </c>
      <c r="B24" s="406"/>
      <c r="C24" s="406">
        <v>2625</v>
      </c>
      <c r="D24" s="406">
        <v>2625</v>
      </c>
      <c r="E24" s="406">
        <v>2625</v>
      </c>
      <c r="F24" s="406">
        <v>2625</v>
      </c>
      <c r="G24" s="406">
        <v>2625</v>
      </c>
      <c r="H24" s="406">
        <v>2625</v>
      </c>
      <c r="I24" s="406">
        <v>2625</v>
      </c>
      <c r="J24" s="406">
        <v>2625</v>
      </c>
      <c r="K24" s="406">
        <v>2625</v>
      </c>
      <c r="L24" s="406">
        <v>2625</v>
      </c>
      <c r="M24" s="406">
        <v>2625</v>
      </c>
      <c r="N24" s="7">
        <v>2625</v>
      </c>
      <c r="O24"/>
      <c r="P24"/>
      <c r="Q24" s="22" t="s">
        <v>641</v>
      </c>
      <c r="R24" s="22" t="s">
        <v>659</v>
      </c>
      <c r="T24" s="22" t="s">
        <v>660</v>
      </c>
      <c r="X24" s="22" t="s">
        <v>661</v>
      </c>
      <c r="Z24" s="27">
        <v>1799</v>
      </c>
      <c r="AA24" s="27">
        <v>1757</v>
      </c>
      <c r="AB24" s="27">
        <v>1620</v>
      </c>
      <c r="AC24" s="27">
        <v>1111</v>
      </c>
      <c r="AD24" s="27">
        <v>1617</v>
      </c>
      <c r="AE24" s="27">
        <v>1159</v>
      </c>
      <c r="AF24" s="27">
        <v>1084</v>
      </c>
      <c r="AG24" s="27">
        <v>1029</v>
      </c>
      <c r="AY24" s="406">
        <v>2625</v>
      </c>
    </row>
    <row r="25" spans="1:152">
      <c r="A25" s="51" t="s">
        <v>496</v>
      </c>
      <c r="B25" s="406"/>
      <c r="C25" s="406">
        <v>2625</v>
      </c>
      <c r="D25" s="406">
        <v>2625</v>
      </c>
      <c r="E25" s="406">
        <v>2625</v>
      </c>
      <c r="F25" s="406">
        <v>2625</v>
      </c>
      <c r="G25" s="406">
        <v>2625</v>
      </c>
      <c r="H25" s="406">
        <v>2625</v>
      </c>
      <c r="I25" s="406">
        <v>2625</v>
      </c>
      <c r="J25" s="406">
        <v>2625</v>
      </c>
      <c r="K25" s="406">
        <v>2625</v>
      </c>
      <c r="L25" s="406">
        <v>2625</v>
      </c>
      <c r="M25" s="406">
        <v>2625</v>
      </c>
      <c r="N25" s="7">
        <v>2625</v>
      </c>
      <c r="O25"/>
      <c r="P25"/>
      <c r="Q25" s="22" t="s">
        <v>641</v>
      </c>
      <c r="R25" s="22" t="s">
        <v>662</v>
      </c>
      <c r="S25" s="22" t="s">
        <v>663</v>
      </c>
      <c r="T25" s="22" t="s">
        <v>664</v>
      </c>
      <c r="X25" s="22" t="s">
        <v>665</v>
      </c>
      <c r="Z25" s="27">
        <v>23</v>
      </c>
      <c r="AA25" s="27">
        <f>-33+2025</f>
        <v>1992</v>
      </c>
      <c r="AB25" s="27">
        <v>3817</v>
      </c>
      <c r="AC25" s="27">
        <v>1776</v>
      </c>
      <c r="AD25" s="27">
        <v>-244</v>
      </c>
      <c r="AE25" s="27">
        <v>-312</v>
      </c>
      <c r="AF25" s="27">
        <v>-449</v>
      </c>
      <c r="AG25" s="27">
        <v>-110</v>
      </c>
      <c r="AY25" s="406">
        <v>2625</v>
      </c>
    </row>
    <row r="26" spans="1:152">
      <c r="A26" s="112" t="s">
        <v>666</v>
      </c>
      <c r="B26" s="480"/>
      <c r="C26" s="480"/>
      <c r="D26" s="480"/>
      <c r="E26" s="480"/>
      <c r="F26" s="480"/>
      <c r="G26" s="480"/>
      <c r="H26" s="480"/>
      <c r="I26" s="480"/>
      <c r="J26" s="480"/>
      <c r="K26" s="480"/>
      <c r="L26" s="480"/>
      <c r="M26" s="480"/>
      <c r="N26" s="7">
        <v>1922</v>
      </c>
      <c r="O26" s="7">
        <v>2625</v>
      </c>
      <c r="P26"/>
      <c r="X26" s="22" t="s">
        <v>667</v>
      </c>
      <c r="Z26" s="27"/>
      <c r="AA26" s="27"/>
      <c r="AB26" s="27"/>
      <c r="AC26" s="27"/>
      <c r="AD26" s="27"/>
      <c r="AE26" s="27"/>
      <c r="AF26" s="27"/>
      <c r="AG26" s="27"/>
      <c r="AY26" s="480"/>
    </row>
    <row r="27" spans="1:152">
      <c r="A27" s="10" t="s">
        <v>668</v>
      </c>
      <c r="B27" s="285">
        <v>2427082</v>
      </c>
      <c r="C27" s="285">
        <v>2165623</v>
      </c>
      <c r="D27" s="285">
        <v>1733361</v>
      </c>
      <c r="E27" s="285">
        <v>1304427</v>
      </c>
      <c r="F27" s="285">
        <v>1317605</v>
      </c>
      <c r="G27" s="285">
        <v>1205293</v>
      </c>
      <c r="H27" s="285">
        <v>1159884</v>
      </c>
      <c r="I27" s="285">
        <v>1066768</v>
      </c>
      <c r="J27" s="285">
        <v>1082614</v>
      </c>
      <c r="K27" s="285">
        <v>967211</v>
      </c>
      <c r="L27" s="285">
        <v>803326</v>
      </c>
      <c r="M27" s="285">
        <v>629047</v>
      </c>
      <c r="N27" s="7"/>
      <c r="O27" s="7"/>
      <c r="P27"/>
      <c r="X27" s="22" t="s">
        <v>669</v>
      </c>
      <c r="Z27" s="27"/>
      <c r="AA27" s="27"/>
      <c r="AB27" s="27"/>
      <c r="AC27" s="27"/>
      <c r="AD27" s="27"/>
      <c r="AE27" s="27"/>
      <c r="AF27" s="27"/>
      <c r="AG27" s="27"/>
      <c r="AY27" s="285">
        <v>599110</v>
      </c>
    </row>
    <row r="28" spans="1:152">
      <c r="A28" s="109" t="s">
        <v>304</v>
      </c>
      <c r="B28" s="286">
        <v>617663</v>
      </c>
      <c r="C28" s="286">
        <v>817619</v>
      </c>
      <c r="D28" s="286">
        <v>736098</v>
      </c>
      <c r="E28" s="286">
        <v>370793</v>
      </c>
      <c r="F28" s="286">
        <v>367781</v>
      </c>
      <c r="G28" s="286">
        <v>357027</v>
      </c>
      <c r="H28" s="286">
        <v>344093</v>
      </c>
      <c r="I28" s="286">
        <v>291205</v>
      </c>
      <c r="J28" s="286">
        <v>286949</v>
      </c>
      <c r="K28" s="286">
        <v>257295</v>
      </c>
      <c r="L28" s="286">
        <v>185571</v>
      </c>
      <c r="M28" s="286">
        <v>135648</v>
      </c>
      <c r="N28" s="37" t="s">
        <v>670</v>
      </c>
      <c r="O28" t="s">
        <v>304</v>
      </c>
      <c r="P28"/>
      <c r="X28" s="22" t="s">
        <v>671</v>
      </c>
      <c r="Z28" s="36"/>
      <c r="AA28" s="36"/>
      <c r="AB28" s="36"/>
      <c r="AC28" s="36"/>
      <c r="AD28" s="36"/>
      <c r="AE28" s="35"/>
      <c r="AF28" s="35"/>
      <c r="AG28" s="35"/>
      <c r="AY28" s="286">
        <v>167718</v>
      </c>
    </row>
    <row r="29" spans="1:152">
      <c r="A29" s="110" t="s">
        <v>592</v>
      </c>
      <c r="B29" s="286">
        <v>687135</v>
      </c>
      <c r="C29" s="286">
        <v>578148</v>
      </c>
      <c r="D29" s="286">
        <v>455256</v>
      </c>
      <c r="E29" s="286">
        <v>430194</v>
      </c>
      <c r="F29" s="286">
        <v>438684</v>
      </c>
      <c r="G29" s="286">
        <v>392331</v>
      </c>
      <c r="H29" s="286">
        <v>360845</v>
      </c>
      <c r="I29" s="286">
        <v>349367</v>
      </c>
      <c r="J29" s="286">
        <v>347584</v>
      </c>
      <c r="K29" s="286">
        <v>310986</v>
      </c>
      <c r="L29" s="286">
        <v>257096</v>
      </c>
      <c r="M29" s="286">
        <v>204269</v>
      </c>
      <c r="N29" s="37" t="s">
        <v>670</v>
      </c>
      <c r="O29" t="s">
        <v>592</v>
      </c>
      <c r="P29"/>
      <c r="Z29" s="36"/>
      <c r="AA29" s="36"/>
      <c r="AB29" s="36"/>
      <c r="AC29" s="36"/>
      <c r="AD29" s="36"/>
      <c r="AE29" s="35"/>
      <c r="AF29" s="35"/>
      <c r="AG29" s="35"/>
      <c r="AY29" s="286">
        <v>193968</v>
      </c>
    </row>
    <row r="30" spans="1:152">
      <c r="A30" s="109" t="s">
        <v>306</v>
      </c>
      <c r="B30" s="286">
        <v>993383</v>
      </c>
      <c r="C30" s="286">
        <v>671461</v>
      </c>
      <c r="D30" s="286">
        <v>469396</v>
      </c>
      <c r="E30" s="286">
        <v>433782</v>
      </c>
      <c r="F30" s="286">
        <v>436356</v>
      </c>
      <c r="G30" s="286">
        <v>387225</v>
      </c>
      <c r="H30" s="286">
        <v>358301</v>
      </c>
      <c r="I30" s="286">
        <v>333650</v>
      </c>
      <c r="J30" s="286">
        <v>354158</v>
      </c>
      <c r="K30" s="286">
        <v>317559</v>
      </c>
      <c r="L30" s="286">
        <v>285167</v>
      </c>
      <c r="M30" s="286">
        <v>243598</v>
      </c>
      <c r="N30" s="37" t="s">
        <v>670</v>
      </c>
      <c r="O30" t="s">
        <v>306</v>
      </c>
      <c r="P30"/>
      <c r="Q30" s="22" t="s">
        <v>672</v>
      </c>
      <c r="R30" s="22" t="s">
        <v>673</v>
      </c>
      <c r="Z30" s="27">
        <v>7168</v>
      </c>
      <c r="AA30" s="27">
        <v>6460</v>
      </c>
      <c r="AB30" s="27">
        <v>7341</v>
      </c>
      <c r="AC30" s="27">
        <v>6081</v>
      </c>
      <c r="AD30" s="27">
        <v>5490</v>
      </c>
      <c r="AE30" s="27">
        <v>3057</v>
      </c>
      <c r="AF30" s="27">
        <v>3592</v>
      </c>
      <c r="AG30" s="27">
        <v>4867</v>
      </c>
      <c r="AY30" s="286">
        <v>201771</v>
      </c>
    </row>
    <row r="31" spans="1:152" s="23" customFormat="1">
      <c r="A31" s="109" t="s">
        <v>674</v>
      </c>
      <c r="B31" s="286">
        <f>B27-SUM(B28:B30)</f>
        <v>128901</v>
      </c>
      <c r="C31" s="286">
        <f>C27-SUM(C28:C30)</f>
        <v>98395</v>
      </c>
      <c r="D31" s="286">
        <f t="shared" ref="D31:M31" si="16">D27-SUM(D28:D30)</f>
        <v>72611</v>
      </c>
      <c r="E31" s="286">
        <f t="shared" si="16"/>
        <v>69658</v>
      </c>
      <c r="F31" s="286">
        <f t="shared" si="16"/>
        <v>74784</v>
      </c>
      <c r="G31" s="286">
        <f t="shared" si="16"/>
        <v>68710</v>
      </c>
      <c r="H31" s="286">
        <f t="shared" si="16"/>
        <v>96645</v>
      </c>
      <c r="I31" s="286">
        <f t="shared" si="16"/>
        <v>92546</v>
      </c>
      <c r="J31" s="286">
        <f t="shared" si="16"/>
        <v>93923</v>
      </c>
      <c r="K31" s="286">
        <f t="shared" si="16"/>
        <v>81371</v>
      </c>
      <c r="L31" s="286">
        <f t="shared" si="16"/>
        <v>75492</v>
      </c>
      <c r="M31" s="286">
        <f t="shared" si="16"/>
        <v>45532</v>
      </c>
      <c r="N31" s="37" t="s">
        <v>670</v>
      </c>
      <c r="O31" t="s">
        <v>306</v>
      </c>
      <c r="P31"/>
      <c r="Q31" s="22" t="s">
        <v>672</v>
      </c>
      <c r="R31" s="22" t="s">
        <v>675</v>
      </c>
      <c r="S31" s="22" t="s">
        <v>676</v>
      </c>
      <c r="T31" s="22" t="s">
        <v>677</v>
      </c>
      <c r="U31" s="22"/>
      <c r="V31" s="22"/>
      <c r="W31" s="22"/>
      <c r="X31" s="22"/>
      <c r="Y31" s="22"/>
      <c r="Z31" s="31">
        <f>5981+8522+1029+13556</f>
        <v>29088</v>
      </c>
      <c r="AA31" s="31">
        <f>6695+8991+1170+13651</f>
        <v>30507</v>
      </c>
      <c r="AB31" s="31">
        <f>7737+9027+1364+14644</f>
        <v>32772</v>
      </c>
      <c r="AC31" s="31">
        <v>33499</v>
      </c>
      <c r="AD31" s="31">
        <v>33911</v>
      </c>
      <c r="AE31" s="31">
        <v>31031</v>
      </c>
      <c r="AF31" s="31">
        <v>28849</v>
      </c>
      <c r="AG31" s="31">
        <v>27162</v>
      </c>
      <c r="AH31" s="22"/>
      <c r="AI31" s="22"/>
      <c r="AJ31" s="22"/>
      <c r="AK31" s="22"/>
      <c r="AL31" s="22"/>
      <c r="AM31" s="22"/>
      <c r="AN31" s="22"/>
      <c r="AO31" s="22"/>
      <c r="AP31" s="22"/>
      <c r="AQ31" s="22"/>
      <c r="AR31" s="22"/>
      <c r="AS31" s="22"/>
      <c r="AT31" s="22"/>
      <c r="AU31" s="22"/>
      <c r="AV31" s="22"/>
      <c r="AW31" s="22"/>
      <c r="AX31" s="22"/>
      <c r="AY31" s="286">
        <f t="shared" ref="AY31" si="17">AY27-SUM(AY28:AY30)</f>
        <v>35653</v>
      </c>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row>
    <row r="32" spans="1:152" s="23" customFormat="1">
      <c r="A32" s="10" t="s">
        <v>678</v>
      </c>
      <c r="B32" s="285">
        <f>B38-B27</f>
        <v>1876600</v>
      </c>
      <c r="C32" s="285">
        <f>C38-C27</f>
        <v>1657415</v>
      </c>
      <c r="D32" s="285">
        <f>D38-D27</f>
        <v>1506301</v>
      </c>
      <c r="E32" s="285">
        <f t="shared" ref="E32:M32" si="18">E38-E27</f>
        <v>1363085</v>
      </c>
      <c r="F32" s="285">
        <f t="shared" si="18"/>
        <v>1383285</v>
      </c>
      <c r="G32" s="285">
        <f t="shared" si="18"/>
        <v>1270415</v>
      </c>
      <c r="H32" s="285">
        <f t="shared" si="18"/>
        <v>1196264</v>
      </c>
      <c r="I32" s="285">
        <f t="shared" si="18"/>
        <v>1124337</v>
      </c>
      <c r="J32" s="285">
        <f t="shared" si="18"/>
        <v>1181375</v>
      </c>
      <c r="K32" s="285">
        <f t="shared" si="18"/>
        <v>1044659</v>
      </c>
      <c r="L32" s="285">
        <f t="shared" si="18"/>
        <v>932510</v>
      </c>
      <c r="M32" s="285">
        <f t="shared" si="18"/>
        <v>531517</v>
      </c>
      <c r="N32" s="37"/>
      <c r="O32"/>
      <c r="P32"/>
      <c r="Q32" s="22"/>
      <c r="R32" s="22"/>
      <c r="S32" s="22"/>
      <c r="T32" s="22"/>
      <c r="U32" s="22"/>
      <c r="V32" s="22"/>
      <c r="W32" s="22"/>
      <c r="X32" s="22"/>
      <c r="Y32" s="22"/>
      <c r="Z32" s="31"/>
      <c r="AA32" s="31"/>
      <c r="AB32" s="31"/>
      <c r="AC32" s="31"/>
      <c r="AD32" s="31"/>
      <c r="AE32" s="31"/>
      <c r="AF32" s="31"/>
      <c r="AG32" s="31"/>
      <c r="AH32" s="22"/>
      <c r="AI32" s="22"/>
      <c r="AJ32" s="22"/>
      <c r="AK32" s="22"/>
      <c r="AL32" s="22"/>
      <c r="AM32" s="22"/>
      <c r="AN32" s="22"/>
      <c r="AO32" s="22"/>
      <c r="AP32" s="22"/>
      <c r="AQ32" s="22"/>
      <c r="AR32" s="22"/>
      <c r="AS32" s="22"/>
      <c r="AT32" s="22"/>
      <c r="AU32" s="22"/>
      <c r="AV32" s="22"/>
      <c r="AW32" s="22"/>
      <c r="AX32" s="22"/>
      <c r="AY32" s="285">
        <f t="shared" ref="AY32" si="19">AY38-AY27</f>
        <v>533388</v>
      </c>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row>
    <row r="33" spans="1:51">
      <c r="A33" s="111" t="s">
        <v>593</v>
      </c>
      <c r="B33" s="286">
        <v>900944</v>
      </c>
      <c r="C33" s="286">
        <v>743364</v>
      </c>
      <c r="D33" s="286">
        <v>647410</v>
      </c>
      <c r="E33" s="286">
        <v>579980</v>
      </c>
      <c r="F33" s="286">
        <v>482962</v>
      </c>
      <c r="G33" s="286">
        <v>454834</v>
      </c>
      <c r="H33" s="286">
        <v>424527</v>
      </c>
      <c r="I33" s="286">
        <v>385099</v>
      </c>
      <c r="J33" s="286">
        <v>347755</v>
      </c>
      <c r="K33" s="286">
        <v>299716</v>
      </c>
      <c r="L33" s="286">
        <v>274201</v>
      </c>
      <c r="M33" s="286">
        <v>224357</v>
      </c>
      <c r="N33" s="37"/>
      <c r="O33"/>
      <c r="P33"/>
      <c r="Q33" s="22" t="s">
        <v>672</v>
      </c>
      <c r="R33" s="22" t="s">
        <v>679</v>
      </c>
      <c r="Z33" s="27">
        <v>8614</v>
      </c>
      <c r="AA33" s="27">
        <v>9700</v>
      </c>
      <c r="AB33" s="27">
        <v>12205</v>
      </c>
      <c r="AC33" s="27">
        <v>12625</v>
      </c>
      <c r="AD33" s="27">
        <v>15547</v>
      </c>
      <c r="AE33" s="27">
        <v>14544</v>
      </c>
      <c r="AF33" s="27">
        <v>9587</v>
      </c>
      <c r="AG33" s="27">
        <v>6360</v>
      </c>
      <c r="AJ33" s="22">
        <v>270467</v>
      </c>
      <c r="AK33" s="22">
        <v>268684</v>
      </c>
      <c r="AL33" s="22">
        <v>281969</v>
      </c>
      <c r="AM33" s="22">
        <v>322318</v>
      </c>
      <c r="AN33" s="22">
        <v>309282</v>
      </c>
      <c r="AO33" s="22">
        <v>330876</v>
      </c>
      <c r="AP33" s="22">
        <v>329753</v>
      </c>
      <c r="AQ33" s="22">
        <v>369964</v>
      </c>
      <c r="AR33" s="22">
        <v>361667</v>
      </c>
      <c r="AS33" s="22">
        <v>348411</v>
      </c>
      <c r="AT33" s="22">
        <v>166276</v>
      </c>
      <c r="AU33" s="22">
        <v>170561</v>
      </c>
      <c r="AY33" s="286">
        <v>214005</v>
      </c>
    </row>
    <row r="34" spans="1:51">
      <c r="A34" s="111" t="s">
        <v>680</v>
      </c>
      <c r="B34" s="286">
        <v>0</v>
      </c>
      <c r="C34" s="286">
        <v>0</v>
      </c>
      <c r="D34" s="286">
        <v>0</v>
      </c>
      <c r="E34" s="286">
        <v>8888</v>
      </c>
      <c r="F34" s="286">
        <v>89052</v>
      </c>
      <c r="G34" s="286">
        <v>66162</v>
      </c>
      <c r="H34" s="286">
        <v>56810</v>
      </c>
      <c r="I34" s="286">
        <v>45763</v>
      </c>
      <c r="J34" s="286">
        <v>38648</v>
      </c>
      <c r="K34" s="286">
        <v>34415</v>
      </c>
      <c r="L34" s="286">
        <v>30680</v>
      </c>
      <c r="M34" s="286">
        <v>19283</v>
      </c>
      <c r="N34" s="37"/>
      <c r="O34"/>
      <c r="P34"/>
      <c r="Z34" s="27"/>
      <c r="AA34" s="27"/>
      <c r="AB34" s="27"/>
      <c r="AC34" s="27"/>
      <c r="AD34" s="27"/>
      <c r="AE34" s="27"/>
      <c r="AF34" s="27"/>
      <c r="AG34" s="27"/>
      <c r="AJ34" s="22">
        <v>306540</v>
      </c>
      <c r="AK34" s="22">
        <v>274077</v>
      </c>
      <c r="AL34" s="22">
        <v>260687</v>
      </c>
      <c r="AM34" s="22">
        <v>295822</v>
      </c>
      <c r="AN34" s="22">
        <v>206777</v>
      </c>
      <c r="AO34" s="22">
        <v>206087</v>
      </c>
      <c r="AP34" s="22">
        <v>189108</v>
      </c>
      <c r="AQ34" s="22">
        <v>206760</v>
      </c>
      <c r="AR34" s="22">
        <v>184089</v>
      </c>
      <c r="AS34" s="22">
        <v>162477</v>
      </c>
      <c r="AT34" s="22">
        <v>14210</v>
      </c>
      <c r="AU34" s="22">
        <v>8466</v>
      </c>
      <c r="AY34" s="286">
        <v>179027</v>
      </c>
    </row>
    <row r="35" spans="1:51">
      <c r="A35" s="111" t="s">
        <v>681</v>
      </c>
      <c r="B35" s="286">
        <v>186861</v>
      </c>
      <c r="C35" s="286">
        <v>216268</v>
      </c>
      <c r="D35" s="286">
        <v>230206</v>
      </c>
      <c r="E35" s="286">
        <v>174264</v>
      </c>
      <c r="F35" s="286">
        <v>222799</v>
      </c>
      <c r="G35" s="286">
        <v>244969</v>
      </c>
      <c r="H35" s="286">
        <v>197999</v>
      </c>
      <c r="I35" s="286">
        <v>189587</v>
      </c>
      <c r="J35" s="286">
        <v>220735</v>
      </c>
      <c r="K35" s="286">
        <v>158550</v>
      </c>
      <c r="L35" s="286">
        <v>117118</v>
      </c>
      <c r="M35" s="286">
        <v>98969</v>
      </c>
      <c r="N35" s="37"/>
      <c r="O35"/>
      <c r="P35"/>
      <c r="Z35" s="27"/>
      <c r="AA35" s="27"/>
      <c r="AB35" s="27"/>
      <c r="AC35" s="27"/>
      <c r="AD35" s="27"/>
      <c r="AE35" s="27"/>
      <c r="AF35" s="27"/>
      <c r="AG35" s="27"/>
      <c r="AJ35" s="22">
        <f>AJ34+AJ33</f>
        <v>577007</v>
      </c>
      <c r="AK35" s="22">
        <f t="shared" ref="AK35:AU35" si="20">AK34+AK33</f>
        <v>542761</v>
      </c>
      <c r="AL35" s="22">
        <f t="shared" si="20"/>
        <v>542656</v>
      </c>
      <c r="AM35" s="22">
        <f t="shared" si="20"/>
        <v>618140</v>
      </c>
      <c r="AN35" s="22">
        <f t="shared" si="20"/>
        <v>516059</v>
      </c>
      <c r="AO35" s="22">
        <f t="shared" si="20"/>
        <v>536963</v>
      </c>
      <c r="AP35" s="22">
        <f t="shared" si="20"/>
        <v>518861</v>
      </c>
      <c r="AQ35" s="22">
        <f t="shared" si="20"/>
        <v>576724</v>
      </c>
      <c r="AR35" s="22">
        <f t="shared" si="20"/>
        <v>545756</v>
      </c>
      <c r="AS35" s="22">
        <f t="shared" si="20"/>
        <v>510888</v>
      </c>
      <c r="AT35" s="22">
        <f t="shared" si="20"/>
        <v>180486</v>
      </c>
      <c r="AU35" s="22">
        <f t="shared" si="20"/>
        <v>179027</v>
      </c>
      <c r="AY35" s="286">
        <v>105897</v>
      </c>
    </row>
    <row r="36" spans="1:51">
      <c r="A36" s="111" t="s">
        <v>682</v>
      </c>
      <c r="B36" s="286">
        <f>B32-SUM(B33:B35)</f>
        <v>788795</v>
      </c>
      <c r="C36" s="286">
        <f>C32-SUM(C33:C35)</f>
        <v>697783</v>
      </c>
      <c r="D36" s="286">
        <f t="shared" ref="D36" si="21">D32-SUM(D33:D35)</f>
        <v>628685</v>
      </c>
      <c r="E36" s="286">
        <f t="shared" ref="E36" si="22">E32-SUM(E33:E35)</f>
        <v>599953</v>
      </c>
      <c r="F36" s="286">
        <f>F32-SUM(F33:F35)</f>
        <v>588472</v>
      </c>
      <c r="G36" s="286">
        <f t="shared" ref="G36" si="23">G32-SUM(G33:G35)</f>
        <v>504450</v>
      </c>
      <c r="H36" s="286">
        <f t="shared" ref="H36" si="24">H32-SUM(H33:H35)</f>
        <v>516928</v>
      </c>
      <c r="I36" s="286">
        <f t="shared" ref="I36" si="25">I32-SUM(I33:I35)</f>
        <v>503888</v>
      </c>
      <c r="J36" s="286">
        <f t="shared" ref="J36" si="26">J32-SUM(J33:J35)</f>
        <v>574237</v>
      </c>
      <c r="K36" s="286">
        <f t="shared" ref="K36" si="27">K32-SUM(K33:K35)</f>
        <v>551978</v>
      </c>
      <c r="L36" s="286">
        <f t="shared" ref="L36" si="28">L32-SUM(L33:L35)</f>
        <v>510511</v>
      </c>
      <c r="M36" s="286">
        <f t="shared" ref="M36" si="29">M32-SUM(M33:M35)</f>
        <v>188908</v>
      </c>
      <c r="N36" s="37" t="s">
        <v>670</v>
      </c>
      <c r="O36" t="s">
        <v>593</v>
      </c>
      <c r="P36"/>
      <c r="Z36" s="27"/>
      <c r="AA36" s="27"/>
      <c r="AB36" s="27"/>
      <c r="AC36" s="27"/>
      <c r="AD36" s="27"/>
      <c r="AE36" s="27"/>
      <c r="AF36" s="27"/>
      <c r="AG36" s="27"/>
      <c r="AY36" s="286">
        <f t="shared" ref="AY36" si="30">AY32-SUM(AY33:AY35)</f>
        <v>34459</v>
      </c>
    </row>
    <row r="37" spans="1:51">
      <c r="A37" s="22" t="s">
        <v>594</v>
      </c>
      <c r="B37" s="400">
        <f>B31+B36</f>
        <v>917696</v>
      </c>
      <c r="C37" s="400">
        <f>C31+C36</f>
        <v>796178</v>
      </c>
      <c r="D37" s="400">
        <f>D31+D36</f>
        <v>701296</v>
      </c>
      <c r="E37" s="400">
        <f t="shared" ref="E37:M37" si="31">E31+E36</f>
        <v>669611</v>
      </c>
      <c r="F37" s="400">
        <f t="shared" si="31"/>
        <v>663256</v>
      </c>
      <c r="G37" s="400">
        <f t="shared" si="31"/>
        <v>573160</v>
      </c>
      <c r="H37" s="400">
        <f t="shared" si="31"/>
        <v>613573</v>
      </c>
      <c r="I37" s="400">
        <f t="shared" si="31"/>
        <v>596434</v>
      </c>
      <c r="J37" s="400">
        <f t="shared" si="31"/>
        <v>668160</v>
      </c>
      <c r="K37" s="400">
        <f t="shared" si="31"/>
        <v>633349</v>
      </c>
      <c r="L37" s="400">
        <f t="shared" si="31"/>
        <v>586003</v>
      </c>
      <c r="M37" s="400">
        <f t="shared" si="31"/>
        <v>234440</v>
      </c>
      <c r="N37" s="37" t="s">
        <v>670</v>
      </c>
      <c r="O37"/>
      <c r="P37"/>
      <c r="Z37" s="27"/>
      <c r="AA37" s="27"/>
      <c r="AB37" s="27"/>
      <c r="AC37" s="27"/>
      <c r="AD37" s="27"/>
      <c r="AE37" s="27"/>
      <c r="AF37" s="27"/>
      <c r="AG37" s="27"/>
      <c r="AY37" s="400">
        <f t="shared" ref="AY37" si="32">AY31+AY36</f>
        <v>70112</v>
      </c>
    </row>
    <row r="38" spans="1:51">
      <c r="A38" s="10" t="s">
        <v>46</v>
      </c>
      <c r="B38" s="285">
        <v>4303682</v>
      </c>
      <c r="C38" s="285">
        <v>3823038</v>
      </c>
      <c r="D38" s="285">
        <v>3239662</v>
      </c>
      <c r="E38" s="285">
        <v>2667512</v>
      </c>
      <c r="F38" s="285">
        <v>2700890</v>
      </c>
      <c r="G38" s="285">
        <v>2475708</v>
      </c>
      <c r="H38" s="285">
        <v>2356148</v>
      </c>
      <c r="I38" s="285">
        <v>2191105</v>
      </c>
      <c r="J38" s="285">
        <v>2263989</v>
      </c>
      <c r="K38" s="285">
        <v>2011870</v>
      </c>
      <c r="L38" s="285">
        <v>1735836</v>
      </c>
      <c r="M38" s="285">
        <v>1160564</v>
      </c>
      <c r="N38" s="37" t="s">
        <v>670</v>
      </c>
      <c r="O38" t="s">
        <v>46</v>
      </c>
      <c r="P38"/>
      <c r="Q38" s="22" t="s">
        <v>672</v>
      </c>
      <c r="R38" s="22" t="s">
        <v>683</v>
      </c>
      <c r="Z38" s="27">
        <v>15322</v>
      </c>
      <c r="AA38" s="27">
        <v>16090</v>
      </c>
      <c r="AB38" s="27">
        <f>16577</f>
        <v>16577</v>
      </c>
      <c r="AC38" s="27">
        <v>17075</v>
      </c>
      <c r="AD38" s="27">
        <v>16461</v>
      </c>
      <c r="AE38" s="27">
        <v>14395</v>
      </c>
      <c r="AF38" s="27">
        <v>12539</v>
      </c>
      <c r="AG38" s="27">
        <v>12386</v>
      </c>
      <c r="AJ38" s="22">
        <v>97376</v>
      </c>
      <c r="AK38" s="22">
        <v>40754</v>
      </c>
      <c r="AL38" s="22">
        <v>48937</v>
      </c>
      <c r="AM38" s="22">
        <v>146066</v>
      </c>
      <c r="AN38" s="22">
        <v>45530</v>
      </c>
      <c r="AO38" s="22">
        <v>57699</v>
      </c>
      <c r="AP38" s="22">
        <v>54675</v>
      </c>
      <c r="AQ38" s="22">
        <v>57897</v>
      </c>
      <c r="AR38" s="22">
        <v>43325</v>
      </c>
      <c r="AS38" s="22">
        <v>65334</v>
      </c>
      <c r="AT38" s="22">
        <v>90448</v>
      </c>
      <c r="AU38" s="22">
        <v>73977</v>
      </c>
      <c r="AY38" s="285">
        <v>1132498</v>
      </c>
    </row>
    <row r="39" spans="1:51">
      <c r="B39" s="400"/>
      <c r="C39" s="400"/>
      <c r="D39" s="400"/>
      <c r="E39" s="400"/>
      <c r="F39" s="400"/>
      <c r="G39" s="400"/>
      <c r="H39" s="400"/>
      <c r="I39" s="400"/>
      <c r="J39" s="400"/>
      <c r="K39" s="400"/>
      <c r="L39" s="400"/>
      <c r="M39" s="400"/>
      <c r="N39" s="37" t="s">
        <v>670</v>
      </c>
      <c r="O39"/>
      <c r="P39"/>
      <c r="Z39" s="24">
        <f t="shared" ref="Z39:AG39" si="33">Z40-SUM(Z30:Z38)</f>
        <v>14512</v>
      </c>
      <c r="AA39" s="24">
        <f t="shared" si="33"/>
        <v>15585</v>
      </c>
      <c r="AB39" s="24">
        <f t="shared" si="33"/>
        <v>15786</v>
      </c>
      <c r="AC39" s="24">
        <f t="shared" si="33"/>
        <v>15616</v>
      </c>
      <c r="AD39" s="24">
        <f t="shared" si="33"/>
        <v>17947</v>
      </c>
      <c r="AE39" s="24">
        <f t="shared" si="33"/>
        <v>18419</v>
      </c>
      <c r="AF39" s="24">
        <f t="shared" si="33"/>
        <v>9453</v>
      </c>
      <c r="AG39" s="24">
        <f t="shared" si="33"/>
        <v>9263</v>
      </c>
      <c r="AJ39" s="22">
        <v>390415</v>
      </c>
      <c r="AK39" s="22">
        <v>96917</v>
      </c>
      <c r="AL39" s="22">
        <v>123200</v>
      </c>
      <c r="AM39" s="22">
        <v>93626</v>
      </c>
      <c r="AN39" s="22">
        <v>78487</v>
      </c>
      <c r="AO39" s="22">
        <v>78974</v>
      </c>
      <c r="AP39" s="22">
        <v>74882</v>
      </c>
      <c r="AQ39" s="22">
        <v>40923</v>
      </c>
      <c r="AR39" s="22">
        <v>95885</v>
      </c>
      <c r="AS39" s="22">
        <v>5589</v>
      </c>
      <c r="AT39" s="22">
        <v>59330</v>
      </c>
      <c r="AU39" s="22">
        <v>3690</v>
      </c>
      <c r="AY39" s="400"/>
    </row>
    <row r="40" spans="1:51">
      <c r="B40" s="481"/>
      <c r="C40" s="481"/>
      <c r="D40" s="400"/>
      <c r="E40" s="400"/>
      <c r="F40" s="400"/>
      <c r="G40" s="400"/>
      <c r="H40" s="400"/>
      <c r="I40" s="400"/>
      <c r="J40" s="400"/>
      <c r="K40" s="400"/>
      <c r="L40" s="400"/>
      <c r="M40" s="400"/>
      <c r="N40" s="37" t="s">
        <v>670</v>
      </c>
      <c r="O40"/>
      <c r="P40"/>
      <c r="Q40" s="22" t="s">
        <v>672</v>
      </c>
      <c r="R40" s="22" t="s">
        <v>684</v>
      </c>
      <c r="Z40" s="38">
        <v>74704</v>
      </c>
      <c r="AA40" s="38">
        <v>78342</v>
      </c>
      <c r="AB40" s="38">
        <v>84681</v>
      </c>
      <c r="AC40" s="38">
        <v>84896</v>
      </c>
      <c r="AD40" s="38">
        <v>89356</v>
      </c>
      <c r="AE40" s="38">
        <v>81446</v>
      </c>
      <c r="AF40" s="38">
        <v>64020</v>
      </c>
      <c r="AG40" s="38">
        <v>60038</v>
      </c>
      <c r="AJ40" s="22">
        <f>AJ39+AJ38</f>
        <v>487791</v>
      </c>
      <c r="AK40" s="22">
        <f t="shared" ref="AK40:AU40" si="34">AK39+AK38</f>
        <v>137671</v>
      </c>
      <c r="AL40" s="22">
        <f t="shared" si="34"/>
        <v>172137</v>
      </c>
      <c r="AM40" s="22">
        <f t="shared" si="34"/>
        <v>239692</v>
      </c>
      <c r="AN40" s="22">
        <f t="shared" si="34"/>
        <v>124017</v>
      </c>
      <c r="AO40" s="22">
        <f t="shared" si="34"/>
        <v>136673</v>
      </c>
      <c r="AP40" s="22">
        <f t="shared" si="34"/>
        <v>129557</v>
      </c>
      <c r="AQ40" s="22">
        <f t="shared" si="34"/>
        <v>98820</v>
      </c>
      <c r="AR40" s="22">
        <f t="shared" si="34"/>
        <v>139210</v>
      </c>
      <c r="AS40" s="22">
        <f t="shared" si="34"/>
        <v>70923</v>
      </c>
      <c r="AT40" s="22">
        <f t="shared" si="34"/>
        <v>149778</v>
      </c>
      <c r="AU40" s="22">
        <f t="shared" si="34"/>
        <v>77667</v>
      </c>
      <c r="AY40" s="400"/>
    </row>
    <row r="41" spans="1:51">
      <c r="A41" s="112" t="s">
        <v>685</v>
      </c>
      <c r="B41" s="285"/>
      <c r="C41" s="285"/>
      <c r="D41" s="285"/>
      <c r="E41" s="285"/>
      <c r="F41" s="285"/>
      <c r="G41" s="285"/>
      <c r="H41" s="285"/>
      <c r="I41" s="285"/>
      <c r="J41" s="285"/>
      <c r="K41" s="285"/>
      <c r="L41" s="285"/>
      <c r="M41" s="285"/>
      <c r="N41" s="37" t="s">
        <v>670</v>
      </c>
      <c r="O41"/>
      <c r="P41"/>
      <c r="Z41" s="29"/>
      <c r="AA41" s="29"/>
      <c r="AB41" s="29"/>
      <c r="AC41" s="29"/>
      <c r="AD41" s="29"/>
      <c r="AE41" s="29"/>
      <c r="AF41" s="29"/>
      <c r="AG41" s="29"/>
      <c r="AY41" s="285"/>
    </row>
    <row r="42" spans="1:51">
      <c r="A42" s="10" t="s">
        <v>310</v>
      </c>
      <c r="B42" s="285">
        <v>1449321</v>
      </c>
      <c r="C42" s="285">
        <v>1306239</v>
      </c>
      <c r="D42" s="285">
        <v>765984</v>
      </c>
      <c r="E42" s="285">
        <v>693957</v>
      </c>
      <c r="F42" s="285">
        <v>768815</v>
      </c>
      <c r="G42" s="285">
        <v>603331</v>
      </c>
      <c r="H42" s="285">
        <v>626676</v>
      </c>
      <c r="I42" s="285">
        <v>563727</v>
      </c>
      <c r="J42" s="285">
        <v>525624</v>
      </c>
      <c r="K42" s="285">
        <v>533467</v>
      </c>
      <c r="L42" s="285">
        <v>382627</v>
      </c>
      <c r="M42" s="285">
        <v>396339</v>
      </c>
      <c r="N42" s="37" t="s">
        <v>670</v>
      </c>
      <c r="O42" t="s">
        <v>310</v>
      </c>
      <c r="P42"/>
      <c r="Z42" s="29"/>
      <c r="AA42" s="29"/>
      <c r="AB42" s="29"/>
      <c r="AC42" s="29"/>
      <c r="AD42" s="29"/>
      <c r="AE42" s="29"/>
      <c r="AF42" s="29"/>
      <c r="AG42" s="29"/>
      <c r="AY42" s="285">
        <v>327807</v>
      </c>
    </row>
    <row r="43" spans="1:51">
      <c r="A43" s="109" t="s">
        <v>686</v>
      </c>
      <c r="B43" s="286">
        <v>352647</v>
      </c>
      <c r="C43" s="286">
        <v>302621</v>
      </c>
      <c r="D43" s="286">
        <v>229746</v>
      </c>
      <c r="E43" s="286">
        <v>189843</v>
      </c>
      <c r="F43" s="286">
        <v>204535</v>
      </c>
      <c r="G43" s="286">
        <v>183991</v>
      </c>
      <c r="H43" s="286">
        <v>173147</v>
      </c>
      <c r="I43" s="286">
        <v>156038</v>
      </c>
      <c r="J43" s="286">
        <v>153937</v>
      </c>
      <c r="K43" s="286">
        <v>162084</v>
      </c>
      <c r="L43" s="286">
        <v>127364</v>
      </c>
      <c r="M43" s="286">
        <v>110108</v>
      </c>
      <c r="N43" s="37"/>
      <c r="O43"/>
      <c r="P43"/>
      <c r="Z43" s="36"/>
      <c r="AA43" s="36"/>
      <c r="AB43" s="36"/>
      <c r="AC43" s="36"/>
      <c r="AD43" s="36"/>
      <c r="AE43" s="35"/>
      <c r="AF43" s="35"/>
      <c r="AG43" s="35"/>
      <c r="AI43" s="600"/>
      <c r="AJ43" s="22">
        <v>1189</v>
      </c>
      <c r="AK43" s="22">
        <v>-834</v>
      </c>
      <c r="AL43" s="22">
        <v>781</v>
      </c>
      <c r="AM43" s="22">
        <v>3153</v>
      </c>
      <c r="AN43" s="22">
        <v>-220</v>
      </c>
      <c r="AO43" s="22">
        <v>-605</v>
      </c>
      <c r="AP43" s="22">
        <v>800</v>
      </c>
      <c r="AQ43" s="22">
        <v>4</v>
      </c>
      <c r="AR43" s="22">
        <v>-124</v>
      </c>
      <c r="AS43" s="22">
        <v>-1</v>
      </c>
      <c r="AT43" s="22">
        <v>-1115</v>
      </c>
      <c r="AU43" s="22">
        <v>1404</v>
      </c>
      <c r="AY43" s="286">
        <v>116905</v>
      </c>
    </row>
    <row r="44" spans="1:51" s="10" customFormat="1">
      <c r="A44" s="26" t="s">
        <v>596</v>
      </c>
      <c r="B44" s="286">
        <v>372541</v>
      </c>
      <c r="C44" s="286">
        <v>97376</v>
      </c>
      <c r="D44" s="286">
        <v>40754</v>
      </c>
      <c r="E44" s="286">
        <v>48937</v>
      </c>
      <c r="F44" s="286">
        <v>146066</v>
      </c>
      <c r="G44" s="286">
        <v>45530</v>
      </c>
      <c r="H44" s="286">
        <v>57699</v>
      </c>
      <c r="I44" s="286">
        <v>54675</v>
      </c>
      <c r="J44" s="286">
        <v>57897</v>
      </c>
      <c r="K44" s="286">
        <v>43325</v>
      </c>
      <c r="L44" s="286">
        <v>65334</v>
      </c>
      <c r="M44" s="286">
        <v>90448</v>
      </c>
      <c r="N44" s="37" t="s">
        <v>670</v>
      </c>
      <c r="O44" t="s">
        <v>687</v>
      </c>
      <c r="P44"/>
      <c r="Q44" s="22" t="s">
        <v>672</v>
      </c>
      <c r="R44" s="10" t="s">
        <v>688</v>
      </c>
      <c r="Z44" s="38">
        <v>26132</v>
      </c>
      <c r="AA44" s="38">
        <v>26242</v>
      </c>
      <c r="AB44" s="38">
        <v>27877</v>
      </c>
      <c r="AC44" s="38">
        <v>27297</v>
      </c>
      <c r="AD44" s="38">
        <v>29415</v>
      </c>
      <c r="AE44" s="38">
        <f>93+3895+8161+3386+2410+2691+298+1967+558+5102</f>
        <v>28561</v>
      </c>
      <c r="AF44" s="38">
        <f>204+3852+5856+2880+1670+1831+281+1521+495+3430</f>
        <v>22020</v>
      </c>
      <c r="AG44" s="38">
        <f>433+3650+2993+3351+797+1217+262+888+302+5399</f>
        <v>19292</v>
      </c>
      <c r="AI44" s="601"/>
      <c r="AJ44" s="10">
        <v>-367</v>
      </c>
      <c r="AK44" s="10">
        <v>-1322</v>
      </c>
      <c r="AL44" s="10">
        <v>205</v>
      </c>
      <c r="AM44" s="10">
        <v>-809</v>
      </c>
      <c r="AN44" s="10">
        <v>-463</v>
      </c>
      <c r="AO44" s="10">
        <v>-475</v>
      </c>
      <c r="AP44" s="10">
        <v>-1078</v>
      </c>
      <c r="AQ44" s="10">
        <v>-437</v>
      </c>
      <c r="AR44" s="10">
        <v>-176</v>
      </c>
      <c r="AS44" s="10">
        <v>489</v>
      </c>
      <c r="AT44" s="10">
        <v>-430</v>
      </c>
      <c r="AU44" s="10">
        <v>-656</v>
      </c>
      <c r="AY44" s="286">
        <v>77667</v>
      </c>
    </row>
    <row r="45" spans="1:51" s="10" customFormat="1">
      <c r="A45" s="26" t="s">
        <v>597</v>
      </c>
      <c r="B45" s="286">
        <v>30442</v>
      </c>
      <c r="C45" s="286">
        <v>25876</v>
      </c>
      <c r="D45" s="286">
        <v>20639</v>
      </c>
      <c r="E45" s="286">
        <v>17300</v>
      </c>
      <c r="F45" s="286">
        <v>1241</v>
      </c>
      <c r="G45" s="286">
        <v>1499</v>
      </c>
      <c r="H45" s="286">
        <v>1797</v>
      </c>
      <c r="I45" s="286">
        <v>1943</v>
      </c>
      <c r="J45" s="286">
        <v>1913</v>
      </c>
      <c r="K45" s="286">
        <v>1731</v>
      </c>
      <c r="L45" s="286">
        <v>1464</v>
      </c>
      <c r="M45" s="286">
        <v>2042</v>
      </c>
      <c r="N45" s="37"/>
      <c r="O45"/>
      <c r="P45"/>
      <c r="Q45" s="22"/>
      <c r="Z45" s="38"/>
      <c r="AA45" s="38"/>
      <c r="AB45" s="38"/>
      <c r="AC45" s="38"/>
      <c r="AD45" s="38"/>
      <c r="AE45" s="38"/>
      <c r="AF45" s="38"/>
      <c r="AG45" s="38"/>
      <c r="AI45" s="601"/>
      <c r="AJ45" s="10">
        <f>AJ44+AJ43</f>
        <v>822</v>
      </c>
      <c r="AK45" s="10">
        <f t="shared" ref="AK45:AU45" si="35">AK44+AK43</f>
        <v>-2156</v>
      </c>
      <c r="AL45" s="10">
        <f t="shared" si="35"/>
        <v>986</v>
      </c>
      <c r="AM45" s="10">
        <f t="shared" si="35"/>
        <v>2344</v>
      </c>
      <c r="AN45" s="10">
        <f t="shared" si="35"/>
        <v>-683</v>
      </c>
      <c r="AO45" s="10">
        <f t="shared" si="35"/>
        <v>-1080</v>
      </c>
      <c r="AP45" s="10">
        <f t="shared" si="35"/>
        <v>-278</v>
      </c>
      <c r="AQ45" s="10">
        <f t="shared" si="35"/>
        <v>-433</v>
      </c>
      <c r="AR45" s="10">
        <f t="shared" si="35"/>
        <v>-300</v>
      </c>
      <c r="AS45" s="10">
        <f t="shared" si="35"/>
        <v>488</v>
      </c>
      <c r="AT45" s="10">
        <f t="shared" si="35"/>
        <v>-1545</v>
      </c>
      <c r="AU45" s="10">
        <f t="shared" si="35"/>
        <v>748</v>
      </c>
      <c r="AY45" s="286">
        <v>50354</v>
      </c>
    </row>
    <row r="46" spans="1:51">
      <c r="A46" s="109" t="s">
        <v>598</v>
      </c>
      <c r="B46" s="286">
        <f t="shared" ref="B46:M46" si="36">B42-SUM(B43:B45)</f>
        <v>693691</v>
      </c>
      <c r="C46" s="286">
        <f t="shared" si="36"/>
        <v>880366</v>
      </c>
      <c r="D46" s="286">
        <f t="shared" si="36"/>
        <v>474845</v>
      </c>
      <c r="E46" s="286">
        <f t="shared" si="36"/>
        <v>437877</v>
      </c>
      <c r="F46" s="286">
        <f t="shared" si="36"/>
        <v>416973</v>
      </c>
      <c r="G46" s="286">
        <f t="shared" si="36"/>
        <v>372311</v>
      </c>
      <c r="H46" s="286">
        <f t="shared" si="36"/>
        <v>394033</v>
      </c>
      <c r="I46" s="286">
        <f t="shared" si="36"/>
        <v>351071</v>
      </c>
      <c r="J46" s="286">
        <f t="shared" si="36"/>
        <v>311877</v>
      </c>
      <c r="K46" s="286">
        <f t="shared" si="36"/>
        <v>326327</v>
      </c>
      <c r="L46" s="286">
        <f t="shared" si="36"/>
        <v>188465</v>
      </c>
      <c r="M46" s="286">
        <f t="shared" si="36"/>
        <v>193741</v>
      </c>
      <c r="N46" s="37" t="s">
        <v>670</v>
      </c>
      <c r="O46"/>
      <c r="P46"/>
      <c r="R46" s="22" t="s">
        <v>689</v>
      </c>
      <c r="Z46" s="31">
        <v>7303</v>
      </c>
      <c r="AA46" s="31">
        <v>6967</v>
      </c>
      <c r="AB46" s="31">
        <v>4708</v>
      </c>
      <c r="AC46" s="31">
        <v>3679</v>
      </c>
      <c r="AD46" s="31">
        <v>5287</v>
      </c>
      <c r="AE46" s="31">
        <v>5660</v>
      </c>
      <c r="AF46" s="31">
        <v>3925</v>
      </c>
      <c r="AG46" s="31">
        <v>5701</v>
      </c>
      <c r="AY46" s="286">
        <f>AY42-SUM(AY43:AY45)</f>
        <v>82881</v>
      </c>
    </row>
    <row r="47" spans="1:51">
      <c r="A47" s="10" t="s">
        <v>599</v>
      </c>
      <c r="B47" s="285">
        <f t="shared" ref="B47:M47" si="37">B51-B42</f>
        <v>616213</v>
      </c>
      <c r="C47" s="285">
        <f t="shared" si="37"/>
        <v>545526</v>
      </c>
      <c r="D47" s="285">
        <f t="shared" si="37"/>
        <v>805970</v>
      </c>
      <c r="E47" s="285">
        <f t="shared" si="37"/>
        <v>536700</v>
      </c>
      <c r="F47" s="285">
        <f t="shared" si="37"/>
        <v>514280</v>
      </c>
      <c r="G47" s="285">
        <f t="shared" si="37"/>
        <v>574314</v>
      </c>
      <c r="H47" s="285">
        <f t="shared" si="37"/>
        <v>616756</v>
      </c>
      <c r="I47" s="285">
        <f t="shared" si="37"/>
        <v>611851</v>
      </c>
      <c r="J47" s="285">
        <f t="shared" si="37"/>
        <v>712648</v>
      </c>
      <c r="K47" s="285">
        <f t="shared" si="37"/>
        <v>675707</v>
      </c>
      <c r="L47" s="285">
        <f t="shared" si="37"/>
        <v>733756</v>
      </c>
      <c r="M47" s="285">
        <f t="shared" si="37"/>
        <v>260414</v>
      </c>
      <c r="N47" s="37" t="s">
        <v>670</v>
      </c>
      <c r="O47" t="s">
        <v>690</v>
      </c>
      <c r="P47"/>
      <c r="Z47" s="31"/>
      <c r="AA47" s="31"/>
      <c r="AB47" s="31"/>
      <c r="AC47" s="31"/>
      <c r="AD47" s="31"/>
      <c r="AE47" s="31"/>
      <c r="AF47" s="31"/>
      <c r="AG47" s="31"/>
      <c r="AY47" s="285">
        <f t="shared" ref="AY47" ca="1" si="38">AY51-AY42</f>
        <v>-765984</v>
      </c>
    </row>
    <row r="48" spans="1:51">
      <c r="A48" s="26" t="s">
        <v>600</v>
      </c>
      <c r="B48" s="286">
        <v>314186</v>
      </c>
      <c r="C48" s="286">
        <v>260572</v>
      </c>
      <c r="D48" s="286">
        <v>548803</v>
      </c>
      <c r="E48" s="286">
        <v>323184</v>
      </c>
      <c r="F48" s="286">
        <v>335988</v>
      </c>
      <c r="G48" s="286">
        <v>421051</v>
      </c>
      <c r="H48" s="286">
        <v>463292</v>
      </c>
      <c r="I48" s="286">
        <v>477491</v>
      </c>
      <c r="J48" s="286">
        <v>560874</v>
      </c>
      <c r="K48" s="286">
        <v>550475</v>
      </c>
      <c r="L48" s="286">
        <v>633033</v>
      </c>
      <c r="M48" s="286">
        <v>238108</v>
      </c>
      <c r="N48" s="37" t="s">
        <v>670</v>
      </c>
      <c r="O48" t="s">
        <v>691</v>
      </c>
      <c r="P48"/>
      <c r="Z48" s="24">
        <f t="shared" ref="Z48:AG48" si="39">Z44-Z46</f>
        <v>18829</v>
      </c>
      <c r="AA48" s="24">
        <f t="shared" si="39"/>
        <v>19275</v>
      </c>
      <c r="AB48" s="24">
        <f t="shared" si="39"/>
        <v>23169</v>
      </c>
      <c r="AC48" s="24">
        <f t="shared" si="39"/>
        <v>23618</v>
      </c>
      <c r="AD48" s="24">
        <f t="shared" si="39"/>
        <v>24128</v>
      </c>
      <c r="AE48" s="24">
        <f t="shared" si="39"/>
        <v>22901</v>
      </c>
      <c r="AF48" s="24">
        <f t="shared" si="39"/>
        <v>18095</v>
      </c>
      <c r="AG48" s="24">
        <f t="shared" si="39"/>
        <v>13591</v>
      </c>
      <c r="AY48" s="286">
        <v>294812</v>
      </c>
    </row>
    <row r="49" spans="1:51" s="10" customFormat="1">
      <c r="A49" s="26" t="s">
        <v>601</v>
      </c>
      <c r="B49" s="286">
        <v>96597</v>
      </c>
      <c r="C49" s="286">
        <v>76508</v>
      </c>
      <c r="D49" s="286">
        <v>64736</v>
      </c>
      <c r="E49" s="286">
        <v>58482</v>
      </c>
      <c r="F49" s="286">
        <v>9959</v>
      </c>
      <c r="G49" s="286">
        <v>9301</v>
      </c>
      <c r="H49" s="286">
        <v>9462</v>
      </c>
      <c r="I49" s="286">
        <v>1929</v>
      </c>
      <c r="J49" s="286">
        <v>2717</v>
      </c>
      <c r="K49" s="286">
        <v>0</v>
      </c>
      <c r="L49" s="286">
        <v>1912</v>
      </c>
      <c r="M49" s="286">
        <v>2002</v>
      </c>
      <c r="N49" s="37"/>
      <c r="O49"/>
      <c r="P49"/>
      <c r="Q49" s="22" t="s">
        <v>672</v>
      </c>
      <c r="R49" s="10" t="s">
        <v>692</v>
      </c>
      <c r="Z49" s="38">
        <f>61491-Z44</f>
        <v>35359</v>
      </c>
      <c r="AA49" s="38">
        <f>63457-AA44</f>
        <v>37215</v>
      </c>
      <c r="AB49" s="38">
        <f>67855-AB44</f>
        <v>39978</v>
      </c>
      <c r="AC49" s="38">
        <v>36721</v>
      </c>
      <c r="AD49" s="38">
        <v>41973</v>
      </c>
      <c r="AE49" s="38">
        <f>8415+16529+10956+3583</f>
        <v>39483</v>
      </c>
      <c r="AF49" s="38">
        <f>4505+15932+7584+2654</f>
        <v>30675</v>
      </c>
      <c r="AG49" s="38">
        <f>5652+16195+7420+2179</f>
        <v>31446</v>
      </c>
      <c r="AY49" s="286">
        <v>2459</v>
      </c>
    </row>
    <row r="50" spans="1:51">
      <c r="A50" s="109" t="s">
        <v>602</v>
      </c>
      <c r="B50" s="286">
        <f t="shared" ref="B50:M50" si="40">B47-SUM(B48:B49)</f>
        <v>205430</v>
      </c>
      <c r="C50" s="286">
        <f t="shared" si="40"/>
        <v>208446</v>
      </c>
      <c r="D50" s="286">
        <f t="shared" si="40"/>
        <v>192431</v>
      </c>
      <c r="E50" s="286">
        <f t="shared" si="40"/>
        <v>155034</v>
      </c>
      <c r="F50" s="286">
        <f t="shared" si="40"/>
        <v>168333</v>
      </c>
      <c r="G50" s="286">
        <f t="shared" si="40"/>
        <v>143962</v>
      </c>
      <c r="H50" s="286">
        <f t="shared" si="40"/>
        <v>144002</v>
      </c>
      <c r="I50" s="286">
        <f t="shared" si="40"/>
        <v>132431</v>
      </c>
      <c r="J50" s="286">
        <f t="shared" si="40"/>
        <v>149057</v>
      </c>
      <c r="K50" s="286">
        <f t="shared" si="40"/>
        <v>125232</v>
      </c>
      <c r="L50" s="286">
        <f t="shared" si="40"/>
        <v>98811</v>
      </c>
      <c r="M50" s="286">
        <f t="shared" si="40"/>
        <v>20304</v>
      </c>
      <c r="N50" s="37" t="s">
        <v>670</v>
      </c>
      <c r="O50" t="s">
        <v>693</v>
      </c>
      <c r="P50"/>
      <c r="R50" s="22" t="s">
        <v>694</v>
      </c>
      <c r="Z50" s="27">
        <v>22818</v>
      </c>
      <c r="AA50" s="27">
        <v>25169</v>
      </c>
      <c r="AB50" s="27">
        <v>27784</v>
      </c>
      <c r="AC50" s="27">
        <v>26719</v>
      </c>
      <c r="AD50" s="27">
        <v>27752</v>
      </c>
      <c r="AE50" s="27">
        <v>24944</v>
      </c>
      <c r="AF50" s="27">
        <v>20437</v>
      </c>
      <c r="AG50" s="27">
        <v>21847</v>
      </c>
      <c r="AY50" s="286">
        <f t="shared" ref="AY50" ca="1" si="41">AY47-SUM(AY48:AY49)</f>
        <v>0</v>
      </c>
    </row>
    <row r="51" spans="1:51">
      <c r="A51" s="10" t="s">
        <v>52</v>
      </c>
      <c r="B51" s="285">
        <v>2065534</v>
      </c>
      <c r="C51" s="285">
        <v>1851765</v>
      </c>
      <c r="D51" s="285">
        <v>1571954</v>
      </c>
      <c r="E51" s="285">
        <v>1230657</v>
      </c>
      <c r="F51" s="285">
        <v>1283095</v>
      </c>
      <c r="G51" s="285">
        <v>1177645</v>
      </c>
      <c r="H51" s="285">
        <v>1243432</v>
      </c>
      <c r="I51" s="285">
        <v>1175578</v>
      </c>
      <c r="J51" s="285">
        <v>1238272</v>
      </c>
      <c r="K51" s="285">
        <v>1209174</v>
      </c>
      <c r="L51" s="285">
        <v>1116383</v>
      </c>
      <c r="M51" s="285">
        <v>656753</v>
      </c>
      <c r="N51" s="37" t="s">
        <v>670</v>
      </c>
      <c r="O51" t="s">
        <v>52</v>
      </c>
      <c r="P51"/>
      <c r="Z51" s="27"/>
      <c r="AA51" s="27"/>
      <c r="AB51" s="27"/>
      <c r="AC51" s="27"/>
      <c r="AD51" s="27"/>
      <c r="AE51" s="27"/>
      <c r="AF51" s="27"/>
      <c r="AG51" s="27"/>
      <c r="AY51" s="285">
        <f ca="1">AY47+AY42</f>
        <v>327807</v>
      </c>
    </row>
    <row r="52" spans="1:51">
      <c r="B52" s="400"/>
      <c r="C52" s="400"/>
      <c r="D52" s="400"/>
      <c r="E52" s="400"/>
      <c r="F52" s="400"/>
      <c r="G52" s="400"/>
      <c r="H52" s="400"/>
      <c r="I52" s="400"/>
      <c r="J52" s="400"/>
      <c r="K52" s="400"/>
      <c r="L52" s="400"/>
      <c r="M52" s="400"/>
      <c r="N52" s="37" t="s">
        <v>670</v>
      </c>
      <c r="O52"/>
      <c r="P52"/>
      <c r="Z52" s="24">
        <f t="shared" ref="Z52:AG52" si="42">Z49-Z50</f>
        <v>12541</v>
      </c>
      <c r="AA52" s="24">
        <f t="shared" si="42"/>
        <v>12046</v>
      </c>
      <c r="AB52" s="24">
        <f t="shared" si="42"/>
        <v>12194</v>
      </c>
      <c r="AC52" s="24">
        <f t="shared" si="42"/>
        <v>10002</v>
      </c>
      <c r="AD52" s="24">
        <f t="shared" si="42"/>
        <v>14221</v>
      </c>
      <c r="AE52" s="24">
        <f t="shared" si="42"/>
        <v>14539</v>
      </c>
      <c r="AF52" s="24">
        <f t="shared" si="42"/>
        <v>10238</v>
      </c>
      <c r="AG52" s="24">
        <f t="shared" si="42"/>
        <v>9599</v>
      </c>
      <c r="AY52" s="400"/>
    </row>
    <row r="53" spans="1:51" s="10" customFormat="1">
      <c r="A53" s="22"/>
      <c r="B53" s="400"/>
      <c r="C53" s="400"/>
      <c r="D53" s="400"/>
      <c r="E53" s="400"/>
      <c r="F53" s="400"/>
      <c r="G53" s="400"/>
      <c r="H53" s="400"/>
      <c r="I53" s="400"/>
      <c r="J53" s="400"/>
      <c r="K53" s="400"/>
      <c r="L53" s="400"/>
      <c r="M53" s="400"/>
      <c r="N53" s="37" t="s">
        <v>670</v>
      </c>
      <c r="O53"/>
      <c r="P53"/>
      <c r="Z53" s="35">
        <f>+Z49+Z44</f>
        <v>61491</v>
      </c>
      <c r="AA53" s="35">
        <f>+AA49+AA44</f>
        <v>63457</v>
      </c>
      <c r="AB53" s="35">
        <f>+AB49+AB44</f>
        <v>67855</v>
      </c>
      <c r="AC53" s="35">
        <f>AC44+AC49</f>
        <v>64018</v>
      </c>
      <c r="AD53" s="35">
        <f>AD49+AD44</f>
        <v>71388</v>
      </c>
      <c r="AE53" s="35">
        <f>AE49+AE44</f>
        <v>68044</v>
      </c>
      <c r="AF53" s="35">
        <f>AF49+AF44</f>
        <v>52695</v>
      </c>
      <c r="AG53" s="35">
        <f>AG49+AG44</f>
        <v>50738</v>
      </c>
      <c r="AY53" s="400"/>
    </row>
    <row r="54" spans="1:51">
      <c r="A54" s="39" t="s">
        <v>604</v>
      </c>
      <c r="B54" s="404">
        <v>40947</v>
      </c>
      <c r="C54" s="404">
        <v>35876</v>
      </c>
      <c r="D54" s="404">
        <v>30787</v>
      </c>
      <c r="E54" s="404">
        <v>25736</v>
      </c>
      <c r="F54" s="404">
        <v>29054</v>
      </c>
      <c r="G54" s="404">
        <v>26258</v>
      </c>
      <c r="H54" s="404">
        <v>22893</v>
      </c>
      <c r="I54" s="404">
        <v>21942</v>
      </c>
      <c r="J54" s="404">
        <v>22594</v>
      </c>
      <c r="K54" s="404">
        <v>21162</v>
      </c>
      <c r="L54" s="404">
        <v>16543</v>
      </c>
      <c r="M54" s="404">
        <v>12110</v>
      </c>
      <c r="N54" s="37" t="s">
        <v>670</v>
      </c>
      <c r="O54" t="s">
        <v>604</v>
      </c>
      <c r="P54"/>
      <c r="AY54" s="404">
        <v>11759</v>
      </c>
    </row>
    <row r="55" spans="1:51">
      <c r="B55" s="400"/>
      <c r="C55" s="400"/>
      <c r="D55" s="400"/>
      <c r="E55" s="400"/>
      <c r="F55" s="400"/>
      <c r="G55" s="400"/>
      <c r="H55" s="400"/>
      <c r="I55" s="400"/>
      <c r="J55" s="400"/>
      <c r="K55" s="400"/>
      <c r="L55" s="400"/>
      <c r="M55" s="400"/>
      <c r="N55" s="37" t="s">
        <v>670</v>
      </c>
      <c r="O55"/>
      <c r="P55"/>
      <c r="AY55" s="400"/>
    </row>
    <row r="56" spans="1:51" s="10" customFormat="1">
      <c r="A56" s="10" t="s">
        <v>605</v>
      </c>
      <c r="B56" s="285">
        <f>B38-B51-B54</f>
        <v>2197201</v>
      </c>
      <c r="C56" s="285">
        <f>C38-C51-C54</f>
        <v>1935397</v>
      </c>
      <c r="D56" s="285">
        <f t="shared" ref="D56:E56" si="43">D38-D51-D54</f>
        <v>1636921</v>
      </c>
      <c r="E56" s="285">
        <f t="shared" si="43"/>
        <v>1411119</v>
      </c>
      <c r="F56" s="285">
        <f>F38-F51-F54</f>
        <v>1388741</v>
      </c>
      <c r="G56" s="285">
        <f t="shared" ref="G56:J56" si="44">G38-G51-G54</f>
        <v>1271805</v>
      </c>
      <c r="H56" s="285">
        <f t="shared" si="44"/>
        <v>1089823</v>
      </c>
      <c r="I56" s="285">
        <f t="shared" si="44"/>
        <v>993585</v>
      </c>
      <c r="J56" s="285">
        <f t="shared" si="44"/>
        <v>1003123</v>
      </c>
      <c r="K56" s="285">
        <f>K38-K51-K54</f>
        <v>781534</v>
      </c>
      <c r="L56" s="285">
        <f>L38-L51-L54</f>
        <v>602910</v>
      </c>
      <c r="M56" s="285">
        <f t="shared" ref="M56" si="45">M38-M51-M54</f>
        <v>491701</v>
      </c>
      <c r="N56" s="37" t="s">
        <v>670</v>
      </c>
      <c r="O56"/>
      <c r="P56"/>
      <c r="Q56" s="22" t="s">
        <v>672</v>
      </c>
      <c r="R56" s="10" t="s">
        <v>695</v>
      </c>
      <c r="AY56" s="285">
        <f t="shared" ref="AY56" ca="1" si="46">AY38-AY51-AY54</f>
        <v>804691</v>
      </c>
    </row>
    <row r="57" spans="1:51">
      <c r="A57" s="10"/>
      <c r="B57" s="285"/>
      <c r="C57" s="285"/>
      <c r="D57" s="285"/>
      <c r="E57" s="285"/>
      <c r="F57" s="285"/>
      <c r="G57" s="285"/>
      <c r="H57" s="285"/>
      <c r="I57" s="285"/>
      <c r="J57" s="285"/>
      <c r="K57" s="285"/>
      <c r="L57" s="285"/>
      <c r="M57" s="285"/>
      <c r="N57" s="37"/>
      <c r="O57"/>
      <c r="P57"/>
      <c r="AY57" s="285"/>
    </row>
    <row r="58" spans="1:51">
      <c r="A58" s="51" t="s">
        <v>696</v>
      </c>
      <c r="B58" s="285"/>
      <c r="C58" s="285"/>
      <c r="D58" s="285"/>
      <c r="E58" s="285"/>
      <c r="F58" s="285"/>
      <c r="G58" s="285"/>
      <c r="H58" s="285"/>
      <c r="I58" s="285"/>
      <c r="J58" s="285"/>
      <c r="K58" s="285"/>
      <c r="L58" s="285"/>
      <c r="M58" s="285"/>
      <c r="N58" s="37"/>
      <c r="O58"/>
      <c r="P58"/>
      <c r="AY58" s="285"/>
    </row>
    <row r="59" spans="1:51">
      <c r="A59" s="10" t="s">
        <v>137</v>
      </c>
      <c r="B59" s="285">
        <v>158326</v>
      </c>
      <c r="C59" s="285">
        <v>243485</v>
      </c>
      <c r="D59" s="285">
        <v>374633</v>
      </c>
      <c r="E59" s="285">
        <v>302112</v>
      </c>
      <c r="F59" s="285">
        <v>249943</v>
      </c>
      <c r="G59" s="285">
        <v>223738</v>
      </c>
      <c r="H59" s="285">
        <v>267662</v>
      </c>
      <c r="I59" s="285">
        <v>226184</v>
      </c>
      <c r="J59" s="285">
        <v>160223</v>
      </c>
      <c r="K59" s="285">
        <v>179911</v>
      </c>
      <c r="L59" s="285">
        <v>105268</v>
      </c>
      <c r="M59" s="285">
        <v>36816</v>
      </c>
      <c r="N59" s="37"/>
      <c r="O59"/>
      <c r="P59"/>
      <c r="AI59" s="22">
        <v>-4656</v>
      </c>
      <c r="AJ59" s="22">
        <v>1215</v>
      </c>
      <c r="AK59" s="22">
        <v>13046</v>
      </c>
      <c r="AL59" s="22">
        <v>-647</v>
      </c>
      <c r="AM59" s="22">
        <v>-2730</v>
      </c>
      <c r="AN59" s="22">
        <v>1079</v>
      </c>
      <c r="AO59" s="22">
        <v>-249</v>
      </c>
      <c r="AP59" s="22">
        <v>490</v>
      </c>
      <c r="AQ59" s="22">
        <v>-1698</v>
      </c>
      <c r="AR59" s="22">
        <v>14053</v>
      </c>
      <c r="AS59" s="22">
        <v>-3157</v>
      </c>
      <c r="AT59" s="22">
        <v>28509</v>
      </c>
      <c r="AY59" s="285">
        <v>78408</v>
      </c>
    </row>
    <row r="60" spans="1:51">
      <c r="A60" s="26" t="s">
        <v>71</v>
      </c>
      <c r="B60" s="286">
        <v>373384</v>
      </c>
      <c r="C60" s="286">
        <v>328056</v>
      </c>
      <c r="D60" s="286">
        <v>238543</v>
      </c>
      <c r="E60" s="286">
        <v>256180</v>
      </c>
      <c r="F60" s="286">
        <v>275310</v>
      </c>
      <c r="G60" s="286">
        <v>251857</v>
      </c>
      <c r="H60" s="286">
        <v>230609</v>
      </c>
      <c r="I60" s="286">
        <v>206183</v>
      </c>
      <c r="J60" s="286">
        <v>192508</v>
      </c>
      <c r="K60" s="286">
        <v>154115</v>
      </c>
      <c r="L60" s="286">
        <v>81477</v>
      </c>
      <c r="M60" s="286">
        <v>80568</v>
      </c>
      <c r="N60" s="581"/>
      <c r="O60" s="303"/>
      <c r="P60" s="303"/>
      <c r="Q60" s="29"/>
      <c r="R60" s="29"/>
      <c r="S60" s="29"/>
      <c r="T60" s="29"/>
      <c r="AI60" s="22">
        <v>-227977</v>
      </c>
      <c r="AJ60" s="22">
        <v>1282</v>
      </c>
      <c r="AK60" s="22">
        <v>-95599</v>
      </c>
      <c r="AL60" s="22">
        <v>-124035</v>
      </c>
      <c r="AM60" s="22">
        <v>-120222</v>
      </c>
      <c r="AN60" s="22">
        <v>-49055</v>
      </c>
      <c r="AO60" s="22">
        <v>-63952</v>
      </c>
      <c r="AP60" s="22">
        <v>-110541</v>
      </c>
      <c r="AQ60" s="22">
        <v>-51406</v>
      </c>
      <c r="AR60" s="22">
        <v>-41785</v>
      </c>
      <c r="AS60" s="22">
        <v>-91120</v>
      </c>
      <c r="AT60" s="22">
        <v>-47520</v>
      </c>
      <c r="AY60" s="286">
        <v>45708</v>
      </c>
    </row>
    <row r="61" spans="1:51">
      <c r="A61" s="109" t="s">
        <v>62</v>
      </c>
      <c r="B61" s="286">
        <v>182224</v>
      </c>
      <c r="C61" s="286">
        <v>148062</v>
      </c>
      <c r="D61" s="286">
        <v>133593</v>
      </c>
      <c r="E61" s="286">
        <v>128485</v>
      </c>
      <c r="F61" s="286">
        <v>99315</v>
      </c>
      <c r="G61" s="286">
        <v>94833</v>
      </c>
      <c r="H61" s="286">
        <v>85029</v>
      </c>
      <c r="I61" s="286">
        <v>84202</v>
      </c>
      <c r="J61" s="286">
        <v>77766</v>
      </c>
      <c r="K61" s="286">
        <v>78900</v>
      </c>
      <c r="L61" s="286">
        <v>51523</v>
      </c>
      <c r="M61" s="286">
        <v>50525</v>
      </c>
      <c r="N61" s="37"/>
      <c r="O61"/>
      <c r="P61"/>
      <c r="AI61" s="22">
        <f>AI59+AI60</f>
        <v>-232633</v>
      </c>
      <c r="AJ61" s="22">
        <f t="shared" ref="AJ61:AT61" si="47">AJ59+AJ60</f>
        <v>2497</v>
      </c>
      <c r="AK61" s="22">
        <f t="shared" si="47"/>
        <v>-82553</v>
      </c>
      <c r="AL61" s="22">
        <f t="shared" si="47"/>
        <v>-124682</v>
      </c>
      <c r="AM61" s="22">
        <f t="shared" si="47"/>
        <v>-122952</v>
      </c>
      <c r="AN61" s="22">
        <f t="shared" si="47"/>
        <v>-47976</v>
      </c>
      <c r="AO61" s="22">
        <f t="shared" si="47"/>
        <v>-64201</v>
      </c>
      <c r="AP61" s="22">
        <f t="shared" si="47"/>
        <v>-110051</v>
      </c>
      <c r="AQ61" s="22">
        <f t="shared" si="47"/>
        <v>-53104</v>
      </c>
      <c r="AR61" s="22">
        <f t="shared" si="47"/>
        <v>-27732</v>
      </c>
      <c r="AS61" s="22">
        <f t="shared" si="47"/>
        <v>-94277</v>
      </c>
      <c r="AT61" s="22">
        <f t="shared" si="47"/>
        <v>-19011</v>
      </c>
      <c r="AY61" s="286">
        <v>51711</v>
      </c>
    </row>
    <row r="62" spans="1:51">
      <c r="A62" s="109" t="s">
        <v>697</v>
      </c>
      <c r="B62" s="286">
        <v>-393164</v>
      </c>
      <c r="C62" s="286">
        <v>-227977</v>
      </c>
      <c r="D62" s="286">
        <v>1282</v>
      </c>
      <c r="E62" s="286">
        <v>-95599</v>
      </c>
      <c r="F62" s="286">
        <v>-124035</v>
      </c>
      <c r="G62" s="286">
        <v>-120222</v>
      </c>
      <c r="H62" s="286">
        <v>-49055</v>
      </c>
      <c r="I62" s="286">
        <v>-63952</v>
      </c>
      <c r="J62" s="286">
        <v>-110541</v>
      </c>
      <c r="K62" s="286">
        <v>-51406</v>
      </c>
      <c r="L62" s="286">
        <v>-41785</v>
      </c>
      <c r="M62" s="286">
        <v>-91120</v>
      </c>
      <c r="N62" s="37"/>
      <c r="O62"/>
      <c r="P62"/>
      <c r="AY62" s="286">
        <v>-47520</v>
      </c>
    </row>
    <row r="63" spans="1:51">
      <c r="A63" s="109" t="s">
        <v>698</v>
      </c>
      <c r="B63" s="286">
        <f>B59-B60-B61-B62</f>
        <v>-4118</v>
      </c>
      <c r="C63" s="286">
        <f>C59-C60-C61-C62</f>
        <v>-4656</v>
      </c>
      <c r="D63" s="286">
        <f t="shared" ref="D63" si="48">D59-D60-D61-D62</f>
        <v>1215</v>
      </c>
      <c r="E63" s="286">
        <f>E59-E60-E61-E62</f>
        <v>13046</v>
      </c>
      <c r="F63" s="286">
        <f t="shared" ref="F63:M63" si="49">F59-F60-F61-F62</f>
        <v>-647</v>
      </c>
      <c r="G63" s="286">
        <f t="shared" si="49"/>
        <v>-2730</v>
      </c>
      <c r="H63" s="286">
        <f t="shared" si="49"/>
        <v>1079</v>
      </c>
      <c r="I63" s="286">
        <f t="shared" si="49"/>
        <v>-249</v>
      </c>
      <c r="J63" s="286">
        <f t="shared" si="49"/>
        <v>490</v>
      </c>
      <c r="K63" s="286">
        <f t="shared" si="49"/>
        <v>-1698</v>
      </c>
      <c r="L63" s="286">
        <f t="shared" si="49"/>
        <v>14053</v>
      </c>
      <c r="M63" s="286">
        <f t="shared" si="49"/>
        <v>-3157</v>
      </c>
      <c r="N63" s="37"/>
      <c r="O63"/>
      <c r="P63"/>
      <c r="AY63" s="286">
        <f t="shared" ref="AY63" si="50">AY59-AY60-AY61-AY62</f>
        <v>28509</v>
      </c>
    </row>
    <row r="64" spans="1:51">
      <c r="A64" s="10" t="s">
        <v>138</v>
      </c>
      <c r="B64" s="285">
        <v>-229793</v>
      </c>
      <c r="C64" s="285">
        <v>-180789</v>
      </c>
      <c r="D64" s="285">
        <v>-159666</v>
      </c>
      <c r="E64" s="285">
        <v>-156187</v>
      </c>
      <c r="F64" s="285">
        <v>-165773</v>
      </c>
      <c r="G64" s="285">
        <v>-127458</v>
      </c>
      <c r="H64" s="285">
        <v>-128823</v>
      </c>
      <c r="I64" s="285">
        <v>-105493</v>
      </c>
      <c r="J64" s="285">
        <v>-77330</v>
      </c>
      <c r="K64" s="285">
        <v>-80834</v>
      </c>
      <c r="L64" s="285">
        <v>-218386</v>
      </c>
      <c r="M64" s="285">
        <v>-62955</v>
      </c>
      <c r="N64" s="37"/>
      <c r="O64"/>
      <c r="P64"/>
      <c r="AY64" s="285">
        <v>-23307</v>
      </c>
    </row>
    <row r="65" spans="1:51">
      <c r="A65" s="109" t="s">
        <v>139</v>
      </c>
      <c r="B65" s="286">
        <v>-175076</v>
      </c>
      <c r="C65" s="286">
        <v>-114106</v>
      </c>
      <c r="D65" s="286">
        <v>-104971</v>
      </c>
      <c r="E65" s="286">
        <v>-98094</v>
      </c>
      <c r="F65" s="286">
        <v>-85487</v>
      </c>
      <c r="G65" s="286">
        <v>-85679</v>
      </c>
      <c r="H65" s="286">
        <v>-88335</v>
      </c>
      <c r="I65" s="286">
        <v>-96696</v>
      </c>
      <c r="J65" s="286">
        <v>-71759</v>
      </c>
      <c r="K65" s="286">
        <v>-53647</v>
      </c>
      <c r="L65" s="286">
        <v>-53045</v>
      </c>
      <c r="M65" s="286">
        <v>-42459</v>
      </c>
      <c r="N65" s="37"/>
      <c r="O65"/>
      <c r="P65"/>
      <c r="AY65" s="286">
        <v>-24578</v>
      </c>
    </row>
    <row r="66" spans="1:51">
      <c r="A66" s="109" t="s">
        <v>140</v>
      </c>
      <c r="B66" s="286">
        <v>-34920</v>
      </c>
      <c r="C66" s="286">
        <v>-46221</v>
      </c>
      <c r="D66" s="286">
        <v>-43371</v>
      </c>
      <c r="E66" s="286">
        <v>-41285</v>
      </c>
      <c r="F66" s="286">
        <v>-74237</v>
      </c>
      <c r="G66" s="286">
        <v>-36471</v>
      </c>
      <c r="H66" s="286">
        <v>-32028</v>
      </c>
      <c r="I66" s="286">
        <v>-6129</v>
      </c>
      <c r="J66" s="286">
        <v>-1004</v>
      </c>
      <c r="K66" s="286">
        <v>-26186</v>
      </c>
      <c r="L66" s="286">
        <v>-164983</v>
      </c>
      <c r="M66" s="286">
        <v>-19887</v>
      </c>
      <c r="N66" s="37"/>
      <c r="O66"/>
      <c r="P66"/>
      <c r="AI66" s="22">
        <v>-16879</v>
      </c>
      <c r="AJ66" s="22">
        <v>-15608</v>
      </c>
      <c r="AK66" s="22">
        <v>-11086</v>
      </c>
      <c r="AL66" s="22">
        <v>-6827</v>
      </c>
      <c r="AM66" s="22">
        <v>-17470</v>
      </c>
      <c r="AN66" s="22">
        <v>-12414</v>
      </c>
      <c r="AO66" s="22">
        <v>-4491</v>
      </c>
      <c r="AP66" s="22">
        <v>0</v>
      </c>
      <c r="AQ66" s="22">
        <v>-1265</v>
      </c>
      <c r="AR66" s="22">
        <v>-163651</v>
      </c>
      <c r="AS66" s="22">
        <v>-21203</v>
      </c>
      <c r="AT66" s="22">
        <v>0</v>
      </c>
      <c r="AY66" s="286">
        <v>-614</v>
      </c>
    </row>
    <row r="67" spans="1:51">
      <c r="A67" s="109" t="s">
        <v>699</v>
      </c>
      <c r="B67" s="286">
        <f>B64-B65-B66</f>
        <v>-19797</v>
      </c>
      <c r="C67" s="286">
        <f>C64-C65-C66</f>
        <v>-20462</v>
      </c>
      <c r="D67" s="286">
        <f>D64-D65-D66</f>
        <v>-11324</v>
      </c>
      <c r="E67" s="286">
        <f>E64-E65-E66</f>
        <v>-16808</v>
      </c>
      <c r="F67" s="286">
        <f t="shared" ref="F67" si="51">F64-F65-F66</f>
        <v>-6049</v>
      </c>
      <c r="G67" s="286">
        <v>-24</v>
      </c>
      <c r="H67" s="286">
        <v>4</v>
      </c>
      <c r="I67" s="286">
        <v>20</v>
      </c>
      <c r="J67" s="286">
        <v>31</v>
      </c>
      <c r="K67" s="286">
        <v>10</v>
      </c>
      <c r="L67" s="286">
        <v>39</v>
      </c>
      <c r="M67" s="286">
        <v>41</v>
      </c>
      <c r="N67" s="37"/>
      <c r="O67"/>
      <c r="P67"/>
      <c r="AI67" s="22">
        <v>-14185</v>
      </c>
      <c r="AJ67" s="22">
        <v>-17957</v>
      </c>
      <c r="AK67" s="22">
        <v>-52908</v>
      </c>
      <c r="AL67" s="22">
        <v>-591</v>
      </c>
      <c r="AM67" s="22">
        <v>0</v>
      </c>
      <c r="AN67" s="22">
        <v>0</v>
      </c>
      <c r="AO67" s="22">
        <v>0</v>
      </c>
      <c r="AP67" s="22">
        <v>0</v>
      </c>
      <c r="AQ67" s="22">
        <v>0</v>
      </c>
      <c r="AR67" s="22">
        <v>0</v>
      </c>
      <c r="AS67" s="22">
        <v>0</v>
      </c>
      <c r="AT67" s="22">
        <v>0</v>
      </c>
      <c r="AY67" s="286">
        <v>28</v>
      </c>
    </row>
    <row r="68" spans="1:51">
      <c r="A68" s="10" t="s">
        <v>141</v>
      </c>
      <c r="B68" s="285">
        <v>-113088</v>
      </c>
      <c r="C68" s="285">
        <v>-48698</v>
      </c>
      <c r="D68" s="285">
        <v>98942</v>
      </c>
      <c r="E68" s="285">
        <v>-169933</v>
      </c>
      <c r="F68" s="285">
        <v>-68721</v>
      </c>
      <c r="G68" s="285">
        <v>-93954</v>
      </c>
      <c r="H68" s="285">
        <v>-73543</v>
      </c>
      <c r="I68" s="285">
        <v>-85421</v>
      </c>
      <c r="J68" s="285">
        <v>-83073</v>
      </c>
      <c r="K68" s="285">
        <v>-38249</v>
      </c>
      <c r="L68" s="285">
        <v>143520</v>
      </c>
      <c r="M68" s="285">
        <v>-1113</v>
      </c>
      <c r="N68" s="37"/>
      <c r="O68"/>
      <c r="P68"/>
      <c r="AI68" s="22">
        <v>-29822</v>
      </c>
      <c r="AJ68" s="22">
        <v>-15135</v>
      </c>
      <c r="AK68" s="22">
        <v>-3838</v>
      </c>
      <c r="AL68" s="22">
        <v>-68707</v>
      </c>
      <c r="AM68" s="22">
        <v>-22855</v>
      </c>
      <c r="AN68" s="22">
        <v>-22617</v>
      </c>
      <c r="AO68" s="22">
        <v>-2943</v>
      </c>
      <c r="AP68" s="22">
        <v>-12020</v>
      </c>
      <c r="AQ68" s="22">
        <v>-26742</v>
      </c>
      <c r="AR68" s="22">
        <v>-4877</v>
      </c>
      <c r="AS68" s="22">
        <v>-1304</v>
      </c>
      <c r="AT68" s="22">
        <v>-614</v>
      </c>
      <c r="AY68" s="285">
        <v>-37622</v>
      </c>
    </row>
    <row r="69" spans="1:51">
      <c r="A69" s="109" t="s">
        <v>700</v>
      </c>
      <c r="B69" s="286">
        <v>386170</v>
      </c>
      <c r="C69" s="286">
        <v>125417</v>
      </c>
      <c r="D69" s="286">
        <v>293216</v>
      </c>
      <c r="E69" s="286">
        <v>102562</v>
      </c>
      <c r="F69" s="286">
        <v>100640</v>
      </c>
      <c r="G69" s="286">
        <v>45180</v>
      </c>
      <c r="H69" s="286">
        <v>60294</v>
      </c>
      <c r="I69" s="286">
        <v>0</v>
      </c>
      <c r="J69" s="286">
        <v>38252</v>
      </c>
      <c r="K69" s="286">
        <v>15</v>
      </c>
      <c r="L69" s="286">
        <v>383246</v>
      </c>
      <c r="M69" s="286">
        <v>17233</v>
      </c>
      <c r="N69" s="37"/>
      <c r="O69"/>
      <c r="P69"/>
      <c r="AI69" s="22">
        <f>SUM(AI66:AI68)</f>
        <v>-60886</v>
      </c>
      <c r="AJ69" s="22">
        <f t="shared" ref="AJ69:AT69" si="52">SUM(AJ66:AJ68)</f>
        <v>-48700</v>
      </c>
      <c r="AK69" s="22">
        <f t="shared" si="52"/>
        <v>-67832</v>
      </c>
      <c r="AL69" s="22">
        <f t="shared" si="52"/>
        <v>-76125</v>
      </c>
      <c r="AM69" s="22">
        <f t="shared" si="52"/>
        <v>-40325</v>
      </c>
      <c r="AN69" s="22">
        <f t="shared" si="52"/>
        <v>-35031</v>
      </c>
      <c r="AO69" s="22">
        <f t="shared" si="52"/>
        <v>-7434</v>
      </c>
      <c r="AP69" s="22">
        <f t="shared" si="52"/>
        <v>-12020</v>
      </c>
      <c r="AQ69" s="22">
        <f t="shared" si="52"/>
        <v>-28007</v>
      </c>
      <c r="AR69" s="22">
        <f t="shared" si="52"/>
        <v>-168528</v>
      </c>
      <c r="AS69" s="22">
        <f t="shared" si="52"/>
        <v>-22507</v>
      </c>
      <c r="AT69" s="22">
        <f t="shared" si="52"/>
        <v>-614</v>
      </c>
      <c r="AY69" s="286"/>
    </row>
    <row r="70" spans="1:51">
      <c r="A70" s="109" t="s">
        <v>701</v>
      </c>
      <c r="B70" s="286">
        <v>-428429</v>
      </c>
      <c r="C70" s="286">
        <v>-117082</v>
      </c>
      <c r="D70" s="286">
        <v>-143240</v>
      </c>
      <c r="E70" s="286">
        <v>-213056</v>
      </c>
      <c r="F70" s="286">
        <v>-118172</v>
      </c>
      <c r="G70" s="286">
        <v>-91515</v>
      </c>
      <c r="H70" s="286">
        <v>-92506</v>
      </c>
      <c r="I70" s="286">
        <v>-42914</v>
      </c>
      <c r="J70" s="286">
        <v>-95921</v>
      </c>
      <c r="K70" s="286">
        <v>-24202</v>
      </c>
      <c r="L70" s="286">
        <v>-226221</v>
      </c>
      <c r="M70" s="286">
        <v>-2320</v>
      </c>
      <c r="N70" s="37"/>
      <c r="O70"/>
      <c r="P70"/>
      <c r="AY70" s="286">
        <v>-12689</v>
      </c>
    </row>
    <row r="71" spans="1:51">
      <c r="A71" s="109" t="s">
        <v>702</v>
      </c>
      <c r="B71" s="286">
        <v>0</v>
      </c>
      <c r="C71" s="286">
        <v>0</v>
      </c>
      <c r="D71" s="286">
        <v>0</v>
      </c>
      <c r="E71" s="286">
        <v>0</v>
      </c>
      <c r="F71" s="286">
        <v>0</v>
      </c>
      <c r="G71" s="286">
        <v>0</v>
      </c>
      <c r="H71" s="286">
        <v>0</v>
      </c>
      <c r="I71" s="286">
        <v>0</v>
      </c>
      <c r="J71" s="286">
        <v>0</v>
      </c>
      <c r="K71" s="286">
        <v>0</v>
      </c>
      <c r="L71" s="286">
        <v>0</v>
      </c>
      <c r="M71" s="286">
        <v>0</v>
      </c>
      <c r="N71" s="37"/>
      <c r="O71"/>
      <c r="P71"/>
      <c r="AY71" s="286">
        <v>0</v>
      </c>
    </row>
    <row r="72" spans="1:51">
      <c r="A72" s="109" t="s">
        <v>703</v>
      </c>
      <c r="B72" s="286">
        <v>-40953</v>
      </c>
      <c r="C72" s="286">
        <v>-27507</v>
      </c>
      <c r="D72" s="286">
        <v>-28085</v>
      </c>
      <c r="E72" s="286">
        <v>-20918</v>
      </c>
      <c r="F72" s="286">
        <v>-1520</v>
      </c>
      <c r="G72" s="286">
        <v>0</v>
      </c>
      <c r="H72" s="286">
        <v>0</v>
      </c>
      <c r="I72" s="286">
        <v>0</v>
      </c>
      <c r="J72" s="286">
        <v>0</v>
      </c>
      <c r="K72" s="286">
        <v>0</v>
      </c>
      <c r="L72" s="286">
        <v>0</v>
      </c>
      <c r="M72" s="286">
        <v>0</v>
      </c>
      <c r="N72" s="37"/>
      <c r="O72"/>
      <c r="P72"/>
      <c r="AY72" s="286">
        <v>0</v>
      </c>
    </row>
    <row r="73" spans="1:51">
      <c r="A73" s="109" t="s">
        <v>142</v>
      </c>
      <c r="B73" s="286">
        <v>-61468</v>
      </c>
      <c r="C73" s="286">
        <v>-49746</v>
      </c>
      <c r="D73" s="286">
        <v>-46721</v>
      </c>
      <c r="E73" s="286">
        <v>-49730</v>
      </c>
      <c r="F73" s="286">
        <v>-42407</v>
      </c>
      <c r="G73" s="286">
        <v>-39473</v>
      </c>
      <c r="H73" s="286">
        <v>-36518</v>
      </c>
      <c r="I73" s="397">
        <v>-33567</v>
      </c>
      <c r="J73" s="286">
        <v>-19545</v>
      </c>
      <c r="K73" s="397">
        <v>-11946</v>
      </c>
      <c r="L73" s="286">
        <v>-10479</v>
      </c>
      <c r="M73" s="286">
        <v>-10489</v>
      </c>
      <c r="N73" s="34" t="s">
        <v>704</v>
      </c>
      <c r="O73" t="s">
        <v>705</v>
      </c>
      <c r="P73"/>
      <c r="AK73" s="29">
        <v>-69489</v>
      </c>
      <c r="AL73" s="29">
        <v>-16879</v>
      </c>
      <c r="AM73" s="29">
        <v>-15608</v>
      </c>
      <c r="AN73" s="29">
        <v>-11086</v>
      </c>
      <c r="AO73" s="29">
        <v>-6827</v>
      </c>
      <c r="AP73" s="29">
        <v>-17470</v>
      </c>
      <c r="AQ73" s="29">
        <v>-12414</v>
      </c>
      <c r="AR73" s="29">
        <v>-4491</v>
      </c>
      <c r="AS73" s="22">
        <v>0</v>
      </c>
      <c r="AT73" s="29">
        <v>-1265</v>
      </c>
      <c r="AU73" s="29">
        <v>-163651</v>
      </c>
      <c r="AV73" s="29">
        <v>-21203</v>
      </c>
      <c r="AY73" s="286">
        <v>-9916</v>
      </c>
    </row>
    <row r="74" spans="1:51">
      <c r="A74" s="109" t="s">
        <v>587</v>
      </c>
      <c r="B74" s="286">
        <v>0</v>
      </c>
      <c r="C74" s="286">
        <v>0</v>
      </c>
      <c r="D74" s="286">
        <v>0</v>
      </c>
      <c r="E74" s="286">
        <v>0</v>
      </c>
      <c r="F74" s="286">
        <v>0</v>
      </c>
      <c r="G74" s="286">
        <v>0</v>
      </c>
      <c r="H74" s="286">
        <v>0</v>
      </c>
      <c r="I74" s="397">
        <v>0</v>
      </c>
      <c r="J74" s="286">
        <v>0</v>
      </c>
      <c r="K74" s="397">
        <v>0</v>
      </c>
      <c r="L74" s="286">
        <v>0</v>
      </c>
      <c r="M74" s="286">
        <v>0</v>
      </c>
      <c r="N74" s="34" t="s">
        <v>704</v>
      </c>
      <c r="O74" t="str">
        <f>+A74</f>
        <v>Share buyback</v>
      </c>
      <c r="P74"/>
      <c r="AK74" s="22" t="s">
        <v>706</v>
      </c>
      <c r="AL74" s="22">
        <v>437</v>
      </c>
      <c r="AM74" s="22" t="s">
        <v>706</v>
      </c>
      <c r="AN74" s="22" t="s">
        <v>706</v>
      </c>
      <c r="AO74" s="22">
        <v>21</v>
      </c>
      <c r="AP74" s="22">
        <v>368</v>
      </c>
      <c r="AQ74" s="22">
        <v>705</v>
      </c>
      <c r="AR74" s="22">
        <v>120</v>
      </c>
      <c r="AS74" s="29">
        <v>1793</v>
      </c>
      <c r="AT74" s="22">
        <v>0</v>
      </c>
      <c r="AU74" s="29">
        <v>1882</v>
      </c>
      <c r="AV74" s="22" t="s">
        <v>706</v>
      </c>
      <c r="AY74" s="286">
        <v>0</v>
      </c>
    </row>
    <row r="75" spans="1:51">
      <c r="A75" s="109" t="s">
        <v>699</v>
      </c>
      <c r="B75" s="286">
        <f>B68-B69-B70-B71-B72-B73-B74</f>
        <v>31592</v>
      </c>
      <c r="C75" s="286">
        <f>C68-C69-C70-C71-C72-C73-C74</f>
        <v>20220</v>
      </c>
      <c r="D75" s="286">
        <f t="shared" ref="D75:M75" si="53">D68-D69-D70-D71-D72-D73-D74</f>
        <v>23772</v>
      </c>
      <c r="E75" s="286">
        <f t="shared" si="53"/>
        <v>11209</v>
      </c>
      <c r="F75" s="286">
        <f t="shared" si="53"/>
        <v>-7262</v>
      </c>
      <c r="G75" s="286">
        <f t="shared" si="53"/>
        <v>-8146</v>
      </c>
      <c r="H75" s="286">
        <f t="shared" si="53"/>
        <v>-4813</v>
      </c>
      <c r="I75" s="286">
        <f t="shared" si="53"/>
        <v>-8940</v>
      </c>
      <c r="J75" s="286">
        <f t="shared" si="53"/>
        <v>-5859</v>
      </c>
      <c r="K75" s="286">
        <f t="shared" si="53"/>
        <v>-2116</v>
      </c>
      <c r="L75" s="286">
        <f t="shared" si="53"/>
        <v>-3026</v>
      </c>
      <c r="M75" s="286">
        <f t="shared" si="53"/>
        <v>-5537</v>
      </c>
      <c r="N75" s="37"/>
      <c r="O75"/>
      <c r="P75"/>
      <c r="AK75" s="29">
        <v>6857</v>
      </c>
      <c r="AL75" s="29">
        <v>5345</v>
      </c>
      <c r="AM75" s="29">
        <v>4723</v>
      </c>
      <c r="AN75" s="29">
        <v>3962</v>
      </c>
      <c r="AO75" s="29">
        <v>1821</v>
      </c>
      <c r="AP75" s="29">
        <v>2393</v>
      </c>
      <c r="AQ75" s="29">
        <v>2252</v>
      </c>
      <c r="AR75" s="22">
        <v>992</v>
      </c>
      <c r="AS75" s="29">
        <v>1772</v>
      </c>
      <c r="AT75" s="29">
        <v>1738</v>
      </c>
      <c r="AU75" s="29">
        <v>1146</v>
      </c>
      <c r="AV75" s="22">
        <v>728</v>
      </c>
      <c r="AY75" s="286">
        <f t="shared" ref="AY75" si="54">AY68-AY69-AY70-AY71-AY72-AY73-AY74</f>
        <v>-15017</v>
      </c>
    </row>
    <row r="76" spans="1:51">
      <c r="A76" s="10" t="s">
        <v>145</v>
      </c>
      <c r="B76" s="285">
        <v>14996</v>
      </c>
      <c r="C76" s="285">
        <v>41538</v>
      </c>
      <c r="D76" s="285">
        <v>27207</v>
      </c>
      <c r="E76" s="285">
        <v>-22029</v>
      </c>
      <c r="F76" s="285">
        <v>-5286</v>
      </c>
      <c r="G76" s="285">
        <v>10607</v>
      </c>
      <c r="H76" s="285">
        <v>-12408</v>
      </c>
      <c r="I76" s="285">
        <v>-31015</v>
      </c>
      <c r="J76" s="285">
        <v>29836</v>
      </c>
      <c r="K76" s="285">
        <v>10896</v>
      </c>
      <c r="L76" s="285">
        <v>19740</v>
      </c>
      <c r="M76" s="285">
        <v>-4616</v>
      </c>
      <c r="N76" s="37"/>
      <c r="O76"/>
      <c r="P76"/>
      <c r="AK76" s="29">
        <v>40592</v>
      </c>
      <c r="AL76" s="29">
        <v>8883</v>
      </c>
      <c r="AM76" s="22">
        <v>606</v>
      </c>
      <c r="AN76" s="29">
        <v>22585</v>
      </c>
      <c r="AO76" s="22">
        <v>46</v>
      </c>
      <c r="AP76" s="29">
        <v>1093</v>
      </c>
      <c r="AQ76" s="22">
        <v>46</v>
      </c>
      <c r="AR76" s="22">
        <v>193</v>
      </c>
      <c r="AS76" s="29">
        <v>7451</v>
      </c>
      <c r="AT76" s="22">
        <v>83</v>
      </c>
      <c r="AU76" s="22">
        <v>517</v>
      </c>
      <c r="AV76" s="29">
        <v>1892</v>
      </c>
      <c r="AY76" s="285">
        <v>-9503</v>
      </c>
    </row>
    <row r="77" spans="1:51">
      <c r="A77" s="10" t="s">
        <v>606</v>
      </c>
      <c r="B77" s="285">
        <f>B59+B64+B68+B76</f>
        <v>-169559</v>
      </c>
      <c r="C77" s="285">
        <f>C59+C64+C68+C76</f>
        <v>55536</v>
      </c>
      <c r="D77" s="285">
        <f t="shared" ref="D77:M77" si="55">D59+D64+D68+D76</f>
        <v>341116</v>
      </c>
      <c r="E77" s="285">
        <f t="shared" si="55"/>
        <v>-46037</v>
      </c>
      <c r="F77" s="285">
        <f t="shared" si="55"/>
        <v>10163</v>
      </c>
      <c r="G77" s="285">
        <f t="shared" si="55"/>
        <v>12933</v>
      </c>
      <c r="H77" s="285">
        <f t="shared" si="55"/>
        <v>52888</v>
      </c>
      <c r="I77" s="285">
        <f t="shared" si="55"/>
        <v>4255</v>
      </c>
      <c r="J77" s="285">
        <f t="shared" si="55"/>
        <v>29656</v>
      </c>
      <c r="K77" s="285">
        <f t="shared" si="55"/>
        <v>71724</v>
      </c>
      <c r="L77" s="285">
        <f t="shared" si="55"/>
        <v>50142</v>
      </c>
      <c r="M77" s="285">
        <f t="shared" si="55"/>
        <v>-31868</v>
      </c>
      <c r="N77" s="37"/>
      <c r="O77"/>
      <c r="P77"/>
      <c r="AK77" s="29">
        <v>31967</v>
      </c>
      <c r="AL77" s="29">
        <v>-14185</v>
      </c>
      <c r="AM77" s="29">
        <v>-17957</v>
      </c>
      <c r="AN77" s="29">
        <v>-52908</v>
      </c>
      <c r="AO77" s="22">
        <v>-591</v>
      </c>
      <c r="AP77" s="22" t="s">
        <v>706</v>
      </c>
      <c r="AQ77" s="22" t="s">
        <v>706</v>
      </c>
      <c r="AR77" s="22" t="s">
        <v>706</v>
      </c>
      <c r="AS77" s="22" t="s">
        <v>706</v>
      </c>
      <c r="AT77" s="22" t="s">
        <v>706</v>
      </c>
      <c r="AU77" s="22" t="s">
        <v>706</v>
      </c>
      <c r="AV77" s="22" t="s">
        <v>706</v>
      </c>
      <c r="AY77" s="285">
        <f t="shared" ref="AY77" si="56">AY59+AY64+AY68+AY76</f>
        <v>7976</v>
      </c>
    </row>
    <row r="78" spans="1:51">
      <c r="M78" s="24"/>
      <c r="N78"/>
      <c r="O78" t="s">
        <v>707</v>
      </c>
      <c r="P78"/>
      <c r="AK78" s="29">
        <v>-44847</v>
      </c>
      <c r="AL78" s="29">
        <v>-29822</v>
      </c>
      <c r="AM78" s="29">
        <v>-15135</v>
      </c>
      <c r="AN78" s="29">
        <v>-3838</v>
      </c>
      <c r="AO78" s="29">
        <v>-68707</v>
      </c>
      <c r="AP78" s="29">
        <v>-22855</v>
      </c>
      <c r="AQ78" s="29">
        <v>-22617</v>
      </c>
      <c r="AR78" s="29">
        <v>-2943</v>
      </c>
      <c r="AS78" s="29">
        <v>-12020</v>
      </c>
      <c r="AT78" s="29">
        <v>-26742</v>
      </c>
      <c r="AU78" s="29">
        <v>-4877</v>
      </c>
      <c r="AV78" s="29">
        <v>-1304</v>
      </c>
    </row>
    <row r="79" spans="1:51">
      <c r="A79" s="51" t="s">
        <v>708</v>
      </c>
      <c r="B79" s="51"/>
      <c r="C79" s="51"/>
      <c r="D79" s="51"/>
      <c r="E79" s="1105" t="s">
        <v>614</v>
      </c>
      <c r="F79" s="1105"/>
      <c r="G79" s="1105"/>
      <c r="H79" s="1105" t="s">
        <v>709</v>
      </c>
      <c r="I79" s="1105"/>
      <c r="J79" s="51" t="s">
        <v>616</v>
      </c>
      <c r="K79" s="51" t="s">
        <v>617</v>
      </c>
      <c r="L79" s="51" t="s">
        <v>618</v>
      </c>
      <c r="M79" s="35"/>
      <c r="N79"/>
      <c r="O79"/>
      <c r="P79"/>
      <c r="AK79" s="29">
        <f t="shared" ref="AK79:AV79" si="57">SUM(AK73:AK78)</f>
        <v>-34920</v>
      </c>
      <c r="AL79" s="29">
        <f t="shared" si="57"/>
        <v>-46221</v>
      </c>
      <c r="AM79" s="29">
        <f t="shared" si="57"/>
        <v>-43371</v>
      </c>
      <c r="AN79" s="29">
        <f t="shared" si="57"/>
        <v>-41285</v>
      </c>
      <c r="AO79" s="29">
        <f t="shared" si="57"/>
        <v>-74237</v>
      </c>
      <c r="AP79" s="29">
        <f t="shared" si="57"/>
        <v>-36471</v>
      </c>
      <c r="AQ79" s="29">
        <f t="shared" si="57"/>
        <v>-32028</v>
      </c>
      <c r="AR79" s="29">
        <f t="shared" si="57"/>
        <v>-6129</v>
      </c>
      <c r="AS79" s="29">
        <f t="shared" si="57"/>
        <v>-1004</v>
      </c>
      <c r="AT79" s="29">
        <f t="shared" si="57"/>
        <v>-26186</v>
      </c>
      <c r="AU79" s="29">
        <f t="shared" si="57"/>
        <v>-164983</v>
      </c>
      <c r="AV79" s="29">
        <f t="shared" si="57"/>
        <v>-19887</v>
      </c>
    </row>
    <row r="80" spans="1:51">
      <c r="A80" s="26" t="s">
        <v>710</v>
      </c>
      <c r="B80" s="27">
        <v>84870</v>
      </c>
      <c r="C80" s="40" t="s">
        <v>711</v>
      </c>
      <c r="D80" s="24"/>
      <c r="E80" s="1106"/>
      <c r="F80" s="1106"/>
      <c r="G80" s="1106"/>
      <c r="H80" s="1107"/>
      <c r="I80" s="1107"/>
      <c r="J80" s="78"/>
      <c r="K80" s="77"/>
      <c r="L80" s="77"/>
      <c r="M80" s="24"/>
      <c r="N80" s="40" t="s">
        <v>712</v>
      </c>
      <c r="O80"/>
      <c r="P80"/>
    </row>
    <row r="81" spans="1:53">
      <c r="A81" s="26" t="s">
        <v>713</v>
      </c>
      <c r="B81" s="27">
        <f>OP!C18/1000</f>
        <v>292680</v>
      </c>
      <c r="C81" s="40" t="s">
        <v>714</v>
      </c>
      <c r="D81" s="24"/>
      <c r="E81" s="1106"/>
      <c r="F81" s="1106"/>
      <c r="G81" s="1106"/>
      <c r="H81" s="1107"/>
      <c r="I81" s="1107"/>
      <c r="J81" s="78"/>
      <c r="K81" s="77"/>
      <c r="L81" s="77"/>
      <c r="M81" s="24"/>
      <c r="N81" s="40" t="s">
        <v>712</v>
      </c>
      <c r="O81"/>
      <c r="P81"/>
    </row>
    <row r="82" spans="1:53">
      <c r="A82" s="26" t="s">
        <v>50</v>
      </c>
      <c r="B82" s="72">
        <f>OP!M17</f>
        <v>0.91467576791808869</v>
      </c>
      <c r="C82" s="40" t="s">
        <v>714</v>
      </c>
      <c r="D82" s="79"/>
      <c r="E82" s="1106"/>
      <c r="F82" s="1106"/>
      <c r="G82" s="1106"/>
      <c r="H82" s="1107"/>
      <c r="I82" s="1107"/>
      <c r="J82" s="78"/>
      <c r="K82" s="77"/>
      <c r="L82" s="77"/>
      <c r="M82" s="81"/>
      <c r="N82" s="40" t="s">
        <v>712</v>
      </c>
      <c r="O82"/>
      <c r="P82"/>
    </row>
    <row r="83" spans="1:53">
      <c r="A83" s="26" t="s">
        <v>55</v>
      </c>
      <c r="B83" s="74">
        <f>OP!M18</f>
        <v>0</v>
      </c>
      <c r="C83" s="40" t="s">
        <v>714</v>
      </c>
      <c r="D83" s="80"/>
      <c r="E83" s="1106"/>
      <c r="F83" s="1106"/>
      <c r="G83" s="1106"/>
      <c r="H83" s="1107"/>
      <c r="I83" s="1107"/>
      <c r="J83" s="78"/>
      <c r="K83" s="77"/>
      <c r="L83" s="77"/>
      <c r="M83" s="81"/>
      <c r="N83" s="40" t="s">
        <v>712</v>
      </c>
      <c r="O83"/>
      <c r="P83"/>
    </row>
    <row r="84" spans="1:53">
      <c r="A84" s="26" t="s">
        <v>610</v>
      </c>
      <c r="B84" s="27" t="str">
        <f>OP!M20</f>
        <v>A2</v>
      </c>
      <c r="C84" s="40" t="s">
        <v>711</v>
      </c>
      <c r="D84" s="24"/>
      <c r="E84" s="1106"/>
      <c r="F84" s="1106"/>
      <c r="G84" s="1106"/>
      <c r="H84" s="1107"/>
      <c r="I84" s="1107"/>
      <c r="J84" s="78"/>
      <c r="K84" s="77"/>
      <c r="L84" s="77"/>
      <c r="M84" s="24"/>
      <c r="N84" s="40" t="s">
        <v>712</v>
      </c>
      <c r="O84"/>
      <c r="P84"/>
    </row>
    <row r="85" spans="1:53">
      <c r="A85" s="26" t="s">
        <v>715</v>
      </c>
      <c r="B85" s="75">
        <f>Peers!C34</f>
        <v>3.3334760907172352</v>
      </c>
      <c r="C85" s="40" t="s">
        <v>714</v>
      </c>
      <c r="D85" s="24"/>
      <c r="E85" s="1106"/>
      <c r="F85" s="1106"/>
      <c r="G85" s="1106"/>
      <c r="H85" s="1107"/>
      <c r="I85" s="1107"/>
      <c r="J85" s="77"/>
      <c r="K85" s="77"/>
      <c r="L85" s="77"/>
      <c r="M85" s="24"/>
      <c r="N85" s="40" t="s">
        <v>712</v>
      </c>
      <c r="O85"/>
    </row>
    <row r="86" spans="1:53">
      <c r="A86" s="26" t="s">
        <v>612</v>
      </c>
      <c r="B86" s="27" t="s">
        <v>716</v>
      </c>
      <c r="C86" s="40" t="s">
        <v>714</v>
      </c>
      <c r="D86" s="24"/>
      <c r="E86" s="1106"/>
      <c r="F86" s="1106"/>
      <c r="G86" s="1106"/>
      <c r="H86" s="1107"/>
      <c r="I86" s="1107"/>
      <c r="J86" s="77"/>
      <c r="K86" s="77"/>
      <c r="L86" s="77"/>
      <c r="M86" s="24"/>
      <c r="N86" s="40" t="s">
        <v>712</v>
      </c>
    </row>
    <row r="87" spans="1:53">
      <c r="B87" s="51">
        <v>2020</v>
      </c>
      <c r="C87" s="51">
        <f>B87+1</f>
        <v>2021</v>
      </c>
      <c r="D87" s="51">
        <f>C87+1</f>
        <v>2022</v>
      </c>
      <c r="E87" s="41"/>
      <c r="G87" s="41"/>
      <c r="H87" s="41"/>
      <c r="I87" s="41"/>
      <c r="J87" s="41"/>
      <c r="K87" s="41"/>
      <c r="L87" s="41"/>
      <c r="M87" s="41"/>
      <c r="N87"/>
      <c r="AO87" s="22" t="s">
        <v>717</v>
      </c>
      <c r="AP87" s="29">
        <v>270217</v>
      </c>
      <c r="AQ87" s="29">
        <v>57048</v>
      </c>
      <c r="AR87" s="29">
        <v>-9252</v>
      </c>
      <c r="AS87" s="29">
        <v>-93943</v>
      </c>
      <c r="AT87" s="29">
        <v>100640</v>
      </c>
      <c r="AU87" s="29">
        <v>-14336</v>
      </c>
      <c r="AV87" s="29">
        <v>-1243</v>
      </c>
      <c r="AW87" s="29">
        <v>-2838</v>
      </c>
      <c r="AX87" s="29">
        <v>13345</v>
      </c>
      <c r="AY87" s="29">
        <v>-19179</v>
      </c>
      <c r="AZ87" s="29">
        <v>-42867</v>
      </c>
      <c r="BA87" s="29">
        <v>14237</v>
      </c>
    </row>
    <row r="88" spans="1:53">
      <c r="A88" s="26" t="s">
        <v>613</v>
      </c>
      <c r="B88" s="73" t="s">
        <v>19</v>
      </c>
      <c r="E88" s="40" t="s">
        <v>714</v>
      </c>
      <c r="K88" s="22"/>
      <c r="L88" s="22"/>
      <c r="O88"/>
      <c r="P88"/>
      <c r="AO88" s="22" t="s">
        <v>718</v>
      </c>
      <c r="AP88" s="29">
        <v>115953</v>
      </c>
      <c r="AQ88" s="29">
        <v>68369</v>
      </c>
      <c r="AR88" s="29">
        <v>293216</v>
      </c>
      <c r="AS88" s="29">
        <v>102562</v>
      </c>
      <c r="AT88" s="22">
        <v>0</v>
      </c>
      <c r="AU88" s="29">
        <v>45180</v>
      </c>
      <c r="AV88" s="29">
        <v>60294</v>
      </c>
      <c r="AW88" s="22">
        <v>0</v>
      </c>
      <c r="AX88" s="29">
        <v>24907</v>
      </c>
      <c r="AY88" s="22">
        <v>15</v>
      </c>
      <c r="AZ88" s="29">
        <v>383246</v>
      </c>
      <c r="BA88" s="29">
        <v>2996</v>
      </c>
    </row>
    <row r="89" spans="1:53">
      <c r="A89" s="26" t="s">
        <v>76</v>
      </c>
      <c r="B89" s="76">
        <v>533.97</v>
      </c>
      <c r="C89" s="76">
        <v>743.88</v>
      </c>
      <c r="D89" s="76">
        <v>880.59</v>
      </c>
      <c r="E89" s="40" t="s">
        <v>714</v>
      </c>
      <c r="K89" s="22"/>
      <c r="L89" s="22"/>
      <c r="O89" s="51"/>
      <c r="AO89" s="22" t="s">
        <v>719</v>
      </c>
      <c r="AP89" s="29">
        <v>-428429</v>
      </c>
      <c r="AQ89" s="29">
        <v>-117082</v>
      </c>
      <c r="AR89" s="29">
        <v>-133988</v>
      </c>
      <c r="AS89" s="29">
        <v>-119113</v>
      </c>
      <c r="AT89" s="29">
        <v>-118172</v>
      </c>
      <c r="AU89" s="29">
        <v>-77179</v>
      </c>
      <c r="AV89" s="29">
        <v>-91263</v>
      </c>
      <c r="AW89" s="29">
        <v>-40076</v>
      </c>
      <c r="AX89" s="29">
        <v>-95921</v>
      </c>
      <c r="AY89" s="29">
        <v>-5023</v>
      </c>
      <c r="AZ89" s="29">
        <v>-183354</v>
      </c>
      <c r="BA89" s="29">
        <v>-2320</v>
      </c>
    </row>
    <row r="90" spans="1:53">
      <c r="M90"/>
      <c r="N90" s="108"/>
      <c r="O90" s="51"/>
    </row>
    <row r="91" spans="1:53">
      <c r="J91" s="24"/>
      <c r="L91"/>
      <c r="M91"/>
      <c r="N91"/>
    </row>
    <row r="92" spans="1:53">
      <c r="J92" s="24"/>
      <c r="L92"/>
      <c r="M92"/>
      <c r="N92"/>
    </row>
    <row r="93" spans="1:53">
      <c r="J93" s="24"/>
      <c r="L93"/>
      <c r="M93"/>
      <c r="N93"/>
    </row>
    <row r="94" spans="1:53">
      <c r="J94" s="24"/>
      <c r="L94"/>
      <c r="M94"/>
      <c r="N94"/>
      <c r="AO94" s="22" t="s">
        <v>700</v>
      </c>
      <c r="AP94" s="29">
        <f t="shared" ref="AP94:BA94" si="58">IF(AP87&gt;=0,AP87+AP88,AP88)</f>
        <v>386170</v>
      </c>
      <c r="AQ94" s="29">
        <f t="shared" si="58"/>
        <v>125417</v>
      </c>
      <c r="AR94" s="29">
        <f t="shared" si="58"/>
        <v>293216</v>
      </c>
      <c r="AS94" s="29">
        <f t="shared" si="58"/>
        <v>102562</v>
      </c>
      <c r="AT94" s="29">
        <f t="shared" si="58"/>
        <v>100640</v>
      </c>
      <c r="AU94" s="29">
        <f t="shared" si="58"/>
        <v>45180</v>
      </c>
      <c r="AV94" s="29">
        <f t="shared" si="58"/>
        <v>60294</v>
      </c>
      <c r="AW94" s="29">
        <f t="shared" si="58"/>
        <v>0</v>
      </c>
      <c r="AX94" s="29">
        <f t="shared" si="58"/>
        <v>38252</v>
      </c>
      <c r="AY94" s="29">
        <f t="shared" si="58"/>
        <v>15</v>
      </c>
      <c r="AZ94" s="29">
        <f t="shared" si="58"/>
        <v>383246</v>
      </c>
      <c r="BA94" s="29">
        <f t="shared" si="58"/>
        <v>17233</v>
      </c>
    </row>
    <row r="95" spans="1:53">
      <c r="J95" s="24"/>
      <c r="L95"/>
      <c r="M95"/>
      <c r="N95"/>
      <c r="AO95" s="22" t="s">
        <v>701</v>
      </c>
      <c r="AP95" s="29">
        <f t="shared" ref="AP95:BA95" si="59">IF(AP87&lt;=0,AP87+AP89,AP89)</f>
        <v>-428429</v>
      </c>
      <c r="AQ95" s="29">
        <f t="shared" si="59"/>
        <v>-117082</v>
      </c>
      <c r="AR95" s="29">
        <f t="shared" si="59"/>
        <v>-143240</v>
      </c>
      <c r="AS95" s="29">
        <f t="shared" si="59"/>
        <v>-213056</v>
      </c>
      <c r="AT95" s="29">
        <f t="shared" si="59"/>
        <v>-118172</v>
      </c>
      <c r="AU95" s="29">
        <f t="shared" si="59"/>
        <v>-91515</v>
      </c>
      <c r="AV95" s="29">
        <f t="shared" si="59"/>
        <v>-92506</v>
      </c>
      <c r="AW95" s="29">
        <f t="shared" si="59"/>
        <v>-42914</v>
      </c>
      <c r="AX95" s="29">
        <f t="shared" si="59"/>
        <v>-95921</v>
      </c>
      <c r="AY95" s="29">
        <f t="shared" si="59"/>
        <v>-24202</v>
      </c>
      <c r="AZ95" s="29">
        <f t="shared" si="59"/>
        <v>-226221</v>
      </c>
      <c r="BA95" s="29">
        <f t="shared" si="59"/>
        <v>-2320</v>
      </c>
    </row>
    <row r="96" spans="1:53">
      <c r="J96" s="24"/>
      <c r="L96"/>
      <c r="M96"/>
      <c r="N96"/>
      <c r="O96"/>
    </row>
    <row r="97" spans="1:14">
      <c r="J97" s="24"/>
      <c r="L97"/>
      <c r="M97"/>
      <c r="N97"/>
    </row>
    <row r="98" spans="1:14">
      <c r="G98"/>
      <c r="M98"/>
      <c r="N98"/>
    </row>
    <row r="99" spans="1:14">
      <c r="A99"/>
      <c r="B99"/>
      <c r="C99"/>
      <c r="D99"/>
      <c r="E99"/>
      <c r="F99"/>
      <c r="G99"/>
    </row>
    <row r="100" spans="1:14">
      <c r="A100"/>
      <c r="B100"/>
      <c r="C100"/>
      <c r="D100"/>
      <c r="E100"/>
      <c r="F100"/>
      <c r="G100"/>
    </row>
  </sheetData>
  <mergeCells count="1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 ref="G2:J2"/>
    <mergeCell ref="D4:M4"/>
    <mergeCell ref="R5:S5"/>
    <mergeCell ref="H79:I79"/>
    <mergeCell ref="E79:G79"/>
  </mergeCells>
  <phoneticPr fontId="106" type="noConversion"/>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42578125" defaultRowHeight="12.95"/>
  <cols>
    <col min="1" max="9" width="0" hidden="1" customWidth="1"/>
    <col min="11" max="11" width="21.42578125" bestFit="1" customWidth="1"/>
  </cols>
  <sheetData>
    <row r="2" spans="2:27">
      <c r="E2" s="11" t="s">
        <v>720</v>
      </c>
      <c r="F2" s="11" t="s">
        <v>721</v>
      </c>
      <c r="H2" s="11" t="s">
        <v>432</v>
      </c>
      <c r="K2" s="1108" t="s">
        <v>720</v>
      </c>
      <c r="L2" s="1110" t="s">
        <v>722</v>
      </c>
      <c r="M2" s="1111"/>
      <c r="N2" s="1111"/>
      <c r="O2" s="1111"/>
      <c r="P2" s="1112"/>
      <c r="Q2" s="1111" t="s">
        <v>353</v>
      </c>
      <c r="R2" s="1111"/>
      <c r="S2" s="1111"/>
      <c r="T2" s="1111"/>
      <c r="U2" s="1111"/>
      <c r="V2" s="1111"/>
      <c r="W2" s="1111"/>
      <c r="X2" s="1111"/>
      <c r="Y2" s="1111"/>
      <c r="Z2" s="1111"/>
      <c r="AA2" s="1112"/>
    </row>
    <row r="3" spans="2:27">
      <c r="E3" t="s">
        <v>723</v>
      </c>
      <c r="F3" t="s">
        <v>724</v>
      </c>
      <c r="H3" s="11" t="s">
        <v>334</v>
      </c>
      <c r="K3" s="1109"/>
      <c r="L3" s="83" t="s">
        <v>725</v>
      </c>
      <c r="M3" s="96" t="s">
        <v>726</v>
      </c>
      <c r="N3" s="96" t="s">
        <v>727</v>
      </c>
      <c r="O3" s="96" t="s">
        <v>728</v>
      </c>
      <c r="P3" s="97" t="s">
        <v>729</v>
      </c>
      <c r="Q3" s="96" t="s">
        <v>730</v>
      </c>
      <c r="R3" s="96" t="s">
        <v>731</v>
      </c>
      <c r="S3" s="96" t="s">
        <v>361</v>
      </c>
      <c r="T3" s="96" t="s">
        <v>732</v>
      </c>
      <c r="U3" s="96" t="s">
        <v>733</v>
      </c>
      <c r="V3" s="96" t="s">
        <v>734</v>
      </c>
      <c r="W3" s="96" t="s">
        <v>735</v>
      </c>
      <c r="X3" s="96" t="s">
        <v>736</v>
      </c>
      <c r="Y3" s="96" t="s">
        <v>737</v>
      </c>
      <c r="Z3" s="96" t="s">
        <v>738</v>
      </c>
      <c r="AA3" s="97" t="s">
        <v>403</v>
      </c>
    </row>
    <row r="4" spans="2:27">
      <c r="B4" s="84"/>
      <c r="E4" t="s">
        <v>723</v>
      </c>
      <c r="F4" t="s">
        <v>739</v>
      </c>
      <c r="H4" s="11" t="s">
        <v>435</v>
      </c>
      <c r="K4" s="98" t="s">
        <v>723</v>
      </c>
      <c r="L4" s="99" t="s">
        <v>432</v>
      </c>
      <c r="M4" t="s">
        <v>432</v>
      </c>
      <c r="N4" t="s">
        <v>334</v>
      </c>
      <c r="O4" t="s">
        <v>432</v>
      </c>
      <c r="P4" s="100" t="s">
        <v>432</v>
      </c>
      <c r="Q4" t="s">
        <v>334</v>
      </c>
      <c r="R4" t="s">
        <v>334</v>
      </c>
      <c r="S4" t="s">
        <v>432</v>
      </c>
      <c r="T4" t="s">
        <v>432</v>
      </c>
      <c r="U4" t="s">
        <v>435</v>
      </c>
      <c r="V4" t="s">
        <v>432</v>
      </c>
      <c r="W4" t="s">
        <v>432</v>
      </c>
      <c r="X4" t="s">
        <v>432</v>
      </c>
      <c r="Y4" t="s">
        <v>432</v>
      </c>
      <c r="Z4" t="s">
        <v>432</v>
      </c>
      <c r="AA4" s="100" t="s">
        <v>334</v>
      </c>
    </row>
    <row r="5" spans="2:27" ht="14.1">
      <c r="B5" s="92" t="s">
        <v>331</v>
      </c>
      <c r="E5" t="s">
        <v>723</v>
      </c>
      <c r="F5" t="s">
        <v>740</v>
      </c>
      <c r="H5" s="11" t="s">
        <v>741</v>
      </c>
      <c r="K5" s="98" t="s">
        <v>742</v>
      </c>
      <c r="L5" s="99" t="s">
        <v>432</v>
      </c>
      <c r="M5" t="s">
        <v>432</v>
      </c>
      <c r="N5" t="s">
        <v>334</v>
      </c>
      <c r="O5" t="s">
        <v>334</v>
      </c>
      <c r="P5" s="100" t="s">
        <v>432</v>
      </c>
      <c r="Q5" t="s">
        <v>334</v>
      </c>
      <c r="R5" t="s">
        <v>334</v>
      </c>
      <c r="S5" t="s">
        <v>432</v>
      </c>
      <c r="T5" t="s">
        <v>432</v>
      </c>
      <c r="U5" t="s">
        <v>334</v>
      </c>
      <c r="V5" t="s">
        <v>334</v>
      </c>
      <c r="W5" t="s">
        <v>334</v>
      </c>
      <c r="X5" t="s">
        <v>435</v>
      </c>
      <c r="Y5" t="s">
        <v>432</v>
      </c>
      <c r="Z5" t="s">
        <v>435</v>
      </c>
      <c r="AA5" s="100" t="s">
        <v>432</v>
      </c>
    </row>
    <row r="6" spans="2:27">
      <c r="B6" s="94" t="s">
        <v>743</v>
      </c>
      <c r="E6" t="s">
        <v>723</v>
      </c>
      <c r="F6" t="s">
        <v>744</v>
      </c>
      <c r="K6" s="98" t="s">
        <v>745</v>
      </c>
      <c r="L6" s="99" t="s">
        <v>435</v>
      </c>
      <c r="M6" t="s">
        <v>741</v>
      </c>
      <c r="N6" t="s">
        <v>435</v>
      </c>
      <c r="O6" t="s">
        <v>435</v>
      </c>
      <c r="P6" s="100" t="s">
        <v>435</v>
      </c>
      <c r="Q6" t="s">
        <v>334</v>
      </c>
      <c r="R6" t="s">
        <v>435</v>
      </c>
      <c r="S6" t="s">
        <v>435</v>
      </c>
      <c r="T6" t="s">
        <v>432</v>
      </c>
      <c r="U6" t="s">
        <v>334</v>
      </c>
      <c r="V6" t="s">
        <v>334</v>
      </c>
      <c r="W6" t="s">
        <v>432</v>
      </c>
      <c r="X6" t="s">
        <v>435</v>
      </c>
      <c r="Y6" t="s">
        <v>432</v>
      </c>
      <c r="Z6" t="s">
        <v>741</v>
      </c>
      <c r="AA6" s="100" t="s">
        <v>432</v>
      </c>
    </row>
    <row r="7" spans="2:27">
      <c r="B7" s="94" t="s">
        <v>746</v>
      </c>
      <c r="E7" t="s">
        <v>723</v>
      </c>
      <c r="F7" t="s">
        <v>747</v>
      </c>
      <c r="K7" s="98" t="s">
        <v>727</v>
      </c>
      <c r="L7" s="99" t="s">
        <v>741</v>
      </c>
      <c r="M7" t="s">
        <v>741</v>
      </c>
      <c r="N7" t="s">
        <v>334</v>
      </c>
      <c r="O7" t="s">
        <v>741</v>
      </c>
      <c r="P7" s="100" t="s">
        <v>435</v>
      </c>
      <c r="Q7" t="s">
        <v>435</v>
      </c>
      <c r="R7" t="s">
        <v>334</v>
      </c>
      <c r="S7" t="s">
        <v>334</v>
      </c>
      <c r="T7" t="s">
        <v>334</v>
      </c>
      <c r="U7" t="s">
        <v>334</v>
      </c>
      <c r="V7" t="s">
        <v>435</v>
      </c>
      <c r="W7" t="s">
        <v>334</v>
      </c>
      <c r="X7" t="s">
        <v>334</v>
      </c>
      <c r="Y7" t="s">
        <v>435</v>
      </c>
      <c r="Z7" t="s">
        <v>435</v>
      </c>
      <c r="AA7" s="100" t="s">
        <v>432</v>
      </c>
    </row>
    <row r="8" spans="2:27">
      <c r="B8" s="94"/>
      <c r="K8" s="98" t="s">
        <v>748</v>
      </c>
      <c r="L8" s="99" t="s">
        <v>432</v>
      </c>
      <c r="M8" t="s">
        <v>432</v>
      </c>
      <c r="N8" t="s">
        <v>432</v>
      </c>
      <c r="O8" t="s">
        <v>334</v>
      </c>
      <c r="P8" s="100" t="s">
        <v>334</v>
      </c>
      <c r="Q8" t="s">
        <v>432</v>
      </c>
      <c r="R8" t="s">
        <v>334</v>
      </c>
      <c r="S8" t="s">
        <v>334</v>
      </c>
      <c r="T8" t="s">
        <v>435</v>
      </c>
      <c r="U8" t="s">
        <v>334</v>
      </c>
      <c r="V8" t="s">
        <v>432</v>
      </c>
      <c r="W8" t="s">
        <v>432</v>
      </c>
      <c r="X8" t="s">
        <v>334</v>
      </c>
      <c r="Y8" t="s">
        <v>334</v>
      </c>
      <c r="Z8" t="s">
        <v>435</v>
      </c>
      <c r="AA8" s="100" t="s">
        <v>432</v>
      </c>
    </row>
    <row r="9" spans="2:27">
      <c r="B9" s="94" t="s">
        <v>342</v>
      </c>
      <c r="E9" t="s">
        <v>723</v>
      </c>
      <c r="F9" t="s">
        <v>749</v>
      </c>
      <c r="K9" s="98" t="s">
        <v>750</v>
      </c>
      <c r="L9" s="99" t="s">
        <v>432</v>
      </c>
      <c r="M9" t="s">
        <v>432</v>
      </c>
      <c r="N9" t="s">
        <v>432</v>
      </c>
      <c r="O9" t="s">
        <v>432</v>
      </c>
      <c r="P9" s="100" t="s">
        <v>432</v>
      </c>
      <c r="Q9" t="s">
        <v>432</v>
      </c>
      <c r="R9" t="s">
        <v>432</v>
      </c>
      <c r="S9" t="s">
        <v>334</v>
      </c>
      <c r="T9" t="s">
        <v>435</v>
      </c>
      <c r="U9" t="s">
        <v>334</v>
      </c>
      <c r="V9" t="s">
        <v>432</v>
      </c>
      <c r="W9" t="s">
        <v>432</v>
      </c>
      <c r="X9" t="s">
        <v>432</v>
      </c>
      <c r="Y9" t="s">
        <v>432</v>
      </c>
      <c r="Z9" t="s">
        <v>334</v>
      </c>
      <c r="AA9" s="100" t="s">
        <v>432</v>
      </c>
    </row>
    <row r="10" spans="2:27">
      <c r="B10" s="94"/>
      <c r="K10" s="98" t="s">
        <v>751</v>
      </c>
      <c r="L10" s="99" t="s">
        <v>432</v>
      </c>
      <c r="M10" t="s">
        <v>334</v>
      </c>
      <c r="N10" t="s">
        <v>432</v>
      </c>
      <c r="O10" t="s">
        <v>334</v>
      </c>
      <c r="P10" s="100" t="s">
        <v>435</v>
      </c>
      <c r="Q10" t="s">
        <v>432</v>
      </c>
      <c r="R10" t="s">
        <v>432</v>
      </c>
      <c r="S10" t="s">
        <v>432</v>
      </c>
      <c r="T10" t="s">
        <v>432</v>
      </c>
      <c r="U10" t="s">
        <v>432</v>
      </c>
      <c r="V10" t="s">
        <v>432</v>
      </c>
      <c r="W10" t="s">
        <v>432</v>
      </c>
      <c r="X10" t="s">
        <v>432</v>
      </c>
      <c r="Y10" t="s">
        <v>334</v>
      </c>
      <c r="Z10" t="s">
        <v>432</v>
      </c>
      <c r="AA10" s="100" t="s">
        <v>432</v>
      </c>
    </row>
    <row r="11" spans="2:27">
      <c r="B11" s="94" t="s">
        <v>346</v>
      </c>
      <c r="E11" t="s">
        <v>723</v>
      </c>
      <c r="F11" t="s">
        <v>752</v>
      </c>
      <c r="K11" s="98" t="s">
        <v>753</v>
      </c>
      <c r="L11" s="99" t="s">
        <v>432</v>
      </c>
      <c r="M11" t="s">
        <v>334</v>
      </c>
      <c r="N11" t="s">
        <v>432</v>
      </c>
      <c r="O11" t="s">
        <v>432</v>
      </c>
      <c r="P11" s="100" t="s">
        <v>432</v>
      </c>
      <c r="Q11" t="s">
        <v>432</v>
      </c>
      <c r="R11" t="s">
        <v>432</v>
      </c>
      <c r="S11" t="s">
        <v>334</v>
      </c>
      <c r="T11" t="s">
        <v>432</v>
      </c>
      <c r="U11" t="s">
        <v>435</v>
      </c>
      <c r="V11" t="s">
        <v>432</v>
      </c>
      <c r="W11" t="s">
        <v>432</v>
      </c>
      <c r="X11" t="s">
        <v>432</v>
      </c>
      <c r="Y11" t="s">
        <v>432</v>
      </c>
      <c r="Z11" t="s">
        <v>432</v>
      </c>
      <c r="AA11" s="100" t="s">
        <v>432</v>
      </c>
    </row>
    <row r="12" spans="2:27">
      <c r="B12" s="93" t="s">
        <v>754</v>
      </c>
      <c r="E12" t="s">
        <v>723</v>
      </c>
      <c r="F12" t="s">
        <v>755</v>
      </c>
      <c r="K12" s="98" t="s">
        <v>317</v>
      </c>
      <c r="L12" s="99" t="s">
        <v>741</v>
      </c>
      <c r="M12" t="s">
        <v>741</v>
      </c>
      <c r="N12" t="s">
        <v>741</v>
      </c>
      <c r="O12" t="s">
        <v>435</v>
      </c>
      <c r="P12" s="100" t="s">
        <v>435</v>
      </c>
      <c r="Q12" t="s">
        <v>432</v>
      </c>
      <c r="R12" t="s">
        <v>334</v>
      </c>
      <c r="S12" t="s">
        <v>435</v>
      </c>
      <c r="T12" t="s">
        <v>741</v>
      </c>
      <c r="U12" t="s">
        <v>334</v>
      </c>
      <c r="V12" t="s">
        <v>741</v>
      </c>
      <c r="W12" t="s">
        <v>334</v>
      </c>
      <c r="X12" t="s">
        <v>741</v>
      </c>
      <c r="Y12" t="s">
        <v>741</v>
      </c>
      <c r="Z12" t="s">
        <v>741</v>
      </c>
      <c r="AA12" s="100" t="s">
        <v>435</v>
      </c>
    </row>
    <row r="13" spans="2:27" ht="14.1">
      <c r="B13" s="92" t="s">
        <v>353</v>
      </c>
      <c r="E13" t="s">
        <v>723</v>
      </c>
      <c r="F13" t="s">
        <v>756</v>
      </c>
      <c r="K13" s="98" t="s">
        <v>757</v>
      </c>
      <c r="L13" s="99" t="s">
        <v>334</v>
      </c>
      <c r="M13" t="s">
        <v>432</v>
      </c>
      <c r="N13" t="s">
        <v>435</v>
      </c>
      <c r="O13" t="s">
        <v>432</v>
      </c>
      <c r="P13" s="100" t="s">
        <v>432</v>
      </c>
      <c r="Q13" t="s">
        <v>432</v>
      </c>
      <c r="R13" t="s">
        <v>432</v>
      </c>
      <c r="S13" t="s">
        <v>432</v>
      </c>
      <c r="T13" t="s">
        <v>432</v>
      </c>
      <c r="U13" t="s">
        <v>435</v>
      </c>
      <c r="V13" t="s">
        <v>432</v>
      </c>
      <c r="W13" t="s">
        <v>432</v>
      </c>
      <c r="X13" t="s">
        <v>432</v>
      </c>
      <c r="Y13" t="s">
        <v>432</v>
      </c>
      <c r="Z13" t="s">
        <v>334</v>
      </c>
      <c r="AA13" s="100" t="s">
        <v>741</v>
      </c>
    </row>
    <row r="14" spans="2:27">
      <c r="B14" s="86" t="s">
        <v>758</v>
      </c>
      <c r="E14" t="s">
        <v>723</v>
      </c>
      <c r="F14" t="s">
        <v>759</v>
      </c>
      <c r="K14" s="98" t="s">
        <v>760</v>
      </c>
      <c r="L14" s="99" t="s">
        <v>741</v>
      </c>
      <c r="M14" t="s">
        <v>741</v>
      </c>
      <c r="N14" t="s">
        <v>741</v>
      </c>
      <c r="O14" t="s">
        <v>741</v>
      </c>
      <c r="P14" s="100" t="s">
        <v>435</v>
      </c>
      <c r="Q14" t="s">
        <v>435</v>
      </c>
      <c r="R14" t="s">
        <v>435</v>
      </c>
      <c r="S14" t="s">
        <v>334</v>
      </c>
      <c r="T14" t="s">
        <v>435</v>
      </c>
      <c r="U14" t="s">
        <v>432</v>
      </c>
      <c r="V14" t="s">
        <v>741</v>
      </c>
      <c r="W14" t="s">
        <v>334</v>
      </c>
      <c r="X14" t="s">
        <v>334</v>
      </c>
      <c r="Y14" t="s">
        <v>741</v>
      </c>
      <c r="Z14" t="s">
        <v>435</v>
      </c>
      <c r="AA14" s="100" t="s">
        <v>334</v>
      </c>
    </row>
    <row r="15" spans="2:27">
      <c r="B15" s="86" t="s">
        <v>761</v>
      </c>
      <c r="E15" t="s">
        <v>742</v>
      </c>
      <c r="F15" t="s">
        <v>762</v>
      </c>
      <c r="K15" s="98" t="s">
        <v>763</v>
      </c>
      <c r="L15" s="99" t="s">
        <v>432</v>
      </c>
      <c r="M15" t="s">
        <v>432</v>
      </c>
      <c r="N15" t="s">
        <v>334</v>
      </c>
      <c r="O15" t="s">
        <v>432</v>
      </c>
      <c r="P15" s="100" t="s">
        <v>432</v>
      </c>
      <c r="Q15" t="s">
        <v>334</v>
      </c>
      <c r="R15" t="s">
        <v>432</v>
      </c>
      <c r="S15" t="s">
        <v>432</v>
      </c>
      <c r="T15" t="s">
        <v>432</v>
      </c>
      <c r="U15" t="s">
        <v>435</v>
      </c>
      <c r="V15" t="s">
        <v>432</v>
      </c>
      <c r="W15" t="s">
        <v>334</v>
      </c>
      <c r="X15" t="s">
        <v>432</v>
      </c>
      <c r="Y15" t="s">
        <v>334</v>
      </c>
      <c r="Z15" t="s">
        <v>432</v>
      </c>
      <c r="AA15" s="100" t="s">
        <v>432</v>
      </c>
    </row>
    <row r="16" spans="2:27">
      <c r="B16" s="89" t="s">
        <v>764</v>
      </c>
      <c r="E16" t="s">
        <v>742</v>
      </c>
      <c r="F16" t="s">
        <v>765</v>
      </c>
      <c r="K16" s="101" t="s">
        <v>766</v>
      </c>
      <c r="L16" s="102" t="s">
        <v>741</v>
      </c>
      <c r="M16" s="103" t="s">
        <v>435</v>
      </c>
      <c r="N16" s="103" t="s">
        <v>435</v>
      </c>
      <c r="O16" s="103" t="s">
        <v>334</v>
      </c>
      <c r="P16" s="104" t="s">
        <v>435</v>
      </c>
      <c r="Q16" s="103" t="s">
        <v>432</v>
      </c>
      <c r="R16" s="103" t="s">
        <v>334</v>
      </c>
      <c r="S16" s="103" t="s">
        <v>334</v>
      </c>
      <c r="T16" s="103" t="s">
        <v>432</v>
      </c>
      <c r="U16" s="103" t="s">
        <v>334</v>
      </c>
      <c r="V16" s="103" t="s">
        <v>334</v>
      </c>
      <c r="W16" s="103" t="s">
        <v>334</v>
      </c>
      <c r="X16" s="103" t="s">
        <v>334</v>
      </c>
      <c r="Y16" s="103" t="s">
        <v>432</v>
      </c>
      <c r="Z16" s="103" t="s">
        <v>334</v>
      </c>
      <c r="AA16" s="104" t="s">
        <v>432</v>
      </c>
    </row>
    <row r="17" spans="2:22">
      <c r="B17" s="89" t="s">
        <v>767</v>
      </c>
      <c r="E17" t="s">
        <v>742</v>
      </c>
      <c r="F17" t="s">
        <v>768</v>
      </c>
    </row>
    <row r="18" spans="2:22" hidden="1">
      <c r="B18" s="86" t="s">
        <v>769</v>
      </c>
      <c r="E18" t="s">
        <v>742</v>
      </c>
      <c r="F18" t="s">
        <v>770</v>
      </c>
    </row>
    <row r="19" spans="2:22" hidden="1">
      <c r="B19" s="86" t="s">
        <v>771</v>
      </c>
      <c r="E19" t="s">
        <v>742</v>
      </c>
      <c r="F19" t="s">
        <v>772</v>
      </c>
      <c r="L19" s="105" t="s">
        <v>723</v>
      </c>
      <c r="M19" s="106" t="s">
        <v>742</v>
      </c>
      <c r="N19" s="106" t="s">
        <v>745</v>
      </c>
      <c r="O19" s="106" t="s">
        <v>727</v>
      </c>
      <c r="P19" s="106" t="s">
        <v>750</v>
      </c>
      <c r="Q19" s="106" t="s">
        <v>753</v>
      </c>
      <c r="R19" s="106" t="s">
        <v>317</v>
      </c>
      <c r="S19" s="106" t="s">
        <v>757</v>
      </c>
      <c r="T19" s="106" t="s">
        <v>760</v>
      </c>
      <c r="U19" s="106" t="s">
        <v>763</v>
      </c>
      <c r="V19" s="107" t="s">
        <v>766</v>
      </c>
    </row>
    <row r="20" spans="2:22" hidden="1">
      <c r="B20" s="86" t="s">
        <v>378</v>
      </c>
      <c r="E20" t="s">
        <v>742</v>
      </c>
      <c r="F20" t="s">
        <v>773</v>
      </c>
      <c r="L20" s="99" t="s">
        <v>724</v>
      </c>
      <c r="M20" t="s">
        <v>762</v>
      </c>
      <c r="N20" t="s">
        <v>774</v>
      </c>
      <c r="O20" t="s">
        <v>775</v>
      </c>
      <c r="P20" t="s">
        <v>776</v>
      </c>
      <c r="Q20" t="s">
        <v>777</v>
      </c>
      <c r="R20" t="s">
        <v>778</v>
      </c>
      <c r="S20" t="s">
        <v>779</v>
      </c>
      <c r="T20" t="s">
        <v>780</v>
      </c>
      <c r="U20" t="s">
        <v>781</v>
      </c>
      <c r="V20" s="100" t="s">
        <v>782</v>
      </c>
    </row>
    <row r="21" spans="2:22" hidden="1">
      <c r="B21" s="86" t="s">
        <v>385</v>
      </c>
      <c r="E21" t="s">
        <v>742</v>
      </c>
      <c r="F21" t="s">
        <v>783</v>
      </c>
      <c r="L21" s="99" t="s">
        <v>739</v>
      </c>
      <c r="M21" t="s">
        <v>765</v>
      </c>
      <c r="N21" t="s">
        <v>784</v>
      </c>
      <c r="O21" t="s">
        <v>785</v>
      </c>
      <c r="P21" t="s">
        <v>786</v>
      </c>
      <c r="Q21" t="s">
        <v>787</v>
      </c>
      <c r="R21" t="s">
        <v>788</v>
      </c>
      <c r="S21" t="s">
        <v>789</v>
      </c>
      <c r="T21" t="s">
        <v>790</v>
      </c>
      <c r="U21" t="s">
        <v>791</v>
      </c>
      <c r="V21" s="100" t="s">
        <v>792</v>
      </c>
    </row>
    <row r="22" spans="2:22" hidden="1">
      <c r="B22" s="86" t="s">
        <v>391</v>
      </c>
      <c r="E22" t="s">
        <v>742</v>
      </c>
      <c r="F22" t="s">
        <v>793</v>
      </c>
      <c r="L22" s="99" t="s">
        <v>740</v>
      </c>
      <c r="M22" t="s">
        <v>768</v>
      </c>
      <c r="N22" t="s">
        <v>794</v>
      </c>
      <c r="O22" t="s">
        <v>795</v>
      </c>
      <c r="P22" t="s">
        <v>796</v>
      </c>
      <c r="Q22" t="s">
        <v>797</v>
      </c>
      <c r="R22" t="s">
        <v>798</v>
      </c>
      <c r="S22" t="s">
        <v>799</v>
      </c>
      <c r="T22" t="s">
        <v>800</v>
      </c>
      <c r="U22" t="s">
        <v>801</v>
      </c>
      <c r="V22" s="100" t="s">
        <v>802</v>
      </c>
    </row>
    <row r="23" spans="2:22" hidden="1">
      <c r="B23" s="86" t="s">
        <v>400</v>
      </c>
      <c r="E23" t="s">
        <v>742</v>
      </c>
      <c r="F23" t="s">
        <v>803</v>
      </c>
      <c r="L23" s="99" t="s">
        <v>744</v>
      </c>
      <c r="M23" t="s">
        <v>770</v>
      </c>
      <c r="N23" t="s">
        <v>804</v>
      </c>
      <c r="O23" t="s">
        <v>805</v>
      </c>
      <c r="P23" t="s">
        <v>806</v>
      </c>
      <c r="Q23" t="s">
        <v>807</v>
      </c>
      <c r="R23" t="s">
        <v>808</v>
      </c>
      <c r="S23" t="s">
        <v>809</v>
      </c>
      <c r="T23" t="s">
        <v>810</v>
      </c>
      <c r="U23" t="s">
        <v>811</v>
      </c>
      <c r="V23" s="100" t="s">
        <v>812</v>
      </c>
    </row>
    <row r="24" spans="2:22" hidden="1">
      <c r="B24" s="88" t="s">
        <v>403</v>
      </c>
      <c r="E24" t="s">
        <v>742</v>
      </c>
      <c r="F24" t="s">
        <v>813</v>
      </c>
      <c r="L24" s="99" t="s">
        <v>747</v>
      </c>
      <c r="M24" t="s">
        <v>772</v>
      </c>
      <c r="N24" t="s">
        <v>814</v>
      </c>
      <c r="O24" t="s">
        <v>815</v>
      </c>
      <c r="P24" t="s">
        <v>816</v>
      </c>
      <c r="Q24" t="s">
        <v>817</v>
      </c>
      <c r="R24" t="s">
        <v>818</v>
      </c>
      <c r="S24" t="s">
        <v>819</v>
      </c>
      <c r="T24" t="s">
        <v>820</v>
      </c>
      <c r="U24" t="s">
        <v>821</v>
      </c>
      <c r="V24" s="100" t="s">
        <v>822</v>
      </c>
    </row>
    <row r="25" spans="2:22" hidden="1">
      <c r="E25" t="s">
        <v>742</v>
      </c>
      <c r="F25" t="s">
        <v>823</v>
      </c>
      <c r="L25" s="99" t="s">
        <v>749</v>
      </c>
      <c r="M25" t="s">
        <v>773</v>
      </c>
      <c r="N25" t="s">
        <v>824</v>
      </c>
      <c r="P25" t="s">
        <v>825</v>
      </c>
      <c r="Q25" t="s">
        <v>826</v>
      </c>
      <c r="R25" t="s">
        <v>827</v>
      </c>
      <c r="S25" t="s">
        <v>828</v>
      </c>
      <c r="T25" t="s">
        <v>829</v>
      </c>
      <c r="U25" t="s">
        <v>830</v>
      </c>
      <c r="V25" s="100"/>
    </row>
    <row r="26" spans="2:22" hidden="1">
      <c r="E26" t="s">
        <v>742</v>
      </c>
      <c r="F26" t="s">
        <v>831</v>
      </c>
      <c r="L26" s="99" t="s">
        <v>752</v>
      </c>
      <c r="M26" t="s">
        <v>783</v>
      </c>
      <c r="N26" t="s">
        <v>832</v>
      </c>
      <c r="P26" t="s">
        <v>833</v>
      </c>
      <c r="Q26" t="s">
        <v>834</v>
      </c>
      <c r="R26" t="s">
        <v>835</v>
      </c>
      <c r="S26" t="s">
        <v>836</v>
      </c>
      <c r="T26" t="s">
        <v>837</v>
      </c>
      <c r="U26" t="s">
        <v>838</v>
      </c>
      <c r="V26" s="100"/>
    </row>
    <row r="27" spans="2:22" hidden="1">
      <c r="E27" t="s">
        <v>742</v>
      </c>
      <c r="F27" t="s">
        <v>839</v>
      </c>
      <c r="L27" s="99" t="s">
        <v>755</v>
      </c>
      <c r="M27" t="s">
        <v>793</v>
      </c>
      <c r="N27" t="s">
        <v>840</v>
      </c>
      <c r="P27" t="s">
        <v>841</v>
      </c>
      <c r="Q27" t="s">
        <v>842</v>
      </c>
      <c r="R27" t="s">
        <v>843</v>
      </c>
      <c r="S27" t="s">
        <v>844</v>
      </c>
      <c r="T27" t="s">
        <v>845</v>
      </c>
      <c r="U27" t="s">
        <v>846</v>
      </c>
      <c r="V27" s="100"/>
    </row>
    <row r="28" spans="2:22" hidden="1">
      <c r="E28" t="s">
        <v>742</v>
      </c>
      <c r="F28" t="s">
        <v>847</v>
      </c>
      <c r="L28" s="99" t="s">
        <v>756</v>
      </c>
      <c r="M28" t="s">
        <v>803</v>
      </c>
      <c r="N28" t="s">
        <v>848</v>
      </c>
      <c r="P28" t="s">
        <v>849</v>
      </c>
      <c r="Q28" t="s">
        <v>850</v>
      </c>
      <c r="R28" t="s">
        <v>851</v>
      </c>
      <c r="S28" t="s">
        <v>852</v>
      </c>
      <c r="T28" t="s">
        <v>853</v>
      </c>
      <c r="V28" s="100"/>
    </row>
    <row r="29" spans="2:22" hidden="1">
      <c r="E29" t="s">
        <v>742</v>
      </c>
      <c r="F29" t="s">
        <v>854</v>
      </c>
      <c r="L29" s="102" t="s">
        <v>759</v>
      </c>
      <c r="M29" s="103" t="s">
        <v>813</v>
      </c>
      <c r="N29" s="103" t="s">
        <v>855</v>
      </c>
      <c r="O29" s="103"/>
      <c r="P29" s="103" t="s">
        <v>856</v>
      </c>
      <c r="Q29" s="103" t="s">
        <v>857</v>
      </c>
      <c r="R29" s="103" t="s">
        <v>858</v>
      </c>
      <c r="S29" s="103" t="s">
        <v>859</v>
      </c>
      <c r="T29" s="103" t="s">
        <v>860</v>
      </c>
      <c r="U29" s="103"/>
      <c r="V29" s="104"/>
    </row>
    <row r="30" spans="2:22" hidden="1">
      <c r="E30" t="s">
        <v>742</v>
      </c>
      <c r="F30" t="s">
        <v>861</v>
      </c>
      <c r="M30" t="s">
        <v>823</v>
      </c>
      <c r="N30" t="s">
        <v>862</v>
      </c>
      <c r="P30" t="s">
        <v>863</v>
      </c>
      <c r="R30" t="s">
        <v>864</v>
      </c>
      <c r="S30" t="s">
        <v>865</v>
      </c>
      <c r="T30" t="s">
        <v>866</v>
      </c>
    </row>
    <row r="31" spans="2:22" hidden="1">
      <c r="E31" t="s">
        <v>742</v>
      </c>
      <c r="F31" t="s">
        <v>867</v>
      </c>
      <c r="M31" t="s">
        <v>831</v>
      </c>
      <c r="N31" t="s">
        <v>868</v>
      </c>
      <c r="P31" t="s">
        <v>869</v>
      </c>
      <c r="R31" t="s">
        <v>870</v>
      </c>
      <c r="S31" t="s">
        <v>871</v>
      </c>
    </row>
    <row r="32" spans="2:22" hidden="1">
      <c r="E32" t="s">
        <v>742</v>
      </c>
      <c r="F32" t="s">
        <v>872</v>
      </c>
      <c r="M32" t="s">
        <v>839</v>
      </c>
      <c r="P32" t="s">
        <v>873</v>
      </c>
      <c r="R32" t="s">
        <v>874</v>
      </c>
      <c r="S32" t="s">
        <v>875</v>
      </c>
    </row>
    <row r="33" spans="5:18" hidden="1">
      <c r="E33" t="s">
        <v>742</v>
      </c>
      <c r="F33" t="s">
        <v>876</v>
      </c>
      <c r="M33" t="s">
        <v>847</v>
      </c>
      <c r="R33" t="s">
        <v>877</v>
      </c>
    </row>
    <row r="34" spans="5:18" hidden="1">
      <c r="E34" t="s">
        <v>742</v>
      </c>
      <c r="F34" t="s">
        <v>878</v>
      </c>
      <c r="M34" t="s">
        <v>854</v>
      </c>
      <c r="R34" t="s">
        <v>879</v>
      </c>
    </row>
    <row r="35" spans="5:18" hidden="1">
      <c r="E35" t="s">
        <v>745</v>
      </c>
      <c r="F35" t="s">
        <v>774</v>
      </c>
      <c r="M35" t="s">
        <v>861</v>
      </c>
      <c r="R35" t="s">
        <v>880</v>
      </c>
    </row>
    <row r="36" spans="5:18" hidden="1">
      <c r="E36" t="s">
        <v>745</v>
      </c>
      <c r="F36" t="s">
        <v>784</v>
      </c>
      <c r="M36" t="s">
        <v>867</v>
      </c>
      <c r="R36" t="s">
        <v>881</v>
      </c>
    </row>
    <row r="37" spans="5:18" hidden="1">
      <c r="E37" t="s">
        <v>745</v>
      </c>
      <c r="F37" t="s">
        <v>794</v>
      </c>
      <c r="M37" t="s">
        <v>872</v>
      </c>
    </row>
    <row r="38" spans="5:18" hidden="1">
      <c r="E38" t="s">
        <v>745</v>
      </c>
      <c r="F38" t="s">
        <v>804</v>
      </c>
      <c r="M38" t="s">
        <v>876</v>
      </c>
    </row>
    <row r="39" spans="5:18" hidden="1">
      <c r="E39" t="s">
        <v>745</v>
      </c>
      <c r="F39" t="s">
        <v>814</v>
      </c>
      <c r="M39" t="s">
        <v>878</v>
      </c>
    </row>
    <row r="40" spans="5:18" hidden="1">
      <c r="E40" t="s">
        <v>745</v>
      </c>
      <c r="F40" t="s">
        <v>824</v>
      </c>
    </row>
    <row r="41" spans="5:18" hidden="1">
      <c r="E41" t="s">
        <v>745</v>
      </c>
      <c r="F41" t="s">
        <v>832</v>
      </c>
    </row>
    <row r="42" spans="5:18">
      <c r="E42" t="s">
        <v>745</v>
      </c>
      <c r="F42" t="s">
        <v>840</v>
      </c>
    </row>
    <row r="43" spans="5:18">
      <c r="E43" t="s">
        <v>745</v>
      </c>
      <c r="F43" t="s">
        <v>848</v>
      </c>
    </row>
    <row r="44" spans="5:18">
      <c r="E44" t="s">
        <v>745</v>
      </c>
      <c r="F44" t="s">
        <v>855</v>
      </c>
    </row>
    <row r="45" spans="5:18">
      <c r="E45" t="s">
        <v>745</v>
      </c>
      <c r="F45" t="s">
        <v>862</v>
      </c>
    </row>
    <row r="46" spans="5:18">
      <c r="E46" t="s">
        <v>745</v>
      </c>
      <c r="F46" t="s">
        <v>868</v>
      </c>
    </row>
    <row r="47" spans="5:18">
      <c r="E47" t="s">
        <v>727</v>
      </c>
      <c r="F47" t="s">
        <v>775</v>
      </c>
    </row>
    <row r="48" spans="5:18">
      <c r="E48" t="s">
        <v>727</v>
      </c>
      <c r="F48" t="s">
        <v>785</v>
      </c>
    </row>
    <row r="49" spans="5:6">
      <c r="E49" t="s">
        <v>727</v>
      </c>
      <c r="F49" t="s">
        <v>795</v>
      </c>
    </row>
    <row r="50" spans="5:6">
      <c r="E50" t="s">
        <v>727</v>
      </c>
      <c r="F50" t="s">
        <v>805</v>
      </c>
    </row>
    <row r="51" spans="5:6">
      <c r="E51" t="s">
        <v>727</v>
      </c>
      <c r="F51" t="s">
        <v>815</v>
      </c>
    </row>
    <row r="52" spans="5:6">
      <c r="E52" t="s">
        <v>750</v>
      </c>
      <c r="F52" t="s">
        <v>776</v>
      </c>
    </row>
    <row r="53" spans="5:6">
      <c r="E53" t="s">
        <v>750</v>
      </c>
      <c r="F53" t="s">
        <v>786</v>
      </c>
    </row>
    <row r="54" spans="5:6">
      <c r="E54" t="s">
        <v>750</v>
      </c>
      <c r="F54" t="s">
        <v>796</v>
      </c>
    </row>
    <row r="55" spans="5:6">
      <c r="E55" t="s">
        <v>750</v>
      </c>
      <c r="F55" t="s">
        <v>806</v>
      </c>
    </row>
    <row r="56" spans="5:6">
      <c r="E56" t="s">
        <v>750</v>
      </c>
      <c r="F56" t="s">
        <v>816</v>
      </c>
    </row>
    <row r="57" spans="5:6">
      <c r="E57" t="s">
        <v>750</v>
      </c>
      <c r="F57" t="s">
        <v>825</v>
      </c>
    </row>
    <row r="58" spans="5:6">
      <c r="E58" t="s">
        <v>750</v>
      </c>
      <c r="F58" t="s">
        <v>833</v>
      </c>
    </row>
    <row r="59" spans="5:6">
      <c r="E59" t="s">
        <v>750</v>
      </c>
      <c r="F59" t="s">
        <v>841</v>
      </c>
    </row>
    <row r="60" spans="5:6">
      <c r="E60" t="s">
        <v>750</v>
      </c>
      <c r="F60" t="s">
        <v>849</v>
      </c>
    </row>
    <row r="61" spans="5:6">
      <c r="E61" t="s">
        <v>750</v>
      </c>
      <c r="F61" t="s">
        <v>856</v>
      </c>
    </row>
    <row r="62" spans="5:6">
      <c r="E62" t="s">
        <v>750</v>
      </c>
      <c r="F62" t="s">
        <v>863</v>
      </c>
    </row>
    <row r="63" spans="5:6">
      <c r="E63" t="s">
        <v>750</v>
      </c>
      <c r="F63" t="s">
        <v>869</v>
      </c>
    </row>
    <row r="64" spans="5:6">
      <c r="E64" t="s">
        <v>750</v>
      </c>
      <c r="F64" t="s">
        <v>873</v>
      </c>
    </row>
    <row r="65" spans="5:6">
      <c r="E65" t="s">
        <v>753</v>
      </c>
      <c r="F65" t="s">
        <v>777</v>
      </c>
    </row>
    <row r="66" spans="5:6">
      <c r="E66" t="s">
        <v>753</v>
      </c>
      <c r="F66" t="s">
        <v>787</v>
      </c>
    </row>
    <row r="67" spans="5:6">
      <c r="E67" t="s">
        <v>753</v>
      </c>
      <c r="F67" t="s">
        <v>797</v>
      </c>
    </row>
    <row r="68" spans="5:6">
      <c r="E68" t="s">
        <v>753</v>
      </c>
      <c r="F68" t="s">
        <v>807</v>
      </c>
    </row>
    <row r="69" spans="5:6">
      <c r="E69" t="s">
        <v>753</v>
      </c>
      <c r="F69" t="s">
        <v>817</v>
      </c>
    </row>
    <row r="70" spans="5:6">
      <c r="E70" t="s">
        <v>753</v>
      </c>
      <c r="F70" t="s">
        <v>826</v>
      </c>
    </row>
    <row r="71" spans="5:6">
      <c r="E71" t="s">
        <v>753</v>
      </c>
      <c r="F71" t="s">
        <v>834</v>
      </c>
    </row>
    <row r="72" spans="5:6">
      <c r="E72" t="s">
        <v>753</v>
      </c>
      <c r="F72" t="s">
        <v>842</v>
      </c>
    </row>
    <row r="73" spans="5:6">
      <c r="E73" t="s">
        <v>753</v>
      </c>
      <c r="F73" t="s">
        <v>850</v>
      </c>
    </row>
    <row r="74" spans="5:6">
      <c r="E74" t="s">
        <v>753</v>
      </c>
      <c r="F74" t="s">
        <v>857</v>
      </c>
    </row>
    <row r="75" spans="5:6">
      <c r="E75" t="s">
        <v>317</v>
      </c>
      <c r="F75" t="s">
        <v>778</v>
      </c>
    </row>
    <row r="76" spans="5:6">
      <c r="E76" t="s">
        <v>317</v>
      </c>
      <c r="F76" t="s">
        <v>788</v>
      </c>
    </row>
    <row r="77" spans="5:6">
      <c r="E77" t="s">
        <v>317</v>
      </c>
      <c r="F77" t="s">
        <v>798</v>
      </c>
    </row>
    <row r="78" spans="5:6">
      <c r="E78" t="s">
        <v>317</v>
      </c>
      <c r="F78" t="s">
        <v>808</v>
      </c>
    </row>
    <row r="79" spans="5:6">
      <c r="E79" t="s">
        <v>317</v>
      </c>
      <c r="F79" t="s">
        <v>818</v>
      </c>
    </row>
    <row r="80" spans="5:6">
      <c r="E80" t="s">
        <v>317</v>
      </c>
      <c r="F80" t="s">
        <v>827</v>
      </c>
    </row>
    <row r="81" spans="5:6">
      <c r="E81" t="s">
        <v>317</v>
      </c>
      <c r="F81" t="s">
        <v>835</v>
      </c>
    </row>
    <row r="82" spans="5:6">
      <c r="E82" t="s">
        <v>317</v>
      </c>
      <c r="F82" t="s">
        <v>843</v>
      </c>
    </row>
    <row r="83" spans="5:6">
      <c r="E83" t="s">
        <v>317</v>
      </c>
      <c r="F83" t="s">
        <v>851</v>
      </c>
    </row>
    <row r="84" spans="5:6">
      <c r="E84" t="s">
        <v>317</v>
      </c>
      <c r="F84" t="s">
        <v>858</v>
      </c>
    </row>
    <row r="85" spans="5:6">
      <c r="E85" t="s">
        <v>317</v>
      </c>
      <c r="F85" t="s">
        <v>864</v>
      </c>
    </row>
    <row r="86" spans="5:6">
      <c r="E86" t="s">
        <v>317</v>
      </c>
      <c r="F86" t="s">
        <v>870</v>
      </c>
    </row>
    <row r="87" spans="5:6">
      <c r="E87" t="s">
        <v>317</v>
      </c>
      <c r="F87" t="s">
        <v>874</v>
      </c>
    </row>
    <row r="88" spans="5:6">
      <c r="E88" t="s">
        <v>317</v>
      </c>
      <c r="F88" t="s">
        <v>877</v>
      </c>
    </row>
    <row r="89" spans="5:6">
      <c r="E89" t="s">
        <v>317</v>
      </c>
      <c r="F89" t="s">
        <v>879</v>
      </c>
    </row>
    <row r="90" spans="5:6">
      <c r="E90" t="s">
        <v>317</v>
      </c>
      <c r="F90" t="s">
        <v>880</v>
      </c>
    </row>
    <row r="91" spans="5:6">
      <c r="E91" t="s">
        <v>317</v>
      </c>
      <c r="F91" t="s">
        <v>881</v>
      </c>
    </row>
    <row r="92" spans="5:6">
      <c r="E92" t="s">
        <v>757</v>
      </c>
      <c r="F92" t="s">
        <v>779</v>
      </c>
    </row>
    <row r="93" spans="5:6">
      <c r="E93" t="s">
        <v>757</v>
      </c>
      <c r="F93" t="s">
        <v>789</v>
      </c>
    </row>
    <row r="94" spans="5:6">
      <c r="E94" t="s">
        <v>757</v>
      </c>
      <c r="F94" t="s">
        <v>799</v>
      </c>
    </row>
    <row r="95" spans="5:6">
      <c r="E95" t="s">
        <v>757</v>
      </c>
      <c r="F95" t="s">
        <v>809</v>
      </c>
    </row>
    <row r="96" spans="5:6">
      <c r="E96" t="s">
        <v>757</v>
      </c>
      <c r="F96" t="s">
        <v>819</v>
      </c>
    </row>
    <row r="97" spans="5:6">
      <c r="E97" t="s">
        <v>757</v>
      </c>
      <c r="F97" t="s">
        <v>828</v>
      </c>
    </row>
    <row r="98" spans="5:6">
      <c r="E98" t="s">
        <v>757</v>
      </c>
      <c r="F98" t="s">
        <v>836</v>
      </c>
    </row>
    <row r="99" spans="5:6">
      <c r="E99" t="s">
        <v>757</v>
      </c>
      <c r="F99" t="s">
        <v>844</v>
      </c>
    </row>
    <row r="100" spans="5:6">
      <c r="E100" t="s">
        <v>757</v>
      </c>
      <c r="F100" t="s">
        <v>852</v>
      </c>
    </row>
    <row r="101" spans="5:6">
      <c r="E101" t="s">
        <v>757</v>
      </c>
      <c r="F101" t="s">
        <v>859</v>
      </c>
    </row>
    <row r="102" spans="5:6">
      <c r="E102" t="s">
        <v>757</v>
      </c>
      <c r="F102" t="s">
        <v>865</v>
      </c>
    </row>
    <row r="103" spans="5:6">
      <c r="E103" t="s">
        <v>757</v>
      </c>
      <c r="F103" t="s">
        <v>871</v>
      </c>
    </row>
    <row r="104" spans="5:6">
      <c r="E104" t="s">
        <v>757</v>
      </c>
      <c r="F104" t="s">
        <v>875</v>
      </c>
    </row>
    <row r="105" spans="5:6">
      <c r="E105" t="s">
        <v>760</v>
      </c>
      <c r="F105" t="s">
        <v>780</v>
      </c>
    </row>
    <row r="106" spans="5:6">
      <c r="E106" t="s">
        <v>760</v>
      </c>
      <c r="F106" t="s">
        <v>790</v>
      </c>
    </row>
    <row r="107" spans="5:6">
      <c r="E107" t="s">
        <v>760</v>
      </c>
      <c r="F107" t="s">
        <v>800</v>
      </c>
    </row>
    <row r="108" spans="5:6">
      <c r="E108" t="s">
        <v>760</v>
      </c>
      <c r="F108" t="s">
        <v>810</v>
      </c>
    </row>
    <row r="109" spans="5:6">
      <c r="E109" t="s">
        <v>760</v>
      </c>
      <c r="F109" t="s">
        <v>820</v>
      </c>
    </row>
    <row r="110" spans="5:6">
      <c r="E110" t="s">
        <v>760</v>
      </c>
      <c r="F110" t="s">
        <v>829</v>
      </c>
    </row>
    <row r="111" spans="5:6">
      <c r="E111" t="s">
        <v>760</v>
      </c>
      <c r="F111" t="s">
        <v>837</v>
      </c>
    </row>
    <row r="112" spans="5:6">
      <c r="E112" t="s">
        <v>760</v>
      </c>
      <c r="F112" t="s">
        <v>845</v>
      </c>
    </row>
    <row r="113" spans="5:6">
      <c r="E113" t="s">
        <v>760</v>
      </c>
      <c r="F113" t="s">
        <v>853</v>
      </c>
    </row>
    <row r="114" spans="5:6">
      <c r="E114" t="s">
        <v>760</v>
      </c>
      <c r="F114" t="s">
        <v>860</v>
      </c>
    </row>
    <row r="115" spans="5:6">
      <c r="E115" t="s">
        <v>760</v>
      </c>
      <c r="F115" t="s">
        <v>866</v>
      </c>
    </row>
    <row r="116" spans="5:6">
      <c r="E116" t="s">
        <v>763</v>
      </c>
      <c r="F116" t="s">
        <v>781</v>
      </c>
    </row>
    <row r="117" spans="5:6">
      <c r="E117" t="s">
        <v>763</v>
      </c>
      <c r="F117" t="s">
        <v>791</v>
      </c>
    </row>
    <row r="118" spans="5:6">
      <c r="E118" t="s">
        <v>763</v>
      </c>
      <c r="F118" t="s">
        <v>801</v>
      </c>
    </row>
    <row r="119" spans="5:6">
      <c r="E119" t="s">
        <v>763</v>
      </c>
      <c r="F119" t="s">
        <v>811</v>
      </c>
    </row>
    <row r="120" spans="5:6">
      <c r="E120" t="s">
        <v>763</v>
      </c>
      <c r="F120" t="s">
        <v>821</v>
      </c>
    </row>
    <row r="121" spans="5:6">
      <c r="E121" t="s">
        <v>763</v>
      </c>
      <c r="F121" t="s">
        <v>830</v>
      </c>
    </row>
    <row r="122" spans="5:6">
      <c r="E122" t="s">
        <v>763</v>
      </c>
      <c r="F122" t="s">
        <v>838</v>
      </c>
    </row>
    <row r="123" spans="5:6">
      <c r="E123" t="s">
        <v>763</v>
      </c>
      <c r="F123" t="s">
        <v>846</v>
      </c>
    </row>
    <row r="124" spans="5:6">
      <c r="E124" t="s">
        <v>766</v>
      </c>
      <c r="F124" t="s">
        <v>782</v>
      </c>
    </row>
    <row r="125" spans="5:6">
      <c r="E125" t="s">
        <v>766</v>
      </c>
      <c r="F125" t="s">
        <v>792</v>
      </c>
    </row>
    <row r="126" spans="5:6">
      <c r="E126" t="s">
        <v>766</v>
      </c>
      <c r="F126" t="s">
        <v>802</v>
      </c>
    </row>
    <row r="127" spans="5:6">
      <c r="E127" t="s">
        <v>766</v>
      </c>
      <c r="F127" t="s">
        <v>812</v>
      </c>
    </row>
    <row r="128" spans="5:6">
      <c r="E128" t="s">
        <v>766</v>
      </c>
      <c r="F128" t="s">
        <v>822</v>
      </c>
    </row>
  </sheetData>
  <mergeCells count="3">
    <mergeCell ref="K2:K3"/>
    <mergeCell ref="L2:P2"/>
    <mergeCell ref="Q2:AA2"/>
  </mergeCells>
  <phoneticPr fontId="10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81089C-6E2A-4FD7-A402-55E9C86C97B5}"/>
</file>

<file path=customXml/itemProps2.xml><?xml version="1.0" encoding="utf-8"?>
<ds:datastoreItem xmlns:ds="http://schemas.openxmlformats.org/officeDocument/2006/customXml" ds:itemID="{F7C8CA93-93D8-47F5-B2B4-80DD0D7936F5}"/>
</file>

<file path=customXml/itemProps3.xml><?xml version="1.0" encoding="utf-8"?>
<ds:datastoreItem xmlns:ds="http://schemas.openxmlformats.org/officeDocument/2006/customXml" ds:itemID="{E4E33FEE-1117-4802-A5BB-FA073D1C6E04}"/>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Jorge Daniel Vieira Freitas</cp:lastModifiedBy>
  <cp:revision/>
  <dcterms:created xsi:type="dcterms:W3CDTF">2000-04-19T14:51:26Z</dcterms:created>
  <dcterms:modified xsi:type="dcterms:W3CDTF">2025-06-18T10:01:39Z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