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12"/>
  <workbookPr codeName="ThisWorkbook"/>
  <mc:AlternateContent xmlns:mc="http://schemas.openxmlformats.org/markup-compatibility/2006">
    <mc:Choice Requires="x15">
      <x15ac:absPath xmlns:x15ac="http://schemas.microsoft.com/office/spreadsheetml/2010/11/ac" url="https://phdisegutl.sharepoint.com/sites/LIS-GENERAL-SecuritiesResearch/Shared Documents/Securities Research/One Pagers/Pre-restructuring OPs/Media &amp; Entertainment - TL Diana Castro/Netflix/"/>
    </mc:Choice>
  </mc:AlternateContent>
  <xr:revisionPtr revIDLastSave="4353" documentId="1_{24A0B9B2-889A-4707-9857-3313E4F000C4}" xr6:coauthVersionLast="47" xr6:coauthVersionMax="47" xr10:uidLastSave="{082C92C4-8F82-409C-94BE-D8ECEC0367F7}"/>
  <bookViews>
    <workbookView xWindow="0" yWindow="0" windowWidth="10245" windowHeight="10920" tabRatio="644" activeTab="5" xr2:uid="{00000000-000D-0000-FFFF-FFFF00000000}"/>
  </bookViews>
  <sheets>
    <sheet name="OP" sheetId="1" r:id="rId1"/>
    <sheet name="Segments" sheetId="3" r:id="rId2"/>
    <sheet name="Acuerdo" sheetId="11" state="hidden" r:id="rId3"/>
    <sheet name="Peers" sheetId="10" r:id="rId4"/>
    <sheet name="ESG" sheetId="19" r:id="rId5"/>
    <sheet name="DCF" sheetId="4" r:id="rId6"/>
    <sheet name="Assumptions" sheetId="22" r:id="rId7"/>
    <sheet name="Fin. Data" sheetId="16" r:id="rId8"/>
    <sheet name="Sector Impact" sheetId="18" state="hidden" r:id="rId9"/>
    <sheet name="Inputs" sheetId="17" r:id="rId10"/>
  </sheets>
  <externalReferences>
    <externalReference r:id="rId11"/>
  </externalReferences>
  <definedNames>
    <definedName name="_xlnm.Print_Area" localSheetId="0">OP!$A$1:$M$82</definedName>
    <definedName name="_xlnm.Print_Area" localSheetId="1">Segments!#REF!</definedName>
    <definedName name="Sectors" localSheetId="6">'[1]Sector Impact'!$K$4:$K$16</definedName>
    <definedName name="Sectors">'Sector Impact'!$K$4:$K$16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1" i="22" l="1"/>
  <c r="B22" i="17"/>
  <c r="B13" i="17"/>
  <c r="B82" i="17"/>
  <c r="C43" i="22"/>
  <c r="D69" i="22"/>
  <c r="D79" i="22"/>
  <c r="C67" i="22"/>
  <c r="I69" i="22"/>
  <c r="C66" i="22" l="1"/>
  <c r="C69" i="22"/>
  <c r="D67" i="22"/>
  <c r="K41" i="22"/>
  <c r="C37" i="22"/>
  <c r="C36" i="22"/>
  <c r="D36" i="22"/>
  <c r="C72" i="22"/>
  <c r="D4" i="1" a="1"/>
  <c r="D4" i="1" s="1"/>
  <c r="J69" i="22"/>
  <c r="K69" i="22" s="1"/>
  <c r="L69" i="22" s="1"/>
  <c r="E69" i="22"/>
  <c r="F69" i="22" s="1"/>
  <c r="G69" i="22" s="1"/>
  <c r="L38" i="22"/>
  <c r="D15" i="10"/>
  <c r="L44" i="22"/>
  <c r="K44" i="22"/>
  <c r="E59" i="4"/>
  <c r="D59" i="4"/>
  <c r="G42" i="22"/>
  <c r="C103" i="10" a="1"/>
  <c r="C103" i="10" s="1"/>
  <c r="E43" i="4"/>
  <c r="D43" i="4"/>
  <c r="C68" i="22"/>
  <c r="D89" i="22"/>
  <c r="D42" i="22" s="1"/>
  <c r="E89" i="22"/>
  <c r="E42" i="22" s="1"/>
  <c r="F89" i="22"/>
  <c r="F42" i="22" s="1"/>
  <c r="G89" i="22"/>
  <c r="H89" i="22"/>
  <c r="I89" i="22"/>
  <c r="J89" i="22"/>
  <c r="K89" i="22"/>
  <c r="L89" i="22"/>
  <c r="C89" i="22"/>
  <c r="C90" i="22" s="1"/>
  <c r="I22" i="22"/>
  <c r="L40" i="22" s="1"/>
  <c r="M80" i="22"/>
  <c r="C80" i="22"/>
  <c r="M78" i="22"/>
  <c r="C78" i="22"/>
  <c r="C77" i="22"/>
  <c r="E2" i="1"/>
  <c r="P7" i="19"/>
  <c r="G59" i="10"/>
  <c r="N70" i="22"/>
  <c r="O70" i="22" s="1"/>
  <c r="P70" i="22" s="1"/>
  <c r="Q70" i="22" s="1"/>
  <c r="R70" i="22" s="1"/>
  <c r="S70" i="22" s="1"/>
  <c r="T70" i="22" s="1"/>
  <c r="U70" i="22" s="1"/>
  <c r="V70" i="22" s="1"/>
  <c r="W70" i="22" s="1"/>
  <c r="X70" i="22" s="1"/>
  <c r="Y70" i="22" s="1"/>
  <c r="Z70" i="22" s="1"/>
  <c r="AA70" i="22" s="1"/>
  <c r="AB70" i="22" s="1"/>
  <c r="N68" i="22"/>
  <c r="O68" i="22" s="1"/>
  <c r="P68" i="22" s="1"/>
  <c r="Q68" i="22" s="1"/>
  <c r="R68" i="22" s="1"/>
  <c r="S68" i="22" s="1"/>
  <c r="T68" i="22" s="1"/>
  <c r="U68" i="22" s="1"/>
  <c r="V68" i="22" s="1"/>
  <c r="W68" i="22" s="1"/>
  <c r="X68" i="22" s="1"/>
  <c r="Y68" i="22" s="1"/>
  <c r="Z68" i="22" s="1"/>
  <c r="AA68" i="22" s="1"/>
  <c r="AB68" i="22" s="1"/>
  <c r="M67" i="22"/>
  <c r="N69" i="22"/>
  <c r="N67" i="22" s="1"/>
  <c r="C74" i="22"/>
  <c r="F19" i="4"/>
  <c r="C88" i="22" l="1"/>
  <c r="L42" i="22" s="1"/>
  <c r="C42" i="22"/>
  <c r="C70" i="22"/>
  <c r="O69" i="22"/>
  <c r="P69" i="22" s="1"/>
  <c r="Q69" i="22" s="1"/>
  <c r="R69" i="22" s="1"/>
  <c r="S69" i="22" s="1"/>
  <c r="T69" i="22" s="1"/>
  <c r="U69" i="22" s="1"/>
  <c r="V69" i="22" s="1"/>
  <c r="W69" i="22" s="1"/>
  <c r="X69" i="22" s="1"/>
  <c r="Y69" i="22" s="1"/>
  <c r="Z69" i="22" s="1"/>
  <c r="AA69" i="22" s="1"/>
  <c r="AB69" i="22" s="1"/>
  <c r="AB67" i="22" s="1"/>
  <c r="F28" i="4"/>
  <c r="F28" i="22"/>
  <c r="D28" i="22"/>
  <c r="F26" i="22"/>
  <c r="D26" i="22"/>
  <c r="F27" i="22"/>
  <c r="D27" i="22"/>
  <c r="D51" i="22"/>
  <c r="E51" i="22"/>
  <c r="F51" i="22"/>
  <c r="G51" i="22"/>
  <c r="D48" i="22"/>
  <c r="E48" i="22"/>
  <c r="F48" i="22"/>
  <c r="G48" i="22"/>
  <c r="D46" i="22"/>
  <c r="E46" i="22"/>
  <c r="F46" i="22"/>
  <c r="G46" i="22"/>
  <c r="D45" i="22"/>
  <c r="E45" i="22"/>
  <c r="F45" i="22"/>
  <c r="G45" i="22"/>
  <c r="D43" i="22"/>
  <c r="E43" i="22"/>
  <c r="F43" i="22"/>
  <c r="G43" i="22"/>
  <c r="Q67" i="22" l="1"/>
  <c r="T67" i="22"/>
  <c r="U67" i="22"/>
  <c r="Y67" i="22"/>
  <c r="R67" i="22"/>
  <c r="W67" i="22"/>
  <c r="Z67" i="22"/>
  <c r="V67" i="22"/>
  <c r="O67" i="22"/>
  <c r="P67" i="22"/>
  <c r="S67" i="22"/>
  <c r="AA67" i="22"/>
  <c r="X67" i="22"/>
  <c r="E19" i="4"/>
  <c r="D19" i="4"/>
  <c r="L41" i="22"/>
  <c r="C26" i="22"/>
  <c r="C27" i="22"/>
  <c r="C28" i="22"/>
  <c r="B28" i="22"/>
  <c r="B26" i="22"/>
  <c r="B27" i="22"/>
  <c r="B25" i="22"/>
  <c r="C25" i="22"/>
  <c r="I21" i="22"/>
  <c r="K40" i="22" s="1"/>
  <c r="C35" i="22"/>
  <c r="D12" i="22"/>
  <c r="D39" i="22" s="1"/>
  <c r="E12" i="22"/>
  <c r="E39" i="22" s="1"/>
  <c r="F12" i="22"/>
  <c r="F39" i="22" s="1"/>
  <c r="G12" i="22"/>
  <c r="G39" i="22" s="1"/>
  <c r="C12" i="22"/>
  <c r="C39" i="22" s="1"/>
  <c r="D29" i="22" l="1"/>
  <c r="F29" i="22"/>
  <c r="C29" i="22"/>
  <c r="D37" i="22"/>
  <c r="E37" i="22"/>
  <c r="E36" i="22"/>
  <c r="G6" i="4"/>
  <c r="C9" i="22"/>
  <c r="G7" i="4"/>
  <c r="D64" i="22"/>
  <c r="E64" i="22" s="1"/>
  <c r="F64" i="22" s="1"/>
  <c r="G64" i="22" s="1"/>
  <c r="H64" i="22" s="1"/>
  <c r="I64" i="22" s="1"/>
  <c r="J64" i="22" s="1"/>
  <c r="K64" i="22" s="1"/>
  <c r="L64" i="22" s="1"/>
  <c r="M64" i="22" s="1"/>
  <c r="D70" i="22" l="1"/>
  <c r="E70" i="22" s="1"/>
  <c r="F70" i="22" s="1"/>
  <c r="G70" i="22" s="1"/>
  <c r="H70" i="22" s="1"/>
  <c r="I70" i="22" s="1"/>
  <c r="J70" i="22" s="1"/>
  <c r="K70" i="22" s="1"/>
  <c r="L70" i="22" s="1"/>
  <c r="D68" i="22"/>
  <c r="E68" i="22" s="1"/>
  <c r="F68" i="22" s="1"/>
  <c r="G68" i="22" s="1"/>
  <c r="H68" i="22" s="1"/>
  <c r="I68" i="22" s="1"/>
  <c r="J68" i="22" s="1"/>
  <c r="K68" i="22" s="1"/>
  <c r="L68" i="22" s="1"/>
  <c r="N64" i="22"/>
  <c r="O64" i="22" s="1"/>
  <c r="P64" i="22" s="1"/>
  <c r="Q64" i="22" s="1"/>
  <c r="R64" i="22" s="1"/>
  <c r="S64" i="22" s="1"/>
  <c r="T64" i="22" s="1"/>
  <c r="U64" i="22" s="1"/>
  <c r="V64" i="22" s="1"/>
  <c r="W64" i="22" s="1"/>
  <c r="X64" i="22" s="1"/>
  <c r="Y64" i="22" s="1"/>
  <c r="Z64" i="22" s="1"/>
  <c r="AA64" i="22" s="1"/>
  <c r="AB64" i="22" s="1"/>
  <c r="G8" i="4"/>
  <c r="D66" i="22" l="1"/>
  <c r="E9" i="17"/>
  <c r="D17" i="10"/>
  <c r="E17" i="10"/>
  <c r="F17" i="10"/>
  <c r="G17" i="10"/>
  <c r="B14" i="17"/>
  <c r="B87" i="17"/>
  <c r="H47" i="10"/>
  <c r="M6" i="3"/>
  <c r="M7" i="3"/>
  <c r="M8" i="3"/>
  <c r="L6" i="3"/>
  <c r="L7" i="3"/>
  <c r="L8" i="3"/>
  <c r="K6" i="3"/>
  <c r="K7" i="3"/>
  <c r="K8" i="3"/>
  <c r="D6" i="4"/>
  <c r="E6" i="4"/>
  <c r="F6" i="4"/>
  <c r="G5" i="4" s="1"/>
  <c r="G7" i="10"/>
  <c r="F7" i="10"/>
  <c r="F9" i="10" s="1" a="1"/>
  <c r="F9" i="10" s="1"/>
  <c r="E7" i="10"/>
  <c r="E44" i="10" s="1" a="1"/>
  <c r="E44" i="10" s="1"/>
  <c r="D7" i="10"/>
  <c r="C60" i="17"/>
  <c r="C63" i="17" s="1"/>
  <c r="D60" i="17"/>
  <c r="D63" i="17" s="1"/>
  <c r="E60" i="17"/>
  <c r="E63" i="17" s="1"/>
  <c r="F60" i="17"/>
  <c r="F63" i="17" s="1"/>
  <c r="G60" i="17"/>
  <c r="G63" i="17" s="1"/>
  <c r="H60" i="17"/>
  <c r="H63" i="17" s="1"/>
  <c r="I60" i="17"/>
  <c r="I63" i="17" s="1"/>
  <c r="J60" i="17"/>
  <c r="J63" i="17" s="1"/>
  <c r="K60" i="17"/>
  <c r="L60" i="17"/>
  <c r="L63" i="17" s="1"/>
  <c r="M60" i="17"/>
  <c r="M63" i="17" s="1"/>
  <c r="B60" i="17"/>
  <c r="B63" i="17" s="1"/>
  <c r="F67" i="17"/>
  <c r="G67" i="17"/>
  <c r="H67" i="17"/>
  <c r="I67" i="17"/>
  <c r="J67" i="17"/>
  <c r="K67" i="17"/>
  <c r="L67" i="17"/>
  <c r="M67" i="17"/>
  <c r="E47" i="17"/>
  <c r="F47" i="17"/>
  <c r="G47" i="17"/>
  <c r="H47" i="17"/>
  <c r="H50" i="17" s="1"/>
  <c r="H55" i="16" s="1"/>
  <c r="I47" i="17"/>
  <c r="I52" i="16" s="1"/>
  <c r="J47" i="17"/>
  <c r="J52" i="16" s="1"/>
  <c r="K47" i="17"/>
  <c r="K50" i="17" s="1"/>
  <c r="K55" i="16" s="1"/>
  <c r="L47" i="17"/>
  <c r="M47" i="17"/>
  <c r="D47" i="17"/>
  <c r="E32" i="17"/>
  <c r="E36" i="17" s="1"/>
  <c r="F32" i="17"/>
  <c r="F36" i="17" s="1"/>
  <c r="G32" i="17"/>
  <c r="G36" i="17" s="1"/>
  <c r="H32" i="17"/>
  <c r="H36" i="17" s="1"/>
  <c r="I32" i="17"/>
  <c r="J32" i="17"/>
  <c r="K32" i="17"/>
  <c r="L32" i="17"/>
  <c r="M32" i="17"/>
  <c r="D32" i="17"/>
  <c r="D36" i="17" s="1"/>
  <c r="H22" i="1"/>
  <c r="H23" i="1"/>
  <c r="H24" i="1"/>
  <c r="F22" i="1"/>
  <c r="F23" i="1"/>
  <c r="F24" i="1"/>
  <c r="F25" i="1"/>
  <c r="B77" i="17"/>
  <c r="F54" i="1" s="1"/>
  <c r="B75" i="17"/>
  <c r="F31" i="4" s="1"/>
  <c r="B67" i="17"/>
  <c r="F25" i="4" s="1"/>
  <c r="B56" i="17"/>
  <c r="B64" i="16" s="1"/>
  <c r="C73" i="10" s="1"/>
  <c r="B47" i="17"/>
  <c r="B50" i="17" s="1"/>
  <c r="B55" i="16" s="1"/>
  <c r="B46" i="17"/>
  <c r="B32" i="17"/>
  <c r="B36" i="17" s="1"/>
  <c r="B31" i="17"/>
  <c r="B23" i="17"/>
  <c r="E10" i="22"/>
  <c r="F10" i="22"/>
  <c r="G10" i="22"/>
  <c r="G9" i="22"/>
  <c r="F9" i="22"/>
  <c r="E9" i="22"/>
  <c r="D10" i="22"/>
  <c r="D9" i="22"/>
  <c r="C10" i="22"/>
  <c r="I50" i="22"/>
  <c r="K50" i="22" s="1"/>
  <c r="I49" i="22"/>
  <c r="K49" i="22" s="1"/>
  <c r="I47" i="22"/>
  <c r="K47" i="22" s="1"/>
  <c r="I44" i="22"/>
  <c r="I43" i="22"/>
  <c r="K43" i="22" s="1"/>
  <c r="I42" i="22"/>
  <c r="K42" i="22" s="1"/>
  <c r="I37" i="22"/>
  <c r="K37" i="22" s="1"/>
  <c r="D8" i="22"/>
  <c r="C48" i="10"/>
  <c r="H48" i="10" s="1"/>
  <c r="F50" i="4"/>
  <c r="J40" i="1" s="1"/>
  <c r="H45" i="10"/>
  <c r="I45" i="10" s="1"/>
  <c r="C21" i="1" a="1"/>
  <c r="C21" i="1" s="1"/>
  <c r="G21" i="10"/>
  <c r="F21" i="10"/>
  <c r="E21" i="10"/>
  <c r="D21" i="10"/>
  <c r="C77" i="17"/>
  <c r="F53" i="1" s="1"/>
  <c r="D77" i="17"/>
  <c r="F52" i="1" s="1"/>
  <c r="E77" i="17"/>
  <c r="F51" i="1" s="1"/>
  <c r="F77" i="17"/>
  <c r="F50" i="1" s="1"/>
  <c r="G77" i="17"/>
  <c r="F49" i="1" s="1"/>
  <c r="H77" i="17"/>
  <c r="F48" i="1" s="1"/>
  <c r="I77" i="17"/>
  <c r="F47" i="1" s="1"/>
  <c r="J77" i="17"/>
  <c r="F46" i="1" s="1"/>
  <c r="K77" i="17"/>
  <c r="L77" i="17"/>
  <c r="M77" i="17"/>
  <c r="M75" i="16" s="1"/>
  <c r="E27" i="10"/>
  <c r="L6" i="19"/>
  <c r="P9" i="19"/>
  <c r="P8" i="19"/>
  <c r="P6" i="19"/>
  <c r="C23" i="17"/>
  <c r="D23" i="17"/>
  <c r="E23" i="17"/>
  <c r="F23" i="17"/>
  <c r="G23" i="17"/>
  <c r="H23" i="17"/>
  <c r="I23" i="17"/>
  <c r="J23" i="17"/>
  <c r="K23" i="17"/>
  <c r="L23" i="17"/>
  <c r="M23" i="17"/>
  <c r="D21" i="4"/>
  <c r="E21" i="4"/>
  <c r="E22" i="4" s="1"/>
  <c r="F21" i="4"/>
  <c r="F22" i="4" s="1"/>
  <c r="D24" i="4"/>
  <c r="D27" i="4"/>
  <c r="E27" i="4"/>
  <c r="F27" i="4"/>
  <c r="K75" i="17"/>
  <c r="L75" i="17"/>
  <c r="M75" i="17"/>
  <c r="J75" i="17"/>
  <c r="E67" i="17"/>
  <c r="F31" i="1"/>
  <c r="F28" i="1"/>
  <c r="F29" i="1"/>
  <c r="F30" i="1"/>
  <c r="F27" i="1"/>
  <c r="F21" i="1"/>
  <c r="D28" i="4"/>
  <c r="E28" i="4"/>
  <c r="E75" i="17"/>
  <c r="F75" i="17"/>
  <c r="G75" i="17"/>
  <c r="H75" i="17"/>
  <c r="I75" i="17"/>
  <c r="F46" i="17"/>
  <c r="F51" i="16" s="1"/>
  <c r="C32" i="17"/>
  <c r="D75" i="17"/>
  <c r="D31" i="4" s="1"/>
  <c r="C75" i="17"/>
  <c r="E31" i="4" s="1"/>
  <c r="C8" i="19"/>
  <c r="M6" i="19"/>
  <c r="N6" i="19"/>
  <c r="O6" i="19"/>
  <c r="M7" i="19"/>
  <c r="N7" i="19"/>
  <c r="O7" i="19"/>
  <c r="M8" i="19"/>
  <c r="N8" i="19"/>
  <c r="O8" i="19"/>
  <c r="M9" i="19"/>
  <c r="N9" i="19"/>
  <c r="O9" i="19"/>
  <c r="L7" i="19"/>
  <c r="L8" i="19"/>
  <c r="L9" i="19"/>
  <c r="L18" i="3"/>
  <c r="M18" i="3"/>
  <c r="N18" i="3"/>
  <c r="O18" i="3"/>
  <c r="K18" i="3"/>
  <c r="M5" i="3"/>
  <c r="L5" i="3"/>
  <c r="K5" i="3"/>
  <c r="E11" i="4"/>
  <c r="F11" i="4"/>
  <c r="D11" i="4"/>
  <c r="D67" i="17"/>
  <c r="D25" i="4" s="1"/>
  <c r="C6" i="19"/>
  <c r="D24" i="3"/>
  <c r="B19" i="3" s="1"/>
  <c r="H4" i="4"/>
  <c r="I4" i="4" s="1"/>
  <c r="J4" i="4" s="1"/>
  <c r="K4" i="4" s="1"/>
  <c r="L4" i="4" s="1"/>
  <c r="M4" i="4" s="1"/>
  <c r="N4" i="4" s="1"/>
  <c r="O4" i="4" s="1"/>
  <c r="P4" i="4" s="1"/>
  <c r="Q4" i="4" s="1"/>
  <c r="R4" i="4" s="1"/>
  <c r="S4" i="4" s="1"/>
  <c r="T4" i="4" s="1"/>
  <c r="U4" i="4" s="1"/>
  <c r="V4" i="4" s="1"/>
  <c r="W4" i="4" s="1"/>
  <c r="X4" i="4" s="1"/>
  <c r="Y4" i="4" s="1"/>
  <c r="Z4" i="4" s="1"/>
  <c r="AA4" i="4" s="1"/>
  <c r="AB4" i="4" s="1"/>
  <c r="AC4" i="4" s="1"/>
  <c r="AD4" i="4" s="1"/>
  <c r="AE4" i="4" s="1"/>
  <c r="AF4" i="4" s="1"/>
  <c r="G27" i="10"/>
  <c r="D10" i="10"/>
  <c r="D49" i="10" s="1"/>
  <c r="E10" i="10"/>
  <c r="E49" i="10" s="1"/>
  <c r="F10" i="10"/>
  <c r="F49" i="10" s="1"/>
  <c r="G10" i="10"/>
  <c r="G49" i="10" s="1"/>
  <c r="D12" i="10"/>
  <c r="E12" i="10"/>
  <c r="F12" i="10"/>
  <c r="G12" i="10"/>
  <c r="D13" i="10"/>
  <c r="E13" i="10"/>
  <c r="F13" i="10"/>
  <c r="G13" i="10"/>
  <c r="D14" i="10"/>
  <c r="E14" i="10"/>
  <c r="F14" i="10"/>
  <c r="G14" i="10"/>
  <c r="E15" i="10"/>
  <c r="F15" i="10"/>
  <c r="G15" i="10"/>
  <c r="D16" i="10"/>
  <c r="E16" i="10"/>
  <c r="F16" i="10"/>
  <c r="G16" i="10"/>
  <c r="D19" i="10"/>
  <c r="E19" i="10"/>
  <c r="F19" i="10"/>
  <c r="G19" i="10"/>
  <c r="D20" i="10"/>
  <c r="E20" i="10"/>
  <c r="F20" i="10"/>
  <c r="G20" i="10"/>
  <c r="D23" i="10"/>
  <c r="E23" i="10"/>
  <c r="F23" i="10"/>
  <c r="G23" i="10"/>
  <c r="D24" i="10"/>
  <c r="E24" i="10"/>
  <c r="F24" i="10"/>
  <c r="G24" i="10"/>
  <c r="D26" i="10"/>
  <c r="F26" i="10"/>
  <c r="G26" i="10"/>
  <c r="D27" i="10"/>
  <c r="F27" i="10"/>
  <c r="D28" i="10"/>
  <c r="E28" i="10"/>
  <c r="F28" i="10"/>
  <c r="G28" i="10"/>
  <c r="D29" i="10"/>
  <c r="E29" i="10"/>
  <c r="F29" i="10"/>
  <c r="G29" i="10"/>
  <c r="D30" i="10"/>
  <c r="E30" i="10"/>
  <c r="F30" i="10"/>
  <c r="G30" i="10"/>
  <c r="C39" i="10"/>
  <c r="H39" i="10" s="1"/>
  <c r="C38" i="10"/>
  <c r="H38" i="10" s="1"/>
  <c r="H8" i="10"/>
  <c r="H37" i="10"/>
  <c r="C71" i="10"/>
  <c r="C70" i="10"/>
  <c r="C67" i="10"/>
  <c r="C23" i="10" s="1"/>
  <c r="B15" i="3"/>
  <c r="E24" i="3"/>
  <c r="F24" i="3"/>
  <c r="M24" i="3" s="1"/>
  <c r="G24" i="3"/>
  <c r="H24" i="3"/>
  <c r="I24" i="3"/>
  <c r="E13" i="3"/>
  <c r="F13" i="3"/>
  <c r="G13" i="3"/>
  <c r="H13" i="3"/>
  <c r="I13" i="3"/>
  <c r="K17" i="3"/>
  <c r="L17" i="3" s="1"/>
  <c r="M17" i="3" s="1"/>
  <c r="N17" i="3" s="1"/>
  <c r="O17" i="3" s="1"/>
  <c r="P17" i="3" s="1"/>
  <c r="K4" i="3"/>
  <c r="L4" i="3" s="1"/>
  <c r="M4" i="3" s="1"/>
  <c r="N4" i="3" s="1"/>
  <c r="O4" i="3" s="1"/>
  <c r="P4" i="3" s="1"/>
  <c r="E17" i="3"/>
  <c r="F17" i="3" s="1"/>
  <c r="G17" i="3" s="1"/>
  <c r="H17" i="3" s="1"/>
  <c r="I17" i="3" s="1"/>
  <c r="E4" i="3"/>
  <c r="F4" i="3" s="1"/>
  <c r="G4" i="3" s="1"/>
  <c r="H4" i="3" s="1"/>
  <c r="I4" i="3" s="1"/>
  <c r="M74" i="16"/>
  <c r="L74" i="16"/>
  <c r="K74" i="16"/>
  <c r="J74" i="16"/>
  <c r="I74" i="16"/>
  <c r="H74" i="16"/>
  <c r="G74" i="16"/>
  <c r="F74" i="16"/>
  <c r="E74" i="16"/>
  <c r="D74" i="16"/>
  <c r="C74" i="16"/>
  <c r="B74" i="16"/>
  <c r="M73" i="16"/>
  <c r="L73" i="16"/>
  <c r="K73" i="16"/>
  <c r="J73" i="16"/>
  <c r="I73" i="16"/>
  <c r="H73" i="16"/>
  <c r="G73" i="16"/>
  <c r="F73" i="16"/>
  <c r="E73" i="16"/>
  <c r="D73" i="16"/>
  <c r="C73" i="16"/>
  <c r="B73" i="16"/>
  <c r="M72" i="16"/>
  <c r="L72" i="16"/>
  <c r="K72" i="16"/>
  <c r="J72" i="16"/>
  <c r="I72" i="16"/>
  <c r="H72" i="16"/>
  <c r="G72" i="16"/>
  <c r="F72" i="16"/>
  <c r="E72" i="16"/>
  <c r="D72" i="16"/>
  <c r="C72" i="16"/>
  <c r="B72" i="16"/>
  <c r="M70" i="16"/>
  <c r="L70" i="16"/>
  <c r="K70" i="16"/>
  <c r="J70" i="16"/>
  <c r="I70" i="16"/>
  <c r="H70" i="16"/>
  <c r="G70" i="16"/>
  <c r="F70" i="16"/>
  <c r="E70" i="16"/>
  <c r="D70" i="16"/>
  <c r="C70" i="16"/>
  <c r="B70" i="16"/>
  <c r="M69" i="16"/>
  <c r="L69" i="16"/>
  <c r="K69" i="16"/>
  <c r="J69" i="16"/>
  <c r="I69" i="16"/>
  <c r="H69" i="16"/>
  <c r="G69" i="16"/>
  <c r="F69" i="16"/>
  <c r="E69" i="16"/>
  <c r="D69" i="16"/>
  <c r="C69" i="16"/>
  <c r="B69" i="16"/>
  <c r="B23" i="16"/>
  <c r="M62" i="16"/>
  <c r="L62" i="16"/>
  <c r="K62" i="16"/>
  <c r="J62" i="16"/>
  <c r="I62" i="16"/>
  <c r="H62" i="16"/>
  <c r="G62" i="16"/>
  <c r="F62" i="16"/>
  <c r="E62" i="16"/>
  <c r="D62" i="16"/>
  <c r="C62" i="16"/>
  <c r="B62" i="16"/>
  <c r="M84" i="16"/>
  <c r="L84" i="16"/>
  <c r="K84" i="16"/>
  <c r="J84" i="16"/>
  <c r="I84" i="16"/>
  <c r="H84" i="16"/>
  <c r="G84" i="16"/>
  <c r="F84" i="16"/>
  <c r="E84" i="16"/>
  <c r="D84" i="16"/>
  <c r="C84" i="16"/>
  <c r="B84" i="16"/>
  <c r="M83" i="16"/>
  <c r="L83" i="16"/>
  <c r="K83" i="16"/>
  <c r="J83" i="16"/>
  <c r="I83" i="16"/>
  <c r="H83" i="16"/>
  <c r="G83" i="16"/>
  <c r="F83" i="16"/>
  <c r="E83" i="16"/>
  <c r="D83" i="16"/>
  <c r="C83" i="16"/>
  <c r="B83" i="16"/>
  <c r="M82" i="16"/>
  <c r="L82" i="16"/>
  <c r="K82" i="16"/>
  <c r="J82" i="16"/>
  <c r="I82" i="16"/>
  <c r="H82" i="16"/>
  <c r="G82" i="16"/>
  <c r="F82" i="16"/>
  <c r="E82" i="16"/>
  <c r="D82" i="16"/>
  <c r="C82" i="16"/>
  <c r="M81" i="16"/>
  <c r="L81" i="16"/>
  <c r="K81" i="16"/>
  <c r="J81" i="16"/>
  <c r="I81" i="16"/>
  <c r="H81" i="16"/>
  <c r="G81" i="16"/>
  <c r="F81" i="16"/>
  <c r="E81" i="16"/>
  <c r="D81" i="16"/>
  <c r="C81" i="16"/>
  <c r="M80" i="16"/>
  <c r="L80" i="16"/>
  <c r="K80" i="16"/>
  <c r="J80" i="16"/>
  <c r="I80" i="16"/>
  <c r="H80" i="16"/>
  <c r="G80" i="16"/>
  <c r="F80" i="16"/>
  <c r="E80" i="16"/>
  <c r="D80" i="16"/>
  <c r="C80" i="16"/>
  <c r="M79" i="16"/>
  <c r="L79" i="16"/>
  <c r="K79" i="16"/>
  <c r="J79" i="16"/>
  <c r="I79" i="16"/>
  <c r="H79" i="16"/>
  <c r="G79" i="16"/>
  <c r="F79" i="16"/>
  <c r="E79" i="16"/>
  <c r="D79" i="16"/>
  <c r="C79" i="16"/>
  <c r="B79" i="16"/>
  <c r="M78" i="16"/>
  <c r="L78" i="16"/>
  <c r="K78" i="16"/>
  <c r="J78" i="16"/>
  <c r="I78" i="16"/>
  <c r="H78" i="16"/>
  <c r="G78" i="16"/>
  <c r="F78" i="16"/>
  <c r="E78" i="16"/>
  <c r="D78" i="16"/>
  <c r="C78" i="16"/>
  <c r="B78" i="16"/>
  <c r="M52" i="16"/>
  <c r="L52" i="16"/>
  <c r="H52" i="16"/>
  <c r="G52" i="16"/>
  <c r="F52" i="16"/>
  <c r="E52" i="16"/>
  <c r="D52" i="16"/>
  <c r="B52" i="16"/>
  <c r="C48" i="16"/>
  <c r="D48" i="16"/>
  <c r="E48" i="16"/>
  <c r="F48" i="16"/>
  <c r="G48" i="16"/>
  <c r="H48" i="16"/>
  <c r="I48" i="16"/>
  <c r="J48" i="16"/>
  <c r="K48" i="16"/>
  <c r="L48" i="16"/>
  <c r="M48" i="16"/>
  <c r="B48" i="16"/>
  <c r="M54" i="16"/>
  <c r="L54" i="16"/>
  <c r="K54" i="16"/>
  <c r="J54" i="16"/>
  <c r="I54" i="16"/>
  <c r="H54" i="16"/>
  <c r="G54" i="16"/>
  <c r="F54" i="16"/>
  <c r="E54" i="16"/>
  <c r="D54" i="16"/>
  <c r="C54" i="16"/>
  <c r="B54" i="16"/>
  <c r="M53" i="16"/>
  <c r="L53" i="16"/>
  <c r="K53" i="16"/>
  <c r="J53" i="16"/>
  <c r="I53" i="16"/>
  <c r="H53" i="16"/>
  <c r="G53" i="16"/>
  <c r="F53" i="16"/>
  <c r="E53" i="16"/>
  <c r="D53" i="16"/>
  <c r="C53" i="16"/>
  <c r="B53" i="16"/>
  <c r="M50" i="16"/>
  <c r="L50" i="16"/>
  <c r="K50" i="16"/>
  <c r="J50" i="16"/>
  <c r="I50" i="16"/>
  <c r="H50" i="16"/>
  <c r="G50" i="16"/>
  <c r="F50" i="16"/>
  <c r="E50" i="16"/>
  <c r="D50" i="16"/>
  <c r="C50" i="16"/>
  <c r="B50" i="16"/>
  <c r="M49" i="16"/>
  <c r="L49" i="16"/>
  <c r="K49" i="16"/>
  <c r="J49" i="16"/>
  <c r="I49" i="16"/>
  <c r="H49" i="16"/>
  <c r="G49" i="16"/>
  <c r="F49" i="16"/>
  <c r="E49" i="16"/>
  <c r="D49" i="16"/>
  <c r="C49" i="16"/>
  <c r="B49" i="16"/>
  <c r="B58" i="16" s="1"/>
  <c r="B44" i="16"/>
  <c r="C69" i="10" s="1"/>
  <c r="M42" i="16"/>
  <c r="L42" i="16"/>
  <c r="K42" i="16"/>
  <c r="J42" i="16"/>
  <c r="I42" i="16"/>
  <c r="H42" i="16"/>
  <c r="G42" i="16"/>
  <c r="F42" i="16"/>
  <c r="E42" i="16"/>
  <c r="D42" i="16"/>
  <c r="C42" i="16"/>
  <c r="B42" i="16"/>
  <c r="C68" i="10" s="1"/>
  <c r="M41" i="16"/>
  <c r="L41" i="16"/>
  <c r="K41" i="16"/>
  <c r="J41" i="16"/>
  <c r="I41" i="16"/>
  <c r="H41" i="16"/>
  <c r="G41" i="16"/>
  <c r="F41" i="16"/>
  <c r="E41" i="16"/>
  <c r="D41" i="16"/>
  <c r="C41" i="16"/>
  <c r="B41" i="16"/>
  <c r="C66" i="10" s="1"/>
  <c r="M40" i="16"/>
  <c r="L40" i="16"/>
  <c r="K40" i="16"/>
  <c r="J40" i="16"/>
  <c r="I40" i="16"/>
  <c r="H40" i="16"/>
  <c r="G40" i="16"/>
  <c r="F40" i="16"/>
  <c r="E40" i="16"/>
  <c r="D40" i="16"/>
  <c r="C40" i="16"/>
  <c r="B40" i="16"/>
  <c r="C65" i="10" s="1"/>
  <c r="M39" i="16"/>
  <c r="M26" i="16" s="1"/>
  <c r="L39" i="16"/>
  <c r="K39" i="16"/>
  <c r="K26" i="16" s="1"/>
  <c r="J39" i="16"/>
  <c r="I39" i="16"/>
  <c r="H39" i="16"/>
  <c r="G39" i="16"/>
  <c r="F39" i="16"/>
  <c r="E39" i="16"/>
  <c r="D39" i="16"/>
  <c r="C39" i="16"/>
  <c r="B39" i="16"/>
  <c r="C24" i="1" s="1"/>
  <c r="M33" i="16"/>
  <c r="L33" i="16"/>
  <c r="K33" i="16"/>
  <c r="J33" i="16"/>
  <c r="I33" i="16"/>
  <c r="H33" i="16"/>
  <c r="G33" i="16"/>
  <c r="F33" i="16"/>
  <c r="E33" i="16"/>
  <c r="D33" i="16"/>
  <c r="C33" i="16"/>
  <c r="E24" i="4" s="1"/>
  <c r="B33" i="16"/>
  <c r="M32" i="16"/>
  <c r="L32" i="16"/>
  <c r="K32" i="16"/>
  <c r="J32" i="16"/>
  <c r="I32" i="16"/>
  <c r="H32" i="16"/>
  <c r="G32" i="16"/>
  <c r="F32" i="16"/>
  <c r="E32" i="16"/>
  <c r="D32" i="16"/>
  <c r="D23" i="4" s="1"/>
  <c r="C32" i="16"/>
  <c r="B32" i="16"/>
  <c r="M28" i="16"/>
  <c r="L28" i="16"/>
  <c r="K28" i="16"/>
  <c r="J28" i="16"/>
  <c r="I28" i="16"/>
  <c r="H28" i="16"/>
  <c r="G28" i="16"/>
  <c r="F28" i="16"/>
  <c r="E28" i="16"/>
  <c r="D28" i="16"/>
  <c r="D29" i="4" s="1"/>
  <c r="C28" i="16"/>
  <c r="E29" i="4" s="1"/>
  <c r="B28" i="16"/>
  <c r="M27" i="16"/>
  <c r="L27" i="16"/>
  <c r="K27" i="16"/>
  <c r="J27" i="16"/>
  <c r="I27" i="16"/>
  <c r="H27" i="16"/>
  <c r="G27" i="16"/>
  <c r="F27" i="16"/>
  <c r="E27" i="16"/>
  <c r="D27" i="16"/>
  <c r="C27" i="16"/>
  <c r="E30" i="4" s="1"/>
  <c r="B27" i="16"/>
  <c r="F30" i="4" s="1"/>
  <c r="M23" i="16"/>
  <c r="L23" i="16"/>
  <c r="K23" i="16"/>
  <c r="J23" i="16"/>
  <c r="I23" i="16"/>
  <c r="H23" i="16"/>
  <c r="G23" i="16"/>
  <c r="F23" i="16"/>
  <c r="E23" i="16"/>
  <c r="D23" i="16"/>
  <c r="D17" i="4" s="1"/>
  <c r="C23" i="16"/>
  <c r="E17" i="4" s="1"/>
  <c r="M21" i="16"/>
  <c r="L21" i="16"/>
  <c r="K21" i="16"/>
  <c r="J21" i="16"/>
  <c r="I21" i="16"/>
  <c r="H21" i="16"/>
  <c r="G21" i="16"/>
  <c r="F21" i="16"/>
  <c r="E21" i="16"/>
  <c r="D21" i="16"/>
  <c r="D16" i="4"/>
  <c r="C21" i="16"/>
  <c r="B21" i="16"/>
  <c r="M17" i="16"/>
  <c r="L17" i="16"/>
  <c r="K17" i="16"/>
  <c r="J17" i="16"/>
  <c r="I17" i="16"/>
  <c r="H17" i="16"/>
  <c r="G17" i="16"/>
  <c r="F17" i="16"/>
  <c r="E17" i="16"/>
  <c r="D17" i="16"/>
  <c r="C17" i="16"/>
  <c r="B17" i="16"/>
  <c r="M15" i="16"/>
  <c r="L15" i="16"/>
  <c r="K15" i="16"/>
  <c r="J15" i="16"/>
  <c r="I15" i="16"/>
  <c r="H15" i="16"/>
  <c r="G15" i="16"/>
  <c r="F15" i="16"/>
  <c r="E15" i="16"/>
  <c r="D15" i="16"/>
  <c r="D14" i="4" s="1"/>
  <c r="C15" i="16"/>
  <c r="E14" i="4" s="1"/>
  <c r="B15" i="16"/>
  <c r="F14" i="4" s="1"/>
  <c r="M14" i="16"/>
  <c r="L14" i="16"/>
  <c r="K14" i="16"/>
  <c r="J14" i="16"/>
  <c r="I14" i="16"/>
  <c r="H14" i="16"/>
  <c r="G14" i="16"/>
  <c r="F14" i="16"/>
  <c r="E14" i="16"/>
  <c r="D14" i="16"/>
  <c r="C14" i="16"/>
  <c r="B14" i="16"/>
  <c r="C40" i="22" s="1"/>
  <c r="C11" i="16"/>
  <c r="E8" i="4" s="1"/>
  <c r="E7" i="4" s="1"/>
  <c r="D11" i="16"/>
  <c r="E11" i="16"/>
  <c r="F11" i="16"/>
  <c r="G11" i="16"/>
  <c r="H11" i="16"/>
  <c r="I11" i="16"/>
  <c r="J11" i="16"/>
  <c r="K11" i="16"/>
  <c r="L11" i="16"/>
  <c r="M11" i="16"/>
  <c r="B11" i="16"/>
  <c r="C58" i="10" s="1"/>
  <c r="C7" i="16"/>
  <c r="D7" i="16"/>
  <c r="E7" i="16"/>
  <c r="F7" i="16"/>
  <c r="G7" i="16"/>
  <c r="H7" i="16"/>
  <c r="I7" i="16"/>
  <c r="J7" i="16"/>
  <c r="K7" i="16"/>
  <c r="L7" i="16"/>
  <c r="M7" i="16"/>
  <c r="B7" i="16"/>
  <c r="M5" i="16"/>
  <c r="L5" i="16"/>
  <c r="K5" i="16"/>
  <c r="J5" i="16"/>
  <c r="I5" i="16"/>
  <c r="H5" i="16"/>
  <c r="G5" i="16"/>
  <c r="F5" i="16"/>
  <c r="E5" i="16"/>
  <c r="D5" i="16"/>
  <c r="D9" i="16" s="1"/>
  <c r="D10" i="16" s="1"/>
  <c r="C5" i="16"/>
  <c r="B5" i="16"/>
  <c r="B24" i="16" s="1"/>
  <c r="M13" i="17"/>
  <c r="M14" i="17" s="1"/>
  <c r="L13" i="17"/>
  <c r="L14" i="17" s="1"/>
  <c r="K13" i="17"/>
  <c r="K14" i="17" s="1"/>
  <c r="J13" i="17"/>
  <c r="J14" i="17" s="1"/>
  <c r="I13" i="17"/>
  <c r="I14" i="17" s="1"/>
  <c r="H13" i="17"/>
  <c r="H14" i="17" s="1"/>
  <c r="G13" i="17"/>
  <c r="G14" i="17" s="1"/>
  <c r="F13" i="17"/>
  <c r="F14" i="17" s="1"/>
  <c r="E13" i="17"/>
  <c r="E14" i="17" s="1"/>
  <c r="D68" i="16"/>
  <c r="E68" i="16"/>
  <c r="F68" i="16"/>
  <c r="G68" i="16"/>
  <c r="H68" i="16"/>
  <c r="I68" i="16"/>
  <c r="K68" i="16"/>
  <c r="M71" i="16"/>
  <c r="L71" i="16"/>
  <c r="K71" i="16"/>
  <c r="J71" i="16"/>
  <c r="I71" i="16"/>
  <c r="H71" i="16"/>
  <c r="G71" i="16"/>
  <c r="F71" i="16"/>
  <c r="E71" i="16"/>
  <c r="D71" i="16"/>
  <c r="C71" i="16"/>
  <c r="B71" i="16"/>
  <c r="B67" i="16"/>
  <c r="L75" i="16"/>
  <c r="K75" i="16"/>
  <c r="I75" i="16"/>
  <c r="H75" i="16"/>
  <c r="G75" i="16"/>
  <c r="F75" i="16"/>
  <c r="D75" i="16"/>
  <c r="C75" i="16"/>
  <c r="M67" i="16"/>
  <c r="J67" i="16"/>
  <c r="I67" i="16"/>
  <c r="H67" i="16"/>
  <c r="G67" i="16"/>
  <c r="F67" i="16"/>
  <c r="E67" i="16"/>
  <c r="D67" i="16"/>
  <c r="C67" i="16"/>
  <c r="C36" i="17"/>
  <c r="C31" i="17"/>
  <c r="D31" i="17"/>
  <c r="E31" i="17"/>
  <c r="F31" i="17"/>
  <c r="G31" i="17"/>
  <c r="H31" i="17"/>
  <c r="I31" i="17"/>
  <c r="J31" i="17"/>
  <c r="K31" i="17"/>
  <c r="L31" i="17"/>
  <c r="M31" i="17"/>
  <c r="C44" i="16"/>
  <c r="B56" i="16"/>
  <c r="D50" i="17"/>
  <c r="D55" i="16" s="1"/>
  <c r="E50" i="17"/>
  <c r="E55" i="16" s="1"/>
  <c r="F50" i="17"/>
  <c r="F55" i="16" s="1"/>
  <c r="G50" i="17"/>
  <c r="G55" i="16" s="1"/>
  <c r="I50" i="17"/>
  <c r="I55" i="16" s="1"/>
  <c r="L50" i="17"/>
  <c r="L55" i="16" s="1"/>
  <c r="M50" i="17"/>
  <c r="M55" i="16" s="1"/>
  <c r="C46" i="17"/>
  <c r="C51" i="16" s="1"/>
  <c r="D46" i="17"/>
  <c r="D51" i="16" s="1"/>
  <c r="E46" i="17"/>
  <c r="E51" i="16" s="1"/>
  <c r="G46" i="17"/>
  <c r="G51" i="16" s="1"/>
  <c r="H46" i="17"/>
  <c r="H51" i="16" s="1"/>
  <c r="I46" i="17"/>
  <c r="I51" i="16" s="1"/>
  <c r="J46" i="17"/>
  <c r="J51" i="16" s="1"/>
  <c r="K46" i="17"/>
  <c r="K51" i="16" s="1"/>
  <c r="L46" i="17"/>
  <c r="L51" i="16" s="1"/>
  <c r="M46" i="17"/>
  <c r="M51" i="16" s="1"/>
  <c r="B51" i="16"/>
  <c r="AB38" i="17"/>
  <c r="C61" i="10"/>
  <c r="H42" i="10"/>
  <c r="I42" i="10" s="1"/>
  <c r="O13" i="3"/>
  <c r="D13" i="17"/>
  <c r="D14" i="17" s="1"/>
  <c r="C13" i="17"/>
  <c r="C14" i="17" s="1"/>
  <c r="F17" i="4"/>
  <c r="E5" i="4"/>
  <c r="B2" i="3"/>
  <c r="C5" i="17"/>
  <c r="C87" i="17" s="1"/>
  <c r="B4" i="16"/>
  <c r="C4" i="16" s="1"/>
  <c r="D4" i="16" s="1"/>
  <c r="E4" i="16" s="1"/>
  <c r="F4" i="16" s="1"/>
  <c r="G4" i="16" s="1"/>
  <c r="H4" i="16" s="1"/>
  <c r="I4" i="16" s="1"/>
  <c r="J4" i="16" s="1"/>
  <c r="K4" i="16" s="1"/>
  <c r="L4" i="16" s="1"/>
  <c r="M4" i="16" s="1"/>
  <c r="L46" i="1"/>
  <c r="M46" i="1" s="1"/>
  <c r="B54" i="1"/>
  <c r="B53" i="1" s="1"/>
  <c r="B52" i="1" s="1"/>
  <c r="B51" i="1" s="1"/>
  <c r="B50" i="1" s="1"/>
  <c r="B49" i="1" s="1"/>
  <c r="B48" i="1" s="1"/>
  <c r="B47" i="1" s="1"/>
  <c r="B46" i="1" s="1"/>
  <c r="H25" i="10"/>
  <c r="C12" i="19"/>
  <c r="C13" i="19"/>
  <c r="C14" i="19"/>
  <c r="C15" i="19"/>
  <c r="C16" i="19"/>
  <c r="C17" i="19"/>
  <c r="C18" i="19"/>
  <c r="C19" i="19"/>
  <c r="C20" i="19"/>
  <c r="C21" i="19"/>
  <c r="C22" i="19"/>
  <c r="C7" i="19"/>
  <c r="C9" i="19"/>
  <c r="C10" i="19"/>
  <c r="H11" i="10"/>
  <c r="M22" i="17"/>
  <c r="M18" i="16" s="1"/>
  <c r="AD53" i="17"/>
  <c r="AC53" i="17"/>
  <c r="AD52" i="17"/>
  <c r="AC52" i="17"/>
  <c r="AG49" i="17"/>
  <c r="AG52" i="17" s="1"/>
  <c r="AF49" i="17"/>
  <c r="AE49" i="17"/>
  <c r="AE52" i="17" s="1"/>
  <c r="AB49" i="17"/>
  <c r="AB52" i="17" s="1"/>
  <c r="AA49" i="17"/>
  <c r="AA52" i="17" s="1"/>
  <c r="Z49" i="17"/>
  <c r="Z53" i="17" s="1"/>
  <c r="E56" i="17"/>
  <c r="E64" i="16" s="1"/>
  <c r="AD48" i="17"/>
  <c r="AC48" i="17"/>
  <c r="AB48" i="17"/>
  <c r="AA48" i="17"/>
  <c r="Z48" i="17"/>
  <c r="AG44" i="17"/>
  <c r="AG48" i="17" s="1"/>
  <c r="AF44" i="17"/>
  <c r="AF48" i="17" s="1"/>
  <c r="AE44" i="17"/>
  <c r="AG39" i="17"/>
  <c r="AF39" i="17"/>
  <c r="AE39" i="17"/>
  <c r="AD39" i="17"/>
  <c r="AC39" i="17"/>
  <c r="AB31" i="17"/>
  <c r="AA31" i="17"/>
  <c r="AA39" i="17" s="1"/>
  <c r="Z31" i="17"/>
  <c r="Z39" i="17" s="1"/>
  <c r="AA25" i="17"/>
  <c r="O74" i="17"/>
  <c r="AE12" i="17"/>
  <c r="AG11" i="17"/>
  <c r="AF11" i="17"/>
  <c r="AE11" i="17"/>
  <c r="AD11" i="17"/>
  <c r="L22" i="17"/>
  <c r="L18" i="16" s="1"/>
  <c r="H22" i="17"/>
  <c r="H18" i="16" s="1"/>
  <c r="D22" i="17"/>
  <c r="D18" i="16" s="1"/>
  <c r="G22" i="17"/>
  <c r="G18" i="16" s="1"/>
  <c r="F22" i="17"/>
  <c r="F18" i="16" s="1"/>
  <c r="E22" i="17"/>
  <c r="E18" i="16" s="1"/>
  <c r="AG9" i="17"/>
  <c r="AF9" i="17"/>
  <c r="AD9" i="17"/>
  <c r="AC9" i="17"/>
  <c r="AB9" i="17"/>
  <c r="AA9" i="17"/>
  <c r="Z9" i="17"/>
  <c r="AG10" i="17"/>
  <c r="AF10" i="17"/>
  <c r="AE10" i="17"/>
  <c r="AD10" i="17"/>
  <c r="AC10" i="17"/>
  <c r="AB10" i="17"/>
  <c r="AA10" i="17"/>
  <c r="Z10" i="17"/>
  <c r="AG7" i="17"/>
  <c r="AG8" i="17" s="1"/>
  <c r="AF7" i="17"/>
  <c r="AF8" i="17" s="1"/>
  <c r="AE7" i="17"/>
  <c r="AE8" i="17" s="1"/>
  <c r="AD7" i="17"/>
  <c r="AD8" i="17" s="1"/>
  <c r="AC7" i="17"/>
  <c r="AC8" i="17" s="1"/>
  <c r="AB7" i="17"/>
  <c r="AB8" i="17" s="1"/>
  <c r="AA7" i="17"/>
  <c r="AA8" i="17" s="1"/>
  <c r="Z7" i="17"/>
  <c r="Z8" i="17" s="1"/>
  <c r="O7" i="17"/>
  <c r="A2" i="16"/>
  <c r="A1" i="16"/>
  <c r="H46" i="1" s="1" a="1"/>
  <c r="H46" i="1" s="1"/>
  <c r="D13" i="3"/>
  <c r="B11" i="3" s="1"/>
  <c r="D22" i="4"/>
  <c r="F5" i="4"/>
  <c r="D56" i="16"/>
  <c r="G56" i="16"/>
  <c r="J56" i="16"/>
  <c r="E56" i="16"/>
  <c r="B80" i="16"/>
  <c r="H56" i="16"/>
  <c r="B82" i="16"/>
  <c r="B81" i="16"/>
  <c r="L56" i="16"/>
  <c r="M56" i="16"/>
  <c r="F56" i="16"/>
  <c r="I56" i="16"/>
  <c r="H21" i="1"/>
  <c r="H18" i="10"/>
  <c r="H31" i="10"/>
  <c r="J56" i="17"/>
  <c r="J64" i="16" s="1"/>
  <c r="J36" i="17"/>
  <c r="M44" i="16"/>
  <c r="M36" i="17"/>
  <c r="I44" i="16"/>
  <c r="I36" i="17"/>
  <c r="E44" i="16"/>
  <c r="K36" i="17"/>
  <c r="H56" i="17"/>
  <c r="H64" i="16" s="1"/>
  <c r="L44" i="16"/>
  <c r="L36" i="17"/>
  <c r="G56" i="17"/>
  <c r="G64" i="16" s="1"/>
  <c r="J44" i="16"/>
  <c r="M56" i="17"/>
  <c r="M64" i="16" s="1"/>
  <c r="F56" i="17"/>
  <c r="F64" i="16" s="1"/>
  <c r="K44" i="16"/>
  <c r="F44" i="16"/>
  <c r="G44" i="16"/>
  <c r="H44" i="16"/>
  <c r="L56" i="17"/>
  <c r="L64" i="16" s="1"/>
  <c r="I56" i="17"/>
  <c r="I64" i="16" s="1"/>
  <c r="D56" i="17"/>
  <c r="D64" i="16" s="1"/>
  <c r="C56" i="17"/>
  <c r="C64" i="16" s="1"/>
  <c r="C56" i="16"/>
  <c r="C47" i="17"/>
  <c r="C52" i="16" s="1"/>
  <c r="D44" i="16"/>
  <c r="B68" i="16"/>
  <c r="C68" i="16"/>
  <c r="C67" i="17"/>
  <c r="E25" i="4" s="1"/>
  <c r="K56" i="17"/>
  <c r="K64" i="16" s="1"/>
  <c r="K56" i="16"/>
  <c r="K52" i="16"/>
  <c r="K63" i="17"/>
  <c r="K67" i="16"/>
  <c r="L67" i="16"/>
  <c r="J68" i="16"/>
  <c r="L68" i="16"/>
  <c r="M68" i="16"/>
  <c r="F29" i="4" l="1"/>
  <c r="C48" i="22"/>
  <c r="I48" i="22" s="1"/>
  <c r="L48" i="22" s="1"/>
  <c r="C45" i="22"/>
  <c r="I45" i="22" s="1"/>
  <c r="K45" i="22" s="1"/>
  <c r="L45" i="22" s="1"/>
  <c r="F24" i="4"/>
  <c r="C46" i="22"/>
  <c r="I46" i="22" s="1"/>
  <c r="K46" i="22" s="1"/>
  <c r="L46" i="22" s="1"/>
  <c r="F44" i="4"/>
  <c r="O24" i="3"/>
  <c r="N24" i="3"/>
  <c r="C46" i="1" a="1"/>
  <c r="C46" i="1" s="1"/>
  <c r="H23" i="10"/>
  <c r="I23" i="10" s="1"/>
  <c r="D9" i="10" a="1"/>
  <c r="D9" i="10" s="1"/>
  <c r="D44" i="10" a="1"/>
  <c r="D44" i="10" s="1"/>
  <c r="D46" i="10" s="1"/>
  <c r="O4" i="19"/>
  <c r="F44" i="10" a="1"/>
  <c r="F44" i="10" s="1"/>
  <c r="F46" i="10" s="1"/>
  <c r="G51" i="10"/>
  <c r="G44" i="10" a="1"/>
  <c r="G44" i="10" s="1"/>
  <c r="G46" i="10" s="1"/>
  <c r="E67" i="22"/>
  <c r="E9" i="10" a="1"/>
  <c r="E9" i="10" s="1"/>
  <c r="E32" i="10" s="1"/>
  <c r="N4" i="19"/>
  <c r="R9" i="19"/>
  <c r="R6" i="19"/>
  <c r="R8" i="19"/>
  <c r="R7" i="19"/>
  <c r="T47" i="4"/>
  <c r="D65" i="4"/>
  <c r="AA46" i="4"/>
  <c r="U46" i="4"/>
  <c r="M45" i="4"/>
  <c r="AA45" i="4"/>
  <c r="Y46" i="4"/>
  <c r="V46" i="4"/>
  <c r="I45" i="4"/>
  <c r="O47" i="4"/>
  <c r="AF45" i="4"/>
  <c r="AB46" i="4"/>
  <c r="W45" i="4"/>
  <c r="T46" i="4"/>
  <c r="N45" i="4"/>
  <c r="Q45" i="4"/>
  <c r="I47" i="4"/>
  <c r="AE46" i="4"/>
  <c r="X47" i="4"/>
  <c r="AC46" i="4"/>
  <c r="U45" i="4"/>
  <c r="AE45" i="4"/>
  <c r="Z46" i="4"/>
  <c r="S47" i="4"/>
  <c r="L47" i="4"/>
  <c r="S45" i="4"/>
  <c r="N46" i="4"/>
  <c r="F47" i="4"/>
  <c r="AB45" i="4"/>
  <c r="R46" i="4"/>
  <c r="I46" i="4"/>
  <c r="S46" i="4"/>
  <c r="AD47" i="4"/>
  <c r="V47" i="4"/>
  <c r="L46" i="4"/>
  <c r="O46" i="4"/>
  <c r="H47" i="4"/>
  <c r="Z47" i="4"/>
  <c r="P46" i="4"/>
  <c r="J46" i="4"/>
  <c r="F46" i="4"/>
  <c r="M46" i="4"/>
  <c r="X45" i="4"/>
  <c r="X46" i="4"/>
  <c r="T45" i="4"/>
  <c r="O45" i="4"/>
  <c r="N47" i="4"/>
  <c r="AC47" i="4"/>
  <c r="P45" i="4"/>
  <c r="K46" i="4"/>
  <c r="Z45" i="4"/>
  <c r="R47" i="4"/>
  <c r="H46" i="4"/>
  <c r="K45" i="4"/>
  <c r="AE47" i="4"/>
  <c r="F45" i="4"/>
  <c r="P47" i="4"/>
  <c r="K47" i="4"/>
  <c r="AD45" i="4"/>
  <c r="G45" i="4"/>
  <c r="U47" i="4"/>
  <c r="L45" i="4"/>
  <c r="AF47" i="4"/>
  <c r="R45" i="4"/>
  <c r="J47" i="4"/>
  <c r="Y47" i="4"/>
  <c r="G47" i="4"/>
  <c r="AA47" i="4"/>
  <c r="G46" i="4"/>
  <c r="Q46" i="4"/>
  <c r="W46" i="4"/>
  <c r="AF46" i="4"/>
  <c r="V45" i="4"/>
  <c r="Y45" i="4"/>
  <c r="Q47" i="4"/>
  <c r="H45" i="4"/>
  <c r="AB47" i="4"/>
  <c r="J45" i="4"/>
  <c r="AC45" i="4"/>
  <c r="M47" i="4"/>
  <c r="AD46" i="4"/>
  <c r="W47" i="4"/>
  <c r="H9" i="16"/>
  <c r="H10" i="16" s="1"/>
  <c r="E8" i="22"/>
  <c r="E35" i="22" s="1"/>
  <c r="D35" i="22"/>
  <c r="E13" i="4"/>
  <c r="D13" i="4"/>
  <c r="C38" i="22"/>
  <c r="E38" i="22"/>
  <c r="E65" i="4"/>
  <c r="D58" i="4"/>
  <c r="E58" i="4"/>
  <c r="D66" i="4"/>
  <c r="G27" i="4" s="1"/>
  <c r="L49" i="22"/>
  <c r="E66" i="4" s="1"/>
  <c r="L50" i="22"/>
  <c r="D60" i="4"/>
  <c r="G21" i="4" s="1"/>
  <c r="L43" i="22"/>
  <c r="E60" i="4" s="1"/>
  <c r="D61" i="4"/>
  <c r="E61" i="4"/>
  <c r="D62" i="4"/>
  <c r="G23" i="4" s="1"/>
  <c r="G40" i="4" s="1"/>
  <c r="E62" i="4"/>
  <c r="D68" i="4"/>
  <c r="E68" i="4"/>
  <c r="D63" i="4"/>
  <c r="G24" i="4" s="1"/>
  <c r="E63" i="4"/>
  <c r="D64" i="4"/>
  <c r="L47" i="22"/>
  <c r="E64" i="4" s="1"/>
  <c r="F16" i="4"/>
  <c r="D38" i="22"/>
  <c r="D54" i="4"/>
  <c r="G10" i="4" s="1"/>
  <c r="E54" i="4"/>
  <c r="D26" i="16"/>
  <c r="D29" i="16" s="1"/>
  <c r="L26" i="16"/>
  <c r="L29" i="16" s="1"/>
  <c r="I36" i="22"/>
  <c r="K36" i="22" s="1"/>
  <c r="J22" i="17"/>
  <c r="J18" i="16" s="1"/>
  <c r="N13" i="3"/>
  <c r="C22" i="17"/>
  <c r="C18" i="16" s="1"/>
  <c r="G24" i="16"/>
  <c r="K35" i="16"/>
  <c r="K36" i="16" s="1"/>
  <c r="C34" i="16"/>
  <c r="K34" i="16"/>
  <c r="E75" i="16"/>
  <c r="J50" i="17"/>
  <c r="J55" i="16" s="1"/>
  <c r="B75" i="16"/>
  <c r="C37" i="17"/>
  <c r="C43" i="16" s="1"/>
  <c r="J75" i="16"/>
  <c r="B18" i="3"/>
  <c r="H27" i="1" s="1"/>
  <c r="E37" i="17"/>
  <c r="E43" i="16" s="1"/>
  <c r="E46" i="10"/>
  <c r="P4" i="19"/>
  <c r="I22" i="17"/>
  <c r="I18" i="16" s="1"/>
  <c r="Q4" i="19"/>
  <c r="L35" i="16"/>
  <c r="L36" i="16" s="1"/>
  <c r="J58" i="16"/>
  <c r="J59" i="16" s="1"/>
  <c r="F58" i="16"/>
  <c r="F59" i="16" s="1"/>
  <c r="Z52" i="17"/>
  <c r="B16" i="16"/>
  <c r="K24" i="1" s="1"/>
  <c r="J37" i="17"/>
  <c r="J43" i="16" s="1"/>
  <c r="E51" i="10"/>
  <c r="AF53" i="17"/>
  <c r="F55" i="1"/>
  <c r="K22" i="17"/>
  <c r="K18" i="16" s="1"/>
  <c r="K37" i="17"/>
  <c r="K43" i="16" s="1"/>
  <c r="F37" i="17"/>
  <c r="F43" i="16" s="1"/>
  <c r="D51" i="10"/>
  <c r="M4" i="19"/>
  <c r="B91" i="16"/>
  <c r="D37" i="17"/>
  <c r="D43" i="16" s="1"/>
  <c r="AB13" i="17"/>
  <c r="AB14" i="17" s="1"/>
  <c r="AE53" i="17"/>
  <c r="AF52" i="17"/>
  <c r="AC13" i="17"/>
  <c r="AC14" i="17" s="1"/>
  <c r="AG53" i="17"/>
  <c r="AA53" i="17"/>
  <c r="Z13" i="17"/>
  <c r="Z14" i="17" s="1"/>
  <c r="AB53" i="17"/>
  <c r="L13" i="3"/>
  <c r="Q48" i="1"/>
  <c r="Q50" i="1"/>
  <c r="Q51" i="1"/>
  <c r="G25" i="4"/>
  <c r="G31" i="4"/>
  <c r="F57" i="1"/>
  <c r="Q49" i="1"/>
  <c r="Q54" i="1"/>
  <c r="F58" i="1"/>
  <c r="Q53" i="1"/>
  <c r="M37" i="17"/>
  <c r="M43" i="16" s="1"/>
  <c r="AE13" i="17"/>
  <c r="AE14" i="17" s="1"/>
  <c r="AA13" i="17"/>
  <c r="AA14" i="17" s="1"/>
  <c r="AG13" i="17"/>
  <c r="AG14" i="17" s="1"/>
  <c r="AF13" i="17"/>
  <c r="AF14" i="17" s="1"/>
  <c r="C50" i="17"/>
  <c r="C55" i="16" s="1"/>
  <c r="I37" i="17"/>
  <c r="I43" i="16" s="1"/>
  <c r="AB39" i="17"/>
  <c r="H37" i="17"/>
  <c r="H43" i="16" s="1"/>
  <c r="Q52" i="1"/>
  <c r="B37" i="17"/>
  <c r="B43" i="16" s="1"/>
  <c r="E25" i="1" s="1"/>
  <c r="F35" i="10"/>
  <c r="F51" i="10"/>
  <c r="G9" i="10" a="1"/>
  <c r="G9" i="10" s="1"/>
  <c r="G35" i="10" s="1"/>
  <c r="AD13" i="17"/>
  <c r="AD14" i="17" s="1"/>
  <c r="L37" i="17"/>
  <c r="L43" i="16" s="1"/>
  <c r="C91" i="16"/>
  <c r="G37" i="17"/>
  <c r="G43" i="16" s="1"/>
  <c r="D5" i="17"/>
  <c r="D91" i="16" s="1"/>
  <c r="AE48" i="17"/>
  <c r="B18" i="16"/>
  <c r="I26" i="16"/>
  <c r="I29" i="16" s="1"/>
  <c r="L24" i="3"/>
  <c r="I48" i="10"/>
  <c r="I12" i="16"/>
  <c r="I9" i="22"/>
  <c r="I10" i="22"/>
  <c r="C82" i="22" s="1"/>
  <c r="C26" i="16"/>
  <c r="C29" i="16" s="1"/>
  <c r="G34" i="16"/>
  <c r="C23" i="1"/>
  <c r="B12" i="16"/>
  <c r="M35" i="16"/>
  <c r="M36" i="16" s="1"/>
  <c r="H35" i="16"/>
  <c r="H36" i="16" s="1"/>
  <c r="G6" i="16"/>
  <c r="M22" i="16"/>
  <c r="M16" i="16"/>
  <c r="B6" i="16"/>
  <c r="C8" i="16"/>
  <c r="K6" i="16"/>
  <c r="L12" i="16"/>
  <c r="D12" i="16"/>
  <c r="C60" i="10"/>
  <c r="E12" i="16"/>
  <c r="K12" i="16"/>
  <c r="J16" i="16"/>
  <c r="E19" i="16"/>
  <c r="E20" i="16" s="1"/>
  <c r="C24" i="16"/>
  <c r="B25" i="16" s="1"/>
  <c r="E35" i="16"/>
  <c r="E36" i="16" s="1"/>
  <c r="L9" i="16"/>
  <c r="L10" i="16" s="1"/>
  <c r="C54" i="10"/>
  <c r="K8" i="16"/>
  <c r="K24" i="16"/>
  <c r="J6" i="16"/>
  <c r="D22" i="16"/>
  <c r="L8" i="16"/>
  <c r="L24" i="16"/>
  <c r="C6" i="16"/>
  <c r="L22" i="16"/>
  <c r="D8" i="16"/>
  <c r="E23" i="4"/>
  <c r="E26" i="4" s="1"/>
  <c r="E34" i="4" s="1"/>
  <c r="F16" i="16"/>
  <c r="J34" i="16"/>
  <c r="F34" i="16"/>
  <c r="C64" i="10"/>
  <c r="C24" i="10" s="1"/>
  <c r="G58" i="16"/>
  <c r="G59" i="16" s="1"/>
  <c r="K58" i="16"/>
  <c r="K59" i="16" s="1"/>
  <c r="G14" i="4"/>
  <c r="E9" i="16"/>
  <c r="E10" i="16" s="1"/>
  <c r="C19" i="16"/>
  <c r="C20" i="16" s="1"/>
  <c r="F32" i="4"/>
  <c r="L58" i="16"/>
  <c r="F8" i="4"/>
  <c r="F12" i="4" s="1"/>
  <c r="C9" i="16"/>
  <c r="C10" i="16" s="1"/>
  <c r="K9" i="16"/>
  <c r="K10" i="16" s="1"/>
  <c r="D24" i="16"/>
  <c r="E24" i="16"/>
  <c r="M12" i="16"/>
  <c r="M13" i="16" s="1"/>
  <c r="M58" i="16"/>
  <c r="M60" i="16" s="1"/>
  <c r="M24" i="16"/>
  <c r="M25" i="16" s="1"/>
  <c r="M9" i="16"/>
  <c r="M10" i="16" s="1"/>
  <c r="L6" i="16"/>
  <c r="M19" i="16"/>
  <c r="M20" i="16" s="1"/>
  <c r="L34" i="16"/>
  <c r="L16" i="16"/>
  <c r="D26" i="4"/>
  <c r="D34" i="4" s="1"/>
  <c r="B34" i="16"/>
  <c r="F23" i="4"/>
  <c r="F26" i="4" s="1"/>
  <c r="F34" i="4" s="1"/>
  <c r="E6" i="16"/>
  <c r="F9" i="16"/>
  <c r="F10" i="16" s="1"/>
  <c r="F6" i="16"/>
  <c r="F8" i="16"/>
  <c r="C59" i="10"/>
  <c r="F13" i="4"/>
  <c r="G9" i="16"/>
  <c r="G10" i="16" s="1"/>
  <c r="G8" i="16"/>
  <c r="I19" i="16"/>
  <c r="I20" i="16" s="1"/>
  <c r="I16" i="16"/>
  <c r="D35" i="16"/>
  <c r="D36" i="16" s="1"/>
  <c r="D30" i="4"/>
  <c r="D32" i="4" s="1"/>
  <c r="B26" i="16"/>
  <c r="B29" i="16" s="1"/>
  <c r="C35" i="16"/>
  <c r="C36" i="16" s="1"/>
  <c r="K29" i="16"/>
  <c r="E16" i="16"/>
  <c r="G12" i="16"/>
  <c r="G16" i="16"/>
  <c r="F22" i="16"/>
  <c r="G22" i="16"/>
  <c r="G35" i="16"/>
  <c r="G36" i="16" s="1"/>
  <c r="D58" i="16"/>
  <c r="D60" i="16" s="1"/>
  <c r="C58" i="16"/>
  <c r="D40" i="22" s="1"/>
  <c r="I22" i="16"/>
  <c r="I35" i="16"/>
  <c r="I36" i="16" s="1"/>
  <c r="D34" i="16"/>
  <c r="E58" i="16"/>
  <c r="E59" i="16" s="1"/>
  <c r="I58" i="16"/>
  <c r="I60" i="16" s="1"/>
  <c r="E22" i="16"/>
  <c r="K16" i="16"/>
  <c r="G19" i="16"/>
  <c r="G20" i="16" s="1"/>
  <c r="C22" i="16"/>
  <c r="J22" i="16"/>
  <c r="F24" i="16"/>
  <c r="F35" i="4"/>
  <c r="J35" i="16"/>
  <c r="J36" i="16" s="1"/>
  <c r="F35" i="16"/>
  <c r="F36" i="16" s="1"/>
  <c r="I34" i="16"/>
  <c r="E34" i="16"/>
  <c r="K22" i="16"/>
  <c r="G26" i="16"/>
  <c r="G29" i="16" s="1"/>
  <c r="I6" i="16"/>
  <c r="I9" i="16"/>
  <c r="I10" i="16" s="1"/>
  <c r="H24" i="16"/>
  <c r="D19" i="16"/>
  <c r="D20" i="16" s="1"/>
  <c r="K19" i="16"/>
  <c r="K20" i="16" s="1"/>
  <c r="E35" i="4"/>
  <c r="E32" i="4"/>
  <c r="C55" i="10"/>
  <c r="C14" i="10" s="1"/>
  <c r="B8" i="16"/>
  <c r="B22" i="16"/>
  <c r="C56" i="10"/>
  <c r="B9" i="16"/>
  <c r="B10" i="16" s="1"/>
  <c r="J9" i="16"/>
  <c r="J10" i="16" s="1"/>
  <c r="J12" i="16"/>
  <c r="J8" i="16"/>
  <c r="B19" i="16"/>
  <c r="F12" i="16"/>
  <c r="F19" i="16"/>
  <c r="F20" i="16" s="1"/>
  <c r="C16" i="10"/>
  <c r="I8" i="16"/>
  <c r="J24" i="16"/>
  <c r="D16" i="16"/>
  <c r="E15" i="4"/>
  <c r="E12" i="4"/>
  <c r="M29" i="16"/>
  <c r="B35" i="16"/>
  <c r="B36" i="16" s="1"/>
  <c r="E16" i="4"/>
  <c r="F26" i="16"/>
  <c r="F29" i="16" s="1"/>
  <c r="E26" i="16"/>
  <c r="E29" i="16" s="1"/>
  <c r="H58" i="16"/>
  <c r="H60" i="16" s="1"/>
  <c r="D6" i="16"/>
  <c r="D5" i="4" s="1"/>
  <c r="E8" i="16"/>
  <c r="C53" i="10"/>
  <c r="L19" i="16"/>
  <c r="L20" i="16" s="1"/>
  <c r="D8" i="4"/>
  <c r="I24" i="16"/>
  <c r="J26" i="16"/>
  <c r="J29" i="16" s="1"/>
  <c r="M8" i="16"/>
  <c r="M6" i="16"/>
  <c r="M34" i="16"/>
  <c r="J19" i="16"/>
  <c r="J20" i="16" s="1"/>
  <c r="C16" i="16"/>
  <c r="C12" i="16"/>
  <c r="L54" i="1"/>
  <c r="H22" i="16"/>
  <c r="F8" i="22"/>
  <c r="F35" i="22" s="1"/>
  <c r="L51" i="1"/>
  <c r="K23" i="1"/>
  <c r="K25" i="1"/>
  <c r="K26" i="1" s="1"/>
  <c r="L47" i="1"/>
  <c r="H16" i="16"/>
  <c r="L53" i="1"/>
  <c r="H26" i="16"/>
  <c r="H29" i="16" s="1"/>
  <c r="M50" i="1"/>
  <c r="H19" i="16"/>
  <c r="H20" i="16" s="1"/>
  <c r="H34" i="16"/>
  <c r="C20" i="1" a="1"/>
  <c r="C20" i="1" s="1"/>
  <c r="C22" i="1" s="1"/>
  <c r="E22" i="1"/>
  <c r="M54" i="1"/>
  <c r="M49" i="1"/>
  <c r="R51" i="1"/>
  <c r="E20" i="1"/>
  <c r="K31" i="1"/>
  <c r="M48" i="1"/>
  <c r="M52" i="1"/>
  <c r="M55" i="1"/>
  <c r="H8" i="16"/>
  <c r="C51" i="10"/>
  <c r="K30" i="1"/>
  <c r="M53" i="1"/>
  <c r="H6" i="16"/>
  <c r="L55" i="1"/>
  <c r="M47" i="1"/>
  <c r="H12" i="16"/>
  <c r="L48" i="1"/>
  <c r="M51" i="1"/>
  <c r="C7" i="10"/>
  <c r="E21" i="1"/>
  <c r="L50" i="1"/>
  <c r="L49" i="1"/>
  <c r="L52" i="1"/>
  <c r="I39" i="10"/>
  <c r="I38" i="10"/>
  <c r="K24" i="3"/>
  <c r="B22" i="3"/>
  <c r="H30" i="1" s="1"/>
  <c r="B23" i="3"/>
  <c r="H31" i="1" s="1"/>
  <c r="B21" i="3"/>
  <c r="H29" i="1" s="1"/>
  <c r="B20" i="3"/>
  <c r="H28" i="1" s="1"/>
  <c r="M13" i="3"/>
  <c r="K13" i="3"/>
  <c r="B12" i="3"/>
  <c r="E23" i="1" l="1"/>
  <c r="C51" i="22"/>
  <c r="I51" i="22" s="1"/>
  <c r="G39" i="4"/>
  <c r="G38" i="4"/>
  <c r="H10" i="4" s="1"/>
  <c r="H38" i="4" s="1"/>
  <c r="C58" i="1"/>
  <c r="D36" i="10"/>
  <c r="D32" i="10"/>
  <c r="D34" i="10"/>
  <c r="D33" i="10"/>
  <c r="D35" i="10"/>
  <c r="C9" i="10" a="1"/>
  <c r="C9" i="10" s="1"/>
  <c r="C44" i="10" a="1"/>
  <c r="C44" i="10" s="1"/>
  <c r="C43" i="10" s="1"/>
  <c r="H43" i="10" s="1"/>
  <c r="I43" i="10" s="1"/>
  <c r="E35" i="10"/>
  <c r="N79" i="22"/>
  <c r="M77" i="22"/>
  <c r="Q7" i="4" s="1"/>
  <c r="F67" i="22"/>
  <c r="E34" i="10"/>
  <c r="E36" i="10"/>
  <c r="E33" i="10"/>
  <c r="F56" i="1"/>
  <c r="G26" i="4"/>
  <c r="E40" i="22"/>
  <c r="G40" i="22"/>
  <c r="F40" i="22"/>
  <c r="D53" i="4"/>
  <c r="H9" i="4" s="1"/>
  <c r="E53" i="4"/>
  <c r="G25" i="16"/>
  <c r="F60" i="16"/>
  <c r="F7" i="4"/>
  <c r="J60" i="16"/>
  <c r="E5" i="17"/>
  <c r="F5" i="17" s="1"/>
  <c r="G5" i="17" s="1"/>
  <c r="H5" i="17" s="1"/>
  <c r="I5" i="17" s="1"/>
  <c r="J5" i="17" s="1"/>
  <c r="K5" i="17" s="1"/>
  <c r="L5" i="17" s="1"/>
  <c r="M5" i="17" s="1"/>
  <c r="D87" i="17"/>
  <c r="F36" i="10"/>
  <c r="K22" i="1"/>
  <c r="E28" i="1"/>
  <c r="F34" i="10"/>
  <c r="F33" i="10"/>
  <c r="F32" i="10"/>
  <c r="B60" i="16"/>
  <c r="G36" i="10"/>
  <c r="G32" i="10"/>
  <c r="G34" i="10"/>
  <c r="G33" i="10"/>
  <c r="B59" i="16"/>
  <c r="E26" i="1" s="1"/>
  <c r="C72" i="10"/>
  <c r="C17" i="10" s="1"/>
  <c r="K28" i="1" s="1"/>
  <c r="M42" i="1"/>
  <c r="E24" i="1"/>
  <c r="D44" i="4"/>
  <c r="L13" i="16"/>
  <c r="C25" i="16"/>
  <c r="G60" i="16"/>
  <c r="E30" i="16"/>
  <c r="E31" i="16" s="1"/>
  <c r="K29" i="1"/>
  <c r="D46" i="1" a="1"/>
  <c r="D58" i="1" s="1"/>
  <c r="D59" i="16"/>
  <c r="D13" i="16"/>
  <c r="H59" i="16"/>
  <c r="F13" i="16"/>
  <c r="L25" i="16"/>
  <c r="C13" i="16"/>
  <c r="D30" i="16"/>
  <c r="D31" i="16" s="1"/>
  <c r="E60" i="16"/>
  <c r="C30" i="16"/>
  <c r="C31" i="16" s="1"/>
  <c r="K25" i="16"/>
  <c r="K13" i="16"/>
  <c r="J25" i="16"/>
  <c r="J13" i="16"/>
  <c r="F30" i="16"/>
  <c r="F31" i="16" s="1"/>
  <c r="K60" i="16"/>
  <c r="B30" i="16"/>
  <c r="B31" i="16" s="1"/>
  <c r="I59" i="16"/>
  <c r="M59" i="16"/>
  <c r="F36" i="4"/>
  <c r="E13" i="16"/>
  <c r="E25" i="16"/>
  <c r="K30" i="16"/>
  <c r="K31" i="16" s="1"/>
  <c r="F15" i="4"/>
  <c r="I46" i="1" a="1"/>
  <c r="S54" i="1" s="1"/>
  <c r="F25" i="16"/>
  <c r="D25" i="16"/>
  <c r="L59" i="16"/>
  <c r="L60" i="16"/>
  <c r="E29" i="1"/>
  <c r="E46" i="1" a="1"/>
  <c r="M31" i="1" s="1"/>
  <c r="M32" i="1"/>
  <c r="C40" i="10" s="1"/>
  <c r="H40" i="10" s="1"/>
  <c r="I40" i="10" s="1"/>
  <c r="J30" i="16"/>
  <c r="J31" i="16" s="1"/>
  <c r="H25" i="16"/>
  <c r="E36" i="4"/>
  <c r="F43" i="4" s="1"/>
  <c r="D35" i="4"/>
  <c r="D36" i="4" s="1"/>
  <c r="E44" i="4"/>
  <c r="C59" i="16"/>
  <c r="C60" i="16"/>
  <c r="H14" i="10"/>
  <c r="I14" i="10" s="1"/>
  <c r="H30" i="16"/>
  <c r="H31" i="16" s="1"/>
  <c r="I25" i="16"/>
  <c r="C15" i="10"/>
  <c r="D7" i="4"/>
  <c r="D12" i="4"/>
  <c r="D15" i="4"/>
  <c r="B13" i="16"/>
  <c r="I13" i="16"/>
  <c r="C28" i="10"/>
  <c r="I30" i="16"/>
  <c r="I31" i="16" s="1"/>
  <c r="H24" i="10"/>
  <c r="I24" i="10" s="1"/>
  <c r="M30" i="16"/>
  <c r="M31" i="16" s="1"/>
  <c r="L30" i="16"/>
  <c r="L31" i="16" s="1"/>
  <c r="C57" i="10"/>
  <c r="C21" i="10" s="1"/>
  <c r="B20" i="16"/>
  <c r="E27" i="1" s="1"/>
  <c r="C30" i="10"/>
  <c r="C12" i="10"/>
  <c r="C10" i="10"/>
  <c r="C49" i="10" s="1"/>
  <c r="C27" i="10"/>
  <c r="C13" i="10"/>
  <c r="C29" i="10"/>
  <c r="H16" i="10"/>
  <c r="I16" i="10" s="1"/>
  <c r="G8" i="22"/>
  <c r="G35" i="22" s="1"/>
  <c r="N49" i="1"/>
  <c r="C57" i="1"/>
  <c r="G30" i="16"/>
  <c r="G31" i="16" s="1"/>
  <c r="N50" i="1"/>
  <c r="N53" i="1"/>
  <c r="N48" i="1"/>
  <c r="N51" i="1"/>
  <c r="N54" i="1"/>
  <c r="N52" i="1"/>
  <c r="N47" i="1"/>
  <c r="D74" i="4"/>
  <c r="M26" i="1"/>
  <c r="M25" i="1"/>
  <c r="M24" i="1"/>
  <c r="L4" i="19"/>
  <c r="L56" i="1"/>
  <c r="K27" i="1"/>
  <c r="R49" i="1"/>
  <c r="H58" i="1"/>
  <c r="H13" i="16"/>
  <c r="G13" i="16"/>
  <c r="M56" i="1"/>
  <c r="M29" i="1"/>
  <c r="C25" i="1"/>
  <c r="R52" i="1"/>
  <c r="R54" i="1"/>
  <c r="R48" i="1"/>
  <c r="R50" i="1"/>
  <c r="R53" i="1"/>
  <c r="M40" i="1"/>
  <c r="B24" i="3"/>
  <c r="H25" i="1"/>
  <c r="B13" i="3"/>
  <c r="H39" i="4" l="1"/>
  <c r="D80" i="22"/>
  <c r="D78" i="22"/>
  <c r="N80" i="22"/>
  <c r="N78" i="22"/>
  <c r="G67" i="22"/>
  <c r="E79" i="22"/>
  <c r="D77" i="22"/>
  <c r="N77" i="22"/>
  <c r="R7" i="4" s="1"/>
  <c r="O79" i="22"/>
  <c r="I40" i="22"/>
  <c r="D57" i="4"/>
  <c r="E57" i="4"/>
  <c r="I39" i="22"/>
  <c r="K39" i="22" s="1"/>
  <c r="G9" i="4"/>
  <c r="H6" i="4"/>
  <c r="H27" i="4" s="1"/>
  <c r="C19" i="10"/>
  <c r="H19" i="10" s="1"/>
  <c r="I19" i="10" s="1"/>
  <c r="E91" i="16"/>
  <c r="E31" i="1"/>
  <c r="O54" i="1"/>
  <c r="O53" i="1"/>
  <c r="O49" i="1"/>
  <c r="D46" i="1"/>
  <c r="D57" i="1" s="1"/>
  <c r="O52" i="1"/>
  <c r="O51" i="1"/>
  <c r="O48" i="1"/>
  <c r="O50" i="1"/>
  <c r="G46" i="1" a="1"/>
  <c r="G46" i="1" s="1"/>
  <c r="H17" i="10"/>
  <c r="I17" i="10" s="1"/>
  <c r="M57" i="1"/>
  <c r="M58" i="1" s="1"/>
  <c r="S48" i="1"/>
  <c r="L57" i="1"/>
  <c r="L58" i="1" s="1"/>
  <c r="S49" i="1"/>
  <c r="S50" i="1"/>
  <c r="E46" i="1"/>
  <c r="I46" i="1"/>
  <c r="S53" i="1"/>
  <c r="S52" i="1"/>
  <c r="S51" i="1"/>
  <c r="C56" i="1"/>
  <c r="C20" i="10"/>
  <c r="H20" i="10" s="1"/>
  <c r="I20" i="10" s="1"/>
  <c r="H21" i="10"/>
  <c r="I21" i="10" s="1"/>
  <c r="H29" i="10"/>
  <c r="I29" i="10" s="1"/>
  <c r="H13" i="10"/>
  <c r="I13" i="10" s="1"/>
  <c r="H27" i="10"/>
  <c r="I27" i="10" s="1"/>
  <c r="H15" i="10"/>
  <c r="I15" i="10" s="1"/>
  <c r="C55" i="1"/>
  <c r="N55" i="1" s="1"/>
  <c r="H10" i="10"/>
  <c r="I10" i="10" s="1"/>
  <c r="H26" i="10"/>
  <c r="I26" i="10" s="1"/>
  <c r="H12" i="10"/>
  <c r="I12" i="10" s="1"/>
  <c r="H28" i="10"/>
  <c r="I28" i="10" s="1"/>
  <c r="H30" i="10"/>
  <c r="I30" i="10" s="1"/>
  <c r="C36" i="10"/>
  <c r="C35" i="10"/>
  <c r="C33" i="10"/>
  <c r="C32" i="10"/>
  <c r="H9" i="10"/>
  <c r="I9" i="10" s="1"/>
  <c r="C34" i="10"/>
  <c r="H44" i="10"/>
  <c r="I44" i="10" s="1"/>
  <c r="C46" i="10"/>
  <c r="M27" i="1"/>
  <c r="M28" i="1"/>
  <c r="H55" i="1"/>
  <c r="H57" i="1"/>
  <c r="O78" i="22" l="1"/>
  <c r="O80" i="22"/>
  <c r="I10" i="4"/>
  <c r="I38" i="4" s="1"/>
  <c r="E80" i="22"/>
  <c r="E78" i="22"/>
  <c r="G41" i="4"/>
  <c r="H41" i="4" s="1"/>
  <c r="G12" i="4"/>
  <c r="E77" i="22"/>
  <c r="F79" i="22"/>
  <c r="P79" i="22"/>
  <c r="O77" i="22"/>
  <c r="S7" i="4" s="1"/>
  <c r="H67" i="22"/>
  <c r="H56" i="1"/>
  <c r="D56" i="4"/>
  <c r="E56" i="4"/>
  <c r="G13" i="4"/>
  <c r="G15" i="4" s="1"/>
  <c r="H7" i="4"/>
  <c r="H8" i="4" s="1"/>
  <c r="H12" i="4" s="1"/>
  <c r="H44" i="4" s="1"/>
  <c r="H23" i="4"/>
  <c r="H40" i="4" s="1"/>
  <c r="H21" i="4"/>
  <c r="H24" i="4"/>
  <c r="H5" i="4"/>
  <c r="H25" i="4" s="1"/>
  <c r="D55" i="1"/>
  <c r="O55" i="1" s="1"/>
  <c r="O47" i="1"/>
  <c r="D56" i="1" s="1"/>
  <c r="H49" i="10"/>
  <c r="I49" i="10" s="1"/>
  <c r="H34" i="10"/>
  <c r="I34" i="10" s="1"/>
  <c r="H32" i="10"/>
  <c r="I32" i="10" s="1"/>
  <c r="H33" i="10"/>
  <c r="I33" i="10" s="1"/>
  <c r="H35" i="10"/>
  <c r="I35" i="10" s="1"/>
  <c r="H46" i="10"/>
  <c r="I46" i="10" s="1"/>
  <c r="H36" i="10"/>
  <c r="I36" i="10" s="1"/>
  <c r="I39" i="4" l="1"/>
  <c r="J10" i="4"/>
  <c r="J38" i="4" s="1"/>
  <c r="P78" i="22"/>
  <c r="P80" i="22"/>
  <c r="F80" i="22"/>
  <c r="F78" i="22"/>
  <c r="G44" i="4"/>
  <c r="G28" i="4" s="1"/>
  <c r="G16" i="4"/>
  <c r="G17" i="4" s="1"/>
  <c r="Q79" i="22"/>
  <c r="P77" i="22"/>
  <c r="T7" i="4" s="1"/>
  <c r="F77" i="22"/>
  <c r="G79" i="22"/>
  <c r="I67" i="22"/>
  <c r="I38" i="22"/>
  <c r="K38" i="22" s="1"/>
  <c r="E66" i="22"/>
  <c r="I6" i="4" s="1"/>
  <c r="H26" i="4"/>
  <c r="I7" i="4"/>
  <c r="H14" i="4"/>
  <c r="H31" i="4"/>
  <c r="I9" i="4"/>
  <c r="J39" i="4" l="1"/>
  <c r="K10" i="4"/>
  <c r="K38" i="4" s="1"/>
  <c r="G78" i="22"/>
  <c r="G80" i="22"/>
  <c r="Q80" i="22"/>
  <c r="Q78" i="22"/>
  <c r="G30" i="4"/>
  <c r="H28" i="4"/>
  <c r="G77" i="22"/>
  <c r="K7" i="4" s="1"/>
  <c r="H79" i="22"/>
  <c r="R79" i="22"/>
  <c r="Q77" i="22"/>
  <c r="U7" i="4" s="1"/>
  <c r="J67" i="22"/>
  <c r="G29" i="4"/>
  <c r="D55" i="4"/>
  <c r="G11" i="4" s="1"/>
  <c r="G19" i="4" s="1"/>
  <c r="E55" i="4"/>
  <c r="F66" i="22"/>
  <c r="J6" i="4" s="1"/>
  <c r="J7" i="4"/>
  <c r="I41" i="4"/>
  <c r="I27" i="4"/>
  <c r="I5" i="4"/>
  <c r="I24" i="4"/>
  <c r="I23" i="4"/>
  <c r="I8" i="4"/>
  <c r="I12" i="4" s="1"/>
  <c r="I44" i="4" s="1"/>
  <c r="I28" i="4" s="1"/>
  <c r="I21" i="4"/>
  <c r="K39" i="4" l="1"/>
  <c r="R80" i="22"/>
  <c r="R78" i="22"/>
  <c r="H78" i="22"/>
  <c r="H80" i="22"/>
  <c r="G35" i="4"/>
  <c r="L10" i="4"/>
  <c r="L38" i="4" s="1"/>
  <c r="G32" i="4"/>
  <c r="S79" i="22"/>
  <c r="R77" i="22"/>
  <c r="V7" i="4" s="1"/>
  <c r="L67" i="22"/>
  <c r="K67" i="22"/>
  <c r="I79" i="22"/>
  <c r="H77" i="22"/>
  <c r="L7" i="4" s="1"/>
  <c r="I11" i="4"/>
  <c r="I20" i="4" s="1"/>
  <c r="H11" i="4"/>
  <c r="H20" i="4" s="1"/>
  <c r="G66" i="22"/>
  <c r="K6" i="4" s="1"/>
  <c r="G20" i="4"/>
  <c r="I40" i="4"/>
  <c r="I31" i="4"/>
  <c r="I25" i="4"/>
  <c r="I14" i="4"/>
  <c r="J23" i="4"/>
  <c r="J5" i="4"/>
  <c r="J8" i="4"/>
  <c r="J24" i="4"/>
  <c r="J21" i="4"/>
  <c r="J27" i="4"/>
  <c r="J11" i="4"/>
  <c r="J20" i="4" s="1"/>
  <c r="L39" i="4" l="1"/>
  <c r="I80" i="22"/>
  <c r="I78" i="22"/>
  <c r="S80" i="22"/>
  <c r="S78" i="22"/>
  <c r="G22" i="4"/>
  <c r="G34" i="4" s="1"/>
  <c r="G36" i="4" s="1"/>
  <c r="J79" i="22"/>
  <c r="I77" i="22"/>
  <c r="M7" i="4" s="1"/>
  <c r="T79" i="22"/>
  <c r="S77" i="22"/>
  <c r="W7" i="4" s="1"/>
  <c r="H66" i="22"/>
  <c r="L6" i="4" s="1"/>
  <c r="J31" i="4"/>
  <c r="J25" i="4"/>
  <c r="J26" i="4" s="1"/>
  <c r="J14" i="4"/>
  <c r="K27" i="4"/>
  <c r="K8" i="4"/>
  <c r="K5" i="4"/>
  <c r="K21" i="4"/>
  <c r="K24" i="4"/>
  <c r="K23" i="4"/>
  <c r="K11" i="4"/>
  <c r="K20" i="4" s="1"/>
  <c r="J9" i="4"/>
  <c r="J40" i="4"/>
  <c r="I26" i="4"/>
  <c r="J80" i="22" l="1"/>
  <c r="J78" i="22"/>
  <c r="T80" i="22"/>
  <c r="T78" i="22"/>
  <c r="M10" i="4"/>
  <c r="M38" i="4" s="1"/>
  <c r="I66" i="22"/>
  <c r="M6" i="4" s="1"/>
  <c r="K79" i="22"/>
  <c r="J77" i="22"/>
  <c r="N7" i="4" s="1"/>
  <c r="T77" i="22"/>
  <c r="X7" i="4" s="1"/>
  <c r="U79" i="22"/>
  <c r="L8" i="4"/>
  <c r="L21" i="4"/>
  <c r="L23" i="4"/>
  <c r="L24" i="4"/>
  <c r="L27" i="4"/>
  <c r="L11" i="4"/>
  <c r="L20" i="4" s="1"/>
  <c r="L5" i="4"/>
  <c r="K14" i="4"/>
  <c r="K31" i="4"/>
  <c r="K25" i="4"/>
  <c r="J12" i="4"/>
  <c r="J44" i="4" s="1"/>
  <c r="J28" i="4" s="1"/>
  <c r="J41" i="4"/>
  <c r="K40" i="4"/>
  <c r="K9" i="4"/>
  <c r="K12" i="4" s="1"/>
  <c r="K44" i="4" s="1"/>
  <c r="M39" i="4" l="1"/>
  <c r="K80" i="22"/>
  <c r="K78" i="22"/>
  <c r="U80" i="22"/>
  <c r="U78" i="22"/>
  <c r="G43" i="4"/>
  <c r="H13" i="4" s="1"/>
  <c r="H15" i="4" s="1"/>
  <c r="H16" i="4" s="1"/>
  <c r="H17" i="4" s="1"/>
  <c r="H19" i="4" s="1"/>
  <c r="J66" i="22"/>
  <c r="K66" i="22" s="1"/>
  <c r="V79" i="22"/>
  <c r="U77" i="22"/>
  <c r="Y7" i="4" s="1"/>
  <c r="L79" i="22"/>
  <c r="K77" i="22"/>
  <c r="O7" i="4" s="1"/>
  <c r="L14" i="4"/>
  <c r="L9" i="4"/>
  <c r="L12" i="4" s="1"/>
  <c r="L44" i="4" s="1"/>
  <c r="L28" i="4" s="1"/>
  <c r="L40" i="4"/>
  <c r="K26" i="4"/>
  <c r="M23" i="4"/>
  <c r="M24" i="4"/>
  <c r="M11" i="4"/>
  <c r="M20" i="4" s="1"/>
  <c r="M27" i="4"/>
  <c r="M5" i="4"/>
  <c r="M21" i="4"/>
  <c r="M8" i="4"/>
  <c r="K28" i="4"/>
  <c r="K41" i="4"/>
  <c r="L31" i="4"/>
  <c r="L25" i="4"/>
  <c r="L26" i="4" s="1"/>
  <c r="L80" i="22" l="1"/>
  <c r="L78" i="22"/>
  <c r="V80" i="22"/>
  <c r="V78" i="22"/>
  <c r="H22" i="4"/>
  <c r="H34" i="4" s="1"/>
  <c r="H30" i="4"/>
  <c r="H29" i="4"/>
  <c r="N10" i="4"/>
  <c r="N38" i="4" s="1"/>
  <c r="N6" i="4"/>
  <c r="N8" i="4" s="1"/>
  <c r="W79" i="22"/>
  <c r="V77" i="22"/>
  <c r="Z7" i="4" s="1"/>
  <c r="L77" i="22"/>
  <c r="P7" i="4" s="1"/>
  <c r="L66" i="22"/>
  <c r="O6" i="4"/>
  <c r="M9" i="4"/>
  <c r="M12" i="4" s="1"/>
  <c r="M44" i="4" s="1"/>
  <c r="M28" i="4" s="1"/>
  <c r="M40" i="4"/>
  <c r="M31" i="4"/>
  <c r="M25" i="4"/>
  <c r="M26" i="4" s="1"/>
  <c r="L41" i="4"/>
  <c r="M14" i="4"/>
  <c r="N39" i="4" l="1"/>
  <c r="W78" i="22"/>
  <c r="W80" i="22"/>
  <c r="H35" i="4"/>
  <c r="H36" i="4" s="1"/>
  <c r="H43" i="4" s="1"/>
  <c r="I13" i="4" s="1"/>
  <c r="I15" i="4" s="1"/>
  <c r="I16" i="4" s="1"/>
  <c r="I17" i="4" s="1"/>
  <c r="I19" i="4" s="1"/>
  <c r="H32" i="4"/>
  <c r="N11" i="4"/>
  <c r="N20" i="4" s="1"/>
  <c r="N21" i="4"/>
  <c r="N24" i="4"/>
  <c r="N5" i="4"/>
  <c r="N25" i="4" s="1"/>
  <c r="N23" i="4"/>
  <c r="N40" i="4" s="1"/>
  <c r="N27" i="4"/>
  <c r="W77" i="22"/>
  <c r="AA7" i="4" s="1"/>
  <c r="X79" i="22"/>
  <c r="M41" i="4"/>
  <c r="N9" i="4"/>
  <c r="N12" i="4" s="1"/>
  <c r="N44" i="4" s="1"/>
  <c r="N28" i="4" s="1"/>
  <c r="O5" i="4"/>
  <c r="O21" i="4"/>
  <c r="O8" i="4"/>
  <c r="O27" i="4"/>
  <c r="O24" i="4"/>
  <c r="O11" i="4"/>
  <c r="O20" i="4" s="1"/>
  <c r="O23" i="4"/>
  <c r="M66" i="22"/>
  <c r="P6" i="4"/>
  <c r="X78" i="22" l="1"/>
  <c r="X80" i="22"/>
  <c r="I22" i="4"/>
  <c r="I34" i="4" s="1"/>
  <c r="I29" i="4"/>
  <c r="I30" i="4"/>
  <c r="O10" i="4"/>
  <c r="O38" i="4" s="1"/>
  <c r="N26" i="4"/>
  <c r="N14" i="4"/>
  <c r="O14" i="4" s="1"/>
  <c r="N31" i="4"/>
  <c r="O31" i="4" s="1"/>
  <c r="Y79" i="22"/>
  <c r="X77" i="22"/>
  <c r="AB7" i="4" s="1"/>
  <c r="O25" i="4"/>
  <c r="O26" i="4" s="1"/>
  <c r="O9" i="4"/>
  <c r="O40" i="4"/>
  <c r="N41" i="4"/>
  <c r="N66" i="22"/>
  <c r="Q6" i="4"/>
  <c r="P8" i="4"/>
  <c r="P21" i="4"/>
  <c r="P24" i="4"/>
  <c r="P23" i="4"/>
  <c r="P27" i="4"/>
  <c r="P11" i="4"/>
  <c r="P20" i="4" s="1"/>
  <c r="P5" i="4"/>
  <c r="O39" i="4" l="1"/>
  <c r="Y80" i="22"/>
  <c r="Y78" i="22"/>
  <c r="I32" i="4"/>
  <c r="I35" i="4"/>
  <c r="I36" i="4" s="1"/>
  <c r="I43" i="4" s="1"/>
  <c r="J13" i="4" s="1"/>
  <c r="J15" i="4" s="1"/>
  <c r="J16" i="4" s="1"/>
  <c r="J17" i="4" s="1"/>
  <c r="O12" i="4"/>
  <c r="O44" i="4" s="1"/>
  <c r="O28" i="4" s="1"/>
  <c r="Z79" i="22"/>
  <c r="Y77" i="22"/>
  <c r="AC7" i="4" s="1"/>
  <c r="O41" i="4"/>
  <c r="Q27" i="4"/>
  <c r="Q24" i="4"/>
  <c r="Q23" i="4"/>
  <c r="Q5" i="4"/>
  <c r="Q11" i="4"/>
  <c r="Q20" i="4" s="1"/>
  <c r="Q8" i="4"/>
  <c r="Q21" i="4"/>
  <c r="O66" i="22"/>
  <c r="R6" i="4"/>
  <c r="P40" i="4"/>
  <c r="P9" i="4"/>
  <c r="P14" i="4"/>
  <c r="P25" i="4"/>
  <c r="P26" i="4" s="1"/>
  <c r="P31" i="4"/>
  <c r="J19" i="4" l="1"/>
  <c r="J22" i="4" s="1"/>
  <c r="J34" i="4" s="1"/>
  <c r="Z80" i="22"/>
  <c r="Z78" i="22"/>
  <c r="J30" i="4"/>
  <c r="J29" i="4"/>
  <c r="P10" i="4"/>
  <c r="P38" i="4" s="1"/>
  <c r="AA79" i="22"/>
  <c r="Z77" i="22"/>
  <c r="AD7" i="4" s="1"/>
  <c r="P41" i="4"/>
  <c r="Q25" i="4"/>
  <c r="Q26" i="4" s="1"/>
  <c r="Q31" i="4"/>
  <c r="Q14" i="4"/>
  <c r="Q9" i="4"/>
  <c r="Q40" i="4"/>
  <c r="R27" i="4"/>
  <c r="R23" i="4"/>
  <c r="R5" i="4"/>
  <c r="R11" i="4"/>
  <c r="R20" i="4" s="1"/>
  <c r="R8" i="4"/>
  <c r="R21" i="4"/>
  <c r="R24" i="4"/>
  <c r="P66" i="22"/>
  <c r="S6" i="4"/>
  <c r="P39" i="4" l="1"/>
  <c r="AA80" i="22"/>
  <c r="AA78" i="22"/>
  <c r="J35" i="4"/>
  <c r="J36" i="4" s="1"/>
  <c r="J43" i="4" s="1"/>
  <c r="K13" i="4" s="1"/>
  <c r="K15" i="4" s="1"/>
  <c r="K16" i="4" s="1"/>
  <c r="K17" i="4" s="1"/>
  <c r="K19" i="4" s="1"/>
  <c r="J32" i="4"/>
  <c r="P12" i="4"/>
  <c r="P44" i="4" s="1"/>
  <c r="P28" i="4" s="1"/>
  <c r="AB79" i="22"/>
  <c r="AA77" i="22"/>
  <c r="AE7" i="4" s="1"/>
  <c r="Q41" i="4"/>
  <c r="R40" i="4"/>
  <c r="R9" i="4"/>
  <c r="R25" i="4"/>
  <c r="R26" i="4" s="1"/>
  <c r="R31" i="4"/>
  <c r="S27" i="4"/>
  <c r="S8" i="4"/>
  <c r="S11" i="4"/>
  <c r="S20" i="4" s="1"/>
  <c r="S5" i="4"/>
  <c r="S21" i="4"/>
  <c r="S23" i="4"/>
  <c r="S24" i="4"/>
  <c r="Q66" i="22"/>
  <c r="T6" i="4"/>
  <c r="R14" i="4"/>
  <c r="AB80" i="22" l="1"/>
  <c r="AB78" i="22"/>
  <c r="K22" i="4"/>
  <c r="K34" i="4" s="1"/>
  <c r="K29" i="4"/>
  <c r="K30" i="4"/>
  <c r="Q10" i="4"/>
  <c r="Q39" i="4" s="1"/>
  <c r="AB77" i="22"/>
  <c r="AF7" i="4" s="1"/>
  <c r="S25" i="4"/>
  <c r="S26" i="4" s="1"/>
  <c r="S31" i="4"/>
  <c r="T5" i="4"/>
  <c r="T23" i="4"/>
  <c r="T24" i="4"/>
  <c r="T27" i="4"/>
  <c r="T11" i="4"/>
  <c r="T20" i="4" s="1"/>
  <c r="T21" i="4"/>
  <c r="T8" i="4"/>
  <c r="R66" i="22"/>
  <c r="U6" i="4"/>
  <c r="S14" i="4"/>
  <c r="S40" i="4"/>
  <c r="S9" i="4"/>
  <c r="R41" i="4"/>
  <c r="Q38" i="4" l="1"/>
  <c r="K35" i="4"/>
  <c r="K36" i="4" s="1"/>
  <c r="K43" i="4" s="1"/>
  <c r="L13" i="4" s="1"/>
  <c r="L15" i="4" s="1"/>
  <c r="L16" i="4" s="1"/>
  <c r="L17" i="4" s="1"/>
  <c r="K32" i="4"/>
  <c r="Q12" i="4"/>
  <c r="Q44" i="4" s="1"/>
  <c r="Q28" i="4" s="1"/>
  <c r="S66" i="22"/>
  <c r="V6" i="4"/>
  <c r="T25" i="4"/>
  <c r="T26" i="4" s="1"/>
  <c r="T31" i="4"/>
  <c r="T40" i="4"/>
  <c r="T9" i="4"/>
  <c r="T14" i="4"/>
  <c r="S41" i="4"/>
  <c r="U23" i="4"/>
  <c r="U24" i="4"/>
  <c r="U11" i="4"/>
  <c r="U20" i="4" s="1"/>
  <c r="U5" i="4"/>
  <c r="U27" i="4"/>
  <c r="U8" i="4"/>
  <c r="U21" i="4"/>
  <c r="L19" i="4" l="1"/>
  <c r="L22" i="4" s="1"/>
  <c r="L34" i="4" s="1"/>
  <c r="L29" i="4"/>
  <c r="L30" i="4"/>
  <c r="R10" i="4"/>
  <c r="R39" i="4" s="1"/>
  <c r="U14" i="4"/>
  <c r="U9" i="4"/>
  <c r="U40" i="4"/>
  <c r="T41" i="4"/>
  <c r="V24" i="4"/>
  <c r="V11" i="4"/>
  <c r="V20" i="4" s="1"/>
  <c r="V5" i="4"/>
  <c r="V8" i="4"/>
  <c r="V27" i="4"/>
  <c r="V21" i="4"/>
  <c r="V23" i="4"/>
  <c r="U25" i="4"/>
  <c r="U26" i="4" s="1"/>
  <c r="U31" i="4"/>
  <c r="T66" i="22"/>
  <c r="W6" i="4"/>
  <c r="R38" i="4" l="1"/>
  <c r="L35" i="4"/>
  <c r="L36" i="4" s="1"/>
  <c r="L43" i="4" s="1"/>
  <c r="M13" i="4" s="1"/>
  <c r="M15" i="4" s="1"/>
  <c r="M16" i="4" s="1"/>
  <c r="M17" i="4" s="1"/>
  <c r="L32" i="4"/>
  <c r="R12" i="4"/>
  <c r="R44" i="4" s="1"/>
  <c r="R28" i="4" s="1"/>
  <c r="U41" i="4"/>
  <c r="U66" i="22"/>
  <c r="V66" i="22" s="1"/>
  <c r="X6" i="4"/>
  <c r="W8" i="4"/>
  <c r="W21" i="4"/>
  <c r="W11" i="4"/>
  <c r="W20" i="4" s="1"/>
  <c r="W27" i="4"/>
  <c r="W23" i="4"/>
  <c r="W24" i="4"/>
  <c r="W5" i="4"/>
  <c r="V25" i="4"/>
  <c r="V26" i="4" s="1"/>
  <c r="V14" i="4"/>
  <c r="V31" i="4"/>
  <c r="V9" i="4"/>
  <c r="V40" i="4"/>
  <c r="M19" i="4" l="1"/>
  <c r="M22" i="4" s="1"/>
  <c r="M34" i="4" s="1"/>
  <c r="M29" i="4"/>
  <c r="M30" i="4"/>
  <c r="S10" i="4"/>
  <c r="S39" i="4" s="1"/>
  <c r="V41" i="4"/>
  <c r="W25" i="4"/>
  <c r="W26" i="4" s="1"/>
  <c r="W31" i="4"/>
  <c r="Y6" i="4"/>
  <c r="W14" i="4"/>
  <c r="X21" i="4"/>
  <c r="X24" i="4"/>
  <c r="X23" i="4"/>
  <c r="X27" i="4"/>
  <c r="X8" i="4"/>
  <c r="X5" i="4"/>
  <c r="X11" i="4"/>
  <c r="X20" i="4" s="1"/>
  <c r="W40" i="4"/>
  <c r="W9" i="4"/>
  <c r="S38" i="4" l="1"/>
  <c r="M32" i="4"/>
  <c r="M35" i="4"/>
  <c r="M36" i="4" s="1"/>
  <c r="M43" i="4" s="1"/>
  <c r="N13" i="4" s="1"/>
  <c r="N15" i="4" s="1"/>
  <c r="N16" i="4" s="1"/>
  <c r="N17" i="4" s="1"/>
  <c r="S12" i="4"/>
  <c r="S44" i="4" s="1"/>
  <c r="S28" i="4" s="1"/>
  <c r="W41" i="4"/>
  <c r="W66" i="22"/>
  <c r="Z6" i="4"/>
  <c r="Y27" i="4"/>
  <c r="Y21" i="4"/>
  <c r="Y24" i="4"/>
  <c r="Y23" i="4"/>
  <c r="Y11" i="4"/>
  <c r="Y20" i="4" s="1"/>
  <c r="Y5" i="4"/>
  <c r="Y8" i="4"/>
  <c r="X9" i="4"/>
  <c r="X40" i="4"/>
  <c r="X25" i="4"/>
  <c r="X26" i="4" s="1"/>
  <c r="X31" i="4"/>
  <c r="X14" i="4"/>
  <c r="N19" i="4" l="1"/>
  <c r="N22" i="4" s="1"/>
  <c r="N34" i="4" s="1"/>
  <c r="N30" i="4"/>
  <c r="N29" i="4"/>
  <c r="T10" i="4"/>
  <c r="T39" i="4" s="1"/>
  <c r="Z27" i="4"/>
  <c r="Z23" i="4"/>
  <c r="Z8" i="4"/>
  <c r="Z11" i="4"/>
  <c r="Z20" i="4" s="1"/>
  <c r="Z5" i="4"/>
  <c r="Z24" i="4"/>
  <c r="Z21" i="4"/>
  <c r="Y25" i="4"/>
  <c r="Y26" i="4" s="1"/>
  <c r="Y31" i="4"/>
  <c r="X66" i="22"/>
  <c r="AA6" i="4"/>
  <c r="Y14" i="4"/>
  <c r="Y40" i="4"/>
  <c r="Y9" i="4"/>
  <c r="X41" i="4"/>
  <c r="T38" i="4" l="1"/>
  <c r="U10" i="4"/>
  <c r="U12" i="4" s="1"/>
  <c r="U44" i="4" s="1"/>
  <c r="N32" i="4"/>
  <c r="N35" i="4"/>
  <c r="N36" i="4" s="1"/>
  <c r="N43" i="4" s="1"/>
  <c r="O13" i="4" s="1"/>
  <c r="O15" i="4" s="1"/>
  <c r="O16" i="4" s="1"/>
  <c r="O17" i="4" s="1"/>
  <c r="T12" i="4"/>
  <c r="T44" i="4" s="1"/>
  <c r="T28" i="4" s="1"/>
  <c r="Y41" i="4"/>
  <c r="AA27" i="4"/>
  <c r="AA8" i="4"/>
  <c r="AA21" i="4"/>
  <c r="AA11" i="4"/>
  <c r="AA20" i="4" s="1"/>
  <c r="AA5" i="4"/>
  <c r="AA24" i="4"/>
  <c r="AA23" i="4"/>
  <c r="Z14" i="4"/>
  <c r="Z25" i="4"/>
  <c r="Z26" i="4" s="1"/>
  <c r="Z31" i="4"/>
  <c r="Y66" i="22"/>
  <c r="AB6" i="4"/>
  <c r="Z40" i="4"/>
  <c r="Z9" i="4"/>
  <c r="U39" i="4" l="1"/>
  <c r="U38" i="4"/>
  <c r="O19" i="4"/>
  <c r="O22" i="4" s="1"/>
  <c r="O34" i="4" s="1"/>
  <c r="O29" i="4"/>
  <c r="O30" i="4"/>
  <c r="U28" i="4"/>
  <c r="AA25" i="4"/>
  <c r="AA26" i="4" s="1"/>
  <c r="AA31" i="4"/>
  <c r="Z41" i="4"/>
  <c r="AA9" i="4"/>
  <c r="AA40" i="4"/>
  <c r="AB5" i="4"/>
  <c r="AB24" i="4"/>
  <c r="AB23" i="4"/>
  <c r="AB27" i="4"/>
  <c r="AB11" i="4"/>
  <c r="AB20" i="4" s="1"/>
  <c r="AB8" i="4"/>
  <c r="AB21" i="4"/>
  <c r="Z66" i="22"/>
  <c r="AC6" i="4"/>
  <c r="AA14" i="4"/>
  <c r="O35" i="4" l="1"/>
  <c r="O36" i="4" s="1"/>
  <c r="O43" i="4" s="1"/>
  <c r="P13" i="4" s="1"/>
  <c r="P15" i="4" s="1"/>
  <c r="P16" i="4" s="1"/>
  <c r="P17" i="4" s="1"/>
  <c r="O32" i="4"/>
  <c r="V10" i="4"/>
  <c r="V39" i="4" s="1"/>
  <c r="AB14" i="4"/>
  <c r="AA41" i="4"/>
  <c r="AA66" i="22"/>
  <c r="AD6" i="4"/>
  <c r="AB9" i="4"/>
  <c r="AB40" i="4"/>
  <c r="AC23" i="4"/>
  <c r="AC24" i="4"/>
  <c r="AC27" i="4"/>
  <c r="AC11" i="4"/>
  <c r="AC20" i="4" s="1"/>
  <c r="AC21" i="4"/>
  <c r="AC8" i="4"/>
  <c r="AC5" i="4"/>
  <c r="AB25" i="4"/>
  <c r="AB26" i="4" s="1"/>
  <c r="AB31" i="4"/>
  <c r="V38" i="4" l="1"/>
  <c r="P19" i="4"/>
  <c r="P22" i="4" s="1"/>
  <c r="P34" i="4" s="1"/>
  <c r="P29" i="4"/>
  <c r="P30" i="4"/>
  <c r="V12" i="4"/>
  <c r="V44" i="4" s="1"/>
  <c r="V28" i="4" s="1"/>
  <c r="AD24" i="4"/>
  <c r="AD11" i="4"/>
  <c r="AD20" i="4" s="1"/>
  <c r="AD5" i="4"/>
  <c r="AD21" i="4"/>
  <c r="AD8" i="4"/>
  <c r="AD27" i="4"/>
  <c r="AD23" i="4"/>
  <c r="AB66" i="22"/>
  <c r="AF6" i="4" s="1"/>
  <c r="AE6" i="4"/>
  <c r="AC9" i="4"/>
  <c r="AC40" i="4"/>
  <c r="AB41" i="4"/>
  <c r="AC25" i="4"/>
  <c r="AC26" i="4" s="1"/>
  <c r="AC31" i="4"/>
  <c r="AC14" i="4"/>
  <c r="P35" i="4" l="1"/>
  <c r="P36" i="4" s="1"/>
  <c r="P43" i="4" s="1"/>
  <c r="Q13" i="4" s="1"/>
  <c r="Q15" i="4" s="1"/>
  <c r="Q16" i="4" s="1"/>
  <c r="Q17" i="4" s="1"/>
  <c r="P32" i="4"/>
  <c r="W10" i="4"/>
  <c r="W39" i="4" s="1"/>
  <c r="AC41" i="4"/>
  <c r="AD40" i="4"/>
  <c r="AD9" i="4"/>
  <c r="AD25" i="4"/>
  <c r="AD26" i="4" s="1"/>
  <c r="AD31" i="4"/>
  <c r="AD14" i="4"/>
  <c r="AE5" i="4"/>
  <c r="AE8" i="4"/>
  <c r="AE11" i="4"/>
  <c r="AE20" i="4" s="1"/>
  <c r="AE21" i="4"/>
  <c r="AE27" i="4"/>
  <c r="AE24" i="4"/>
  <c r="AE23" i="4"/>
  <c r="AF8" i="4"/>
  <c r="AF27" i="4"/>
  <c r="AF11" i="4"/>
  <c r="AF20" i="4" s="1"/>
  <c r="AF21" i="4"/>
  <c r="AF24" i="4"/>
  <c r="AF5" i="4"/>
  <c r="AF23" i="4"/>
  <c r="W38" i="4" l="1"/>
  <c r="Q19" i="4"/>
  <c r="Q22" i="4" s="1"/>
  <c r="Q34" i="4" s="1"/>
  <c r="Q30" i="4"/>
  <c r="Q29" i="4"/>
  <c r="W12" i="4"/>
  <c r="W44" i="4" s="1"/>
  <c r="W28" i="4" s="1"/>
  <c r="AE14" i="4"/>
  <c r="AF14" i="4" s="1"/>
  <c r="AG23" i="4"/>
  <c r="AE25" i="4"/>
  <c r="AE26" i="4" s="1"/>
  <c r="AE31" i="4"/>
  <c r="AF31" i="4" s="1"/>
  <c r="AE40" i="4"/>
  <c r="AE9" i="4"/>
  <c r="AD41" i="4"/>
  <c r="Q35" i="4" l="1"/>
  <c r="Q36" i="4" s="1"/>
  <c r="Q43" i="4" s="1"/>
  <c r="R13" i="4" s="1"/>
  <c r="R15" i="4" s="1"/>
  <c r="R16" i="4" s="1"/>
  <c r="R17" i="4" s="1"/>
  <c r="R19" i="4" s="1"/>
  <c r="R22" i="4" s="1"/>
  <c r="R34" i="4" s="1"/>
  <c r="Q32" i="4"/>
  <c r="X10" i="4"/>
  <c r="X39" i="4" s="1"/>
  <c r="AF25" i="4"/>
  <c r="AF26" i="4" s="1"/>
  <c r="AF9" i="4"/>
  <c r="AG9" i="4" s="1"/>
  <c r="AH24" i="4" s="1"/>
  <c r="AF40" i="4"/>
  <c r="AG40" i="4" s="1"/>
  <c r="AE41" i="4"/>
  <c r="X38" i="4" l="1"/>
  <c r="R30" i="4"/>
  <c r="R29" i="4"/>
  <c r="X12" i="4"/>
  <c r="X44" i="4" s="1"/>
  <c r="X28" i="4" s="1"/>
  <c r="AF41" i="4"/>
  <c r="AG41" i="4" s="1"/>
  <c r="R35" i="4" l="1"/>
  <c r="R36" i="4" s="1"/>
  <c r="R43" i="4" s="1"/>
  <c r="S13" i="4" s="1"/>
  <c r="S15" i="4" s="1"/>
  <c r="S16" i="4" s="1"/>
  <c r="S17" i="4" s="1"/>
  <c r="S19" i="4" s="1"/>
  <c r="S22" i="4" s="1"/>
  <c r="S34" i="4" s="1"/>
  <c r="R32" i="4"/>
  <c r="Y10" i="4"/>
  <c r="Y38" i="4" l="1"/>
  <c r="Y39" i="4"/>
  <c r="S30" i="4"/>
  <c r="S29" i="4"/>
  <c r="Y12" i="4"/>
  <c r="Y44" i="4" s="1"/>
  <c r="Y28" i="4" s="1"/>
  <c r="S32" i="4" l="1"/>
  <c r="S35" i="4"/>
  <c r="S36" i="4" s="1"/>
  <c r="S43" i="4" s="1"/>
  <c r="T13" i="4" s="1"/>
  <c r="T15" i="4" s="1"/>
  <c r="T16" i="4" s="1"/>
  <c r="T17" i="4" s="1"/>
  <c r="T19" i="4" s="1"/>
  <c r="T22" i="4" s="1"/>
  <c r="T34" i="4" s="1"/>
  <c r="Z10" i="4"/>
  <c r="Z38" i="4" s="1"/>
  <c r="Z39" i="4" l="1"/>
  <c r="T30" i="4"/>
  <c r="T29" i="4"/>
  <c r="Z12" i="4"/>
  <c r="Z44" i="4" s="1"/>
  <c r="Z28" i="4" s="1"/>
  <c r="T35" i="4" l="1"/>
  <c r="T36" i="4" s="1"/>
  <c r="T43" i="4" s="1"/>
  <c r="U13" i="4" s="1"/>
  <c r="U15" i="4" s="1"/>
  <c r="U16" i="4" s="1"/>
  <c r="U17" i="4" s="1"/>
  <c r="U19" i="4" s="1"/>
  <c r="U22" i="4" s="1"/>
  <c r="U34" i="4" s="1"/>
  <c r="T32" i="4"/>
  <c r="AA10" i="4"/>
  <c r="AA38" i="4" s="1"/>
  <c r="AA39" i="4" l="1"/>
  <c r="U30" i="4"/>
  <c r="U29" i="4"/>
  <c r="AA12" i="4"/>
  <c r="AA44" i="4" s="1"/>
  <c r="AA28" i="4" s="1"/>
  <c r="U32" i="4" l="1"/>
  <c r="U35" i="4"/>
  <c r="U36" i="4" s="1"/>
  <c r="U43" i="4" s="1"/>
  <c r="V13" i="4" s="1"/>
  <c r="V15" i="4" s="1"/>
  <c r="V16" i="4" s="1"/>
  <c r="V17" i="4" s="1"/>
  <c r="V19" i="4" s="1"/>
  <c r="V22" i="4" s="1"/>
  <c r="V34" i="4" s="1"/>
  <c r="AB10" i="4"/>
  <c r="AB38" i="4" s="1"/>
  <c r="AB39" i="4" l="1"/>
  <c r="V29" i="4"/>
  <c r="V30" i="4"/>
  <c r="AB12" i="4"/>
  <c r="AB44" i="4" s="1"/>
  <c r="AB28" i="4" s="1"/>
  <c r="V32" i="4" l="1"/>
  <c r="V35" i="4"/>
  <c r="V36" i="4" s="1"/>
  <c r="V43" i="4" s="1"/>
  <c r="W13" i="4" s="1"/>
  <c r="W15" i="4" s="1"/>
  <c r="W16" i="4" s="1"/>
  <c r="W17" i="4" s="1"/>
  <c r="W19" i="4" s="1"/>
  <c r="W22" i="4" s="1"/>
  <c r="W34" i="4" s="1"/>
  <c r="AC10" i="4"/>
  <c r="AC38" i="4" s="1"/>
  <c r="AC39" i="4" l="1"/>
  <c r="W30" i="4"/>
  <c r="W29" i="4"/>
  <c r="AC12" i="4"/>
  <c r="AC44" i="4" s="1"/>
  <c r="AC28" i="4" s="1"/>
  <c r="W35" i="4" l="1"/>
  <c r="W36" i="4" s="1"/>
  <c r="W43" i="4" s="1"/>
  <c r="X13" i="4" s="1"/>
  <c r="X15" i="4" s="1"/>
  <c r="X16" i="4" s="1"/>
  <c r="X17" i="4" s="1"/>
  <c r="X19" i="4" s="1"/>
  <c r="X22" i="4" s="1"/>
  <c r="X34" i="4" s="1"/>
  <c r="W32" i="4"/>
  <c r="AD10" i="4"/>
  <c r="AD38" i="4" s="1"/>
  <c r="AD39" i="4" l="1"/>
  <c r="X30" i="4"/>
  <c r="X29" i="4"/>
  <c r="AD12" i="4"/>
  <c r="AD44" i="4" s="1"/>
  <c r="AD28" i="4" s="1"/>
  <c r="X35" i="4" l="1"/>
  <c r="X36" i="4" s="1"/>
  <c r="X43" i="4" s="1"/>
  <c r="Y13" i="4" s="1"/>
  <c r="Y15" i="4" s="1"/>
  <c r="Y16" i="4" s="1"/>
  <c r="Y17" i="4" s="1"/>
  <c r="Y29" i="4" s="1"/>
  <c r="X32" i="4"/>
  <c r="AE10" i="4"/>
  <c r="AE38" i="4" s="1"/>
  <c r="AE39" i="4" l="1"/>
  <c r="Y30" i="4"/>
  <c r="Y32" i="4" s="1"/>
  <c r="Y19" i="4"/>
  <c r="Y22" i="4" s="1"/>
  <c r="Y34" i="4" s="1"/>
  <c r="AF10" i="4"/>
  <c r="AF38" i="4" s="1"/>
  <c r="AE12" i="4"/>
  <c r="AE44" i="4" s="1"/>
  <c r="AE28" i="4" s="1"/>
  <c r="AF39" i="4" l="1"/>
  <c r="AG39" i="4" s="1"/>
  <c r="Y35" i="4"/>
  <c r="Y36" i="4" s="1"/>
  <c r="Y43" i="4" s="1"/>
  <c r="Z13" i="4" s="1"/>
  <c r="Z15" i="4" s="1"/>
  <c r="Z16" i="4" s="1"/>
  <c r="Z17" i="4" s="1"/>
  <c r="Z19" i="4" s="1"/>
  <c r="Z22" i="4" s="1"/>
  <c r="Z34" i="4" s="1"/>
  <c r="AF12" i="4"/>
  <c r="AF44" i="4" s="1"/>
  <c r="AF28" i="4" s="1"/>
  <c r="AG38" i="4"/>
  <c r="Z30" i="4" l="1"/>
  <c r="Z29" i="4"/>
  <c r="Z35" i="4" l="1"/>
  <c r="Z36" i="4" s="1"/>
  <c r="Z43" i="4" s="1"/>
  <c r="AA13" i="4" s="1"/>
  <c r="AA15" i="4" s="1"/>
  <c r="AA16" i="4" s="1"/>
  <c r="AA17" i="4" s="1"/>
  <c r="AA30" i="4" s="1"/>
  <c r="Z32" i="4"/>
  <c r="AA29" i="4" l="1"/>
  <c r="AA35" i="4" s="1"/>
  <c r="AA19" i="4"/>
  <c r="AA22" i="4" s="1"/>
  <c r="AA34" i="4" s="1"/>
  <c r="AA36" i="4" l="1"/>
  <c r="AA43" i="4" s="1"/>
  <c r="AB13" i="4" s="1"/>
  <c r="AB15" i="4" s="1"/>
  <c r="AB16" i="4" s="1"/>
  <c r="AB17" i="4" s="1"/>
  <c r="AB19" i="4" s="1"/>
  <c r="AB22" i="4" s="1"/>
  <c r="AB34" i="4" s="1"/>
  <c r="AA32" i="4"/>
  <c r="AB29" i="4" l="1"/>
  <c r="AB30" i="4"/>
  <c r="AB32" i="4" l="1"/>
  <c r="AB35" i="4"/>
  <c r="AB36" i="4" s="1"/>
  <c r="AB43" i="4" s="1"/>
  <c r="AC13" i="4" s="1"/>
  <c r="AC15" i="4" s="1"/>
  <c r="AC16" i="4" s="1"/>
  <c r="AC17" i="4" s="1"/>
  <c r="AC19" i="4" s="1"/>
  <c r="AC22" i="4" s="1"/>
  <c r="AC34" i="4" s="1"/>
  <c r="AC29" i="4" l="1"/>
  <c r="AC30" i="4"/>
  <c r="AC35" i="4" l="1"/>
  <c r="AC36" i="4" s="1"/>
  <c r="AC43" i="4" s="1"/>
  <c r="AD13" i="4" s="1"/>
  <c r="AD15" i="4" s="1"/>
  <c r="AD16" i="4" s="1"/>
  <c r="AD17" i="4" s="1"/>
  <c r="AD19" i="4" s="1"/>
  <c r="AD22" i="4" s="1"/>
  <c r="AD34" i="4" s="1"/>
  <c r="AC32" i="4"/>
  <c r="AD30" i="4" l="1"/>
  <c r="AD29" i="4"/>
  <c r="AD32" i="4" l="1"/>
  <c r="AD35" i="4"/>
  <c r="AD36" i="4" s="1"/>
  <c r="AD43" i="4" s="1"/>
  <c r="AE13" i="4" s="1"/>
  <c r="AE15" i="4" s="1"/>
  <c r="AE16" i="4" s="1"/>
  <c r="AE17" i="4" s="1"/>
  <c r="AE30" i="4" s="1"/>
  <c r="AE29" i="4" l="1"/>
  <c r="AE32" i="4" s="1"/>
  <c r="AE19" i="4"/>
  <c r="AE22" i="4" s="1"/>
  <c r="AE34" i="4" s="1"/>
  <c r="AE35" i="4" l="1"/>
  <c r="AE36" i="4" s="1"/>
  <c r="AE43" i="4" s="1"/>
  <c r="AF13" i="4" s="1"/>
  <c r="AF15" i="4" s="1"/>
  <c r="AF16" i="4" s="1"/>
  <c r="AF17" i="4" s="1"/>
  <c r="AF19" i="4" s="1"/>
  <c r="AF22" i="4" s="1"/>
  <c r="AF34" i="4" s="1"/>
  <c r="D72" i="4" s="1"/>
  <c r="AF30" i="4" l="1"/>
  <c r="AF29" i="4"/>
  <c r="AF32" i="4" l="1"/>
  <c r="AF35" i="4"/>
  <c r="AF36" i="4" s="1"/>
  <c r="AF43" i="4" s="1"/>
  <c r="D79" i="4" l="1"/>
  <c r="D71" i="4"/>
  <c r="D73" i="4" s="1"/>
  <c r="D76" i="4" s="1"/>
  <c r="D75" i="4" s="1"/>
  <c r="J42" i="1" s="1"/>
  <c r="D78" i="4"/>
  <c r="E78" i="4" l="1"/>
  <c r="E79" i="4"/>
  <c r="H40" i="1"/>
  <c r="E72" i="4"/>
  <c r="E7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tc={B8360AB7-5DB1-45D3-ABF9-3AFEF51621D6}</author>
    <author>tc={D17B5162-9C54-4F03-8882-3A424C1A2E60}</author>
    <author>tc={74106D0B-4568-4C95-B1A7-D780E3BD20D3}</author>
    <author>Eduardo Ferreira</author>
    <author>João Pedro Botelho Pereira de Rodrigues Ferreira</author>
  </authors>
  <commentList>
    <comment ref="B2" authorId="0" shapeId="0" xr:uid="{B8360AB7-5DB1-45D3-ABF9-3AFEF51621D6}">
      <text>
        <t>[Threaded comment]
Your version of Excel allows you to read this threaded comment; however, any edits to it will get removed if the file is opened in a newer version of Excel. Learn more: https://go.microsoft.com/fwlink/?linkid=870924
Comment:
    Date of last update of the report</t>
      </text>
    </comment>
    <comment ref="D2" authorId="1" shapeId="0" xr:uid="{D17B5162-9C54-4F03-8882-3A424C1A2E60}">
      <text>
        <t>[Threaded comment]
Your version of Excel allows you to read this threaded comment; however, any edits to it will get removed if the file is opened in a newer version of Excel. Learn more: https://go.microsoft.com/fwlink/?linkid=870924
Comment:
    Insert the date when the company will issue their next quarter/annual report</t>
      </text>
    </comment>
    <comment ref="L2" authorId="2" shapeId="0" xr:uid="{74106D0B-4568-4C95-B1A7-D780E3BD20D3}">
      <text>
        <t>[Threaded comment]
Your version of Excel allows you to read this threaded comment; however, any edits to it will get removed if the file is opened in a newer version of Excel. Learn more: https://go.microsoft.com/fwlink/?linkid=870924
Comment:
    In what exchange the company is listed in (Input the main exchange)</t>
      </text>
    </comment>
    <comment ref="D45" authorId="3" shapeId="0" xr:uid="{3E3FFF3C-33A9-994C-B6DA-EFA3EDE9D6C0}">
      <text>
        <r>
          <rPr>
            <sz val="12"/>
            <color rgb="FFFFFFFF"/>
            <rFont val="Calibri"/>
            <family val="2"/>
          </rPr>
          <t>Eduardo Ferreira:</t>
        </r>
        <r>
          <rPr>
            <sz val="10"/>
            <color rgb="FF000000"/>
            <rFont val="Arial"/>
            <family val="2"/>
          </rPr>
          <t xml:space="preserve">
</t>
        </r>
        <r>
          <rPr>
            <sz val="10"/>
            <color rgb="FF000000"/>
            <rFont val="Arial"/>
            <family val="2"/>
          </rPr>
          <t xml:space="preserve">Op. Earnings is Earnings after Cost of good solds, regular selling, general, and adminin costs of running a business, excluding interest and taxes. (EBIT)
</t>
        </r>
      </text>
    </comment>
    <comment ref="F52" authorId="4" shapeId="0" xr:uid="{68FCCF36-A269-499F-84F9-B5F6A5293CCF}">
      <text>
        <r>
          <rPr>
            <sz val="10"/>
            <rFont val="Arial"/>
            <family val="2"/>
          </rPr>
          <t xml:space="preserve">João Pedro Botelho Pereira de Rodrigues Ferreira:
Negative cash flow was due to the investment in orginal content (promissing shareolders it would be net positive for the next periods) issuing a share buyback (not since 2011)
</t>
        </r>
      </text>
    </comment>
    <comment ref="F53" authorId="4" shapeId="0" xr:uid="{25478B0C-E258-4A05-A345-99FBFFAEE0DD}">
      <text>
        <r>
          <rPr>
            <sz val="10"/>
            <rFont val="Arial"/>
            <family val="2"/>
          </rPr>
          <t>João Pedro Botelho Pereira de Rodrigues Ferreira:
continuation of last year intent, managed to atract and retain a large chunk of costumers</t>
        </r>
      </text>
    </comment>
    <comment ref="B73" authorId="4" shapeId="0" xr:uid="{D63308BB-6C09-4A79-B608-234533B505E4}">
      <text>
        <r>
          <rPr>
            <sz val="10"/>
            <rFont val="Arial"/>
            <family val="2"/>
          </rPr>
          <t xml:space="preserve">João Pedro Botelho Pereira de Rodrigues Ferreira:
Netflix can acess costumer info to get preferences (house of cards)
Dedicated mobile plans
</t>
        </r>
      </text>
    </comment>
    <comment ref="E73" authorId="4" shapeId="0" xr:uid="{E3C0EC63-5190-4C4F-8B1D-7769C288860D}">
      <text>
        <r>
          <rPr>
            <sz val="10"/>
            <rFont val="Arial"/>
            <family val="2"/>
          </rPr>
          <t xml:space="preserve">João Pedro Botelho Pereira de Rodrigues Ferreira:
Offering exclusive content, lower prices, or different features that attract customers away from Netflix; making it harder for Netflix to retain and grow its subscriber base.
which may limit its creative freedom, content diversity, or market access.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José Lima</author>
  </authors>
  <commentList>
    <comment ref="H4" authorId="0" shapeId="0" xr:uid="{5D7F1698-F21A-4983-BF89-7D6CB9A26207}">
      <text>
        <r>
          <rPr>
            <b/>
            <sz val="9"/>
            <color indexed="81"/>
            <rFont val="Tahoma"/>
            <family val="2"/>
          </rPr>
          <t>José Lima:</t>
        </r>
        <r>
          <rPr>
            <sz val="9"/>
            <color indexed="81"/>
            <rFont val="Tahoma"/>
            <family val="2"/>
          </rPr>
          <t xml:space="preserve">
Before 2020, Netflix used to report just two regions, UCAN and "others"</t>
        </r>
      </text>
    </comment>
    <comment ref="K24" authorId="0" shapeId="0" xr:uid="{C58554A9-A114-4547-9C84-4DA948CDD7DB}">
      <text>
        <r>
          <rPr>
            <b/>
            <sz val="9"/>
            <color indexed="81"/>
            <rFont val="Tahoma"/>
            <family val="2"/>
          </rPr>
          <t xml:space="preserve">José Lima:
</t>
        </r>
        <r>
          <rPr>
            <sz val="9"/>
            <color indexed="81"/>
            <rFont val="Tahoma"/>
            <family val="2"/>
          </rPr>
          <t>The worst yoy growth presented.</t>
        </r>
      </text>
    </comment>
    <comment ref="M24" authorId="0" shapeId="0" xr:uid="{580FDE75-2FD2-4F3E-8CB4-5FB1BBAB172F}">
      <text>
        <r>
          <rPr>
            <b/>
            <sz val="9"/>
            <color indexed="81"/>
            <rFont val="Tahoma"/>
            <family val="2"/>
          </rPr>
          <t>José Lima:</t>
        </r>
        <r>
          <rPr>
            <sz val="9"/>
            <color indexed="81"/>
            <rFont val="Tahoma"/>
            <family val="2"/>
          </rPr>
          <t xml:space="preserve">
Netflix didn't show a significant year growth in the pandemic year.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author>
  </authors>
  <commentList>
    <comment ref="G38" authorId="0" shapeId="0" xr:uid="{8F3FCB24-5C5B-4EAB-9A83-4B3400715C32}">
      <text>
        <r>
          <rPr>
            <b/>
            <sz val="9"/>
            <color indexed="81"/>
            <rFont val="Tahoma"/>
            <family val="2"/>
          </rPr>
          <t>Diana:</t>
        </r>
        <r>
          <rPr>
            <sz val="9"/>
            <color indexed="81"/>
            <rFont val="Tahoma"/>
            <family val="2"/>
          </rPr>
          <t xml:space="preserve">
The amortization is on an accelerated basis, as we typically expect more upfront viewing, and film amortization is more
accelerated than TV series amortization. On average, over 90% of a licensed or produced content asset is expected to be amortized within four years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author>
  </authors>
  <commentList>
    <comment ref="B17" authorId="0" shapeId="0" xr:uid="{6E864F72-6F2E-4A47-90A5-3780004E2640}">
      <text>
        <r>
          <rPr>
            <b/>
            <sz val="9"/>
            <color indexed="81"/>
            <rFont val="Tahoma"/>
            <family val="2"/>
          </rPr>
          <t>Diana:</t>
        </r>
        <r>
          <rPr>
            <sz val="9"/>
            <color indexed="81"/>
            <rFont val="Tahoma"/>
            <family val="2"/>
          </rPr>
          <t xml:space="preserve">
https://pages.stern.nyu.edu/~adamodar/New_Home_Page/datafile/ratings.html</t>
        </r>
      </text>
    </comment>
    <comment ref="B20" authorId="0" shapeId="0" xr:uid="{A3BA66FA-03A8-4D9E-ACFE-D4C1D7C20C94}">
      <text>
        <r>
          <rPr>
            <b/>
            <sz val="9"/>
            <color indexed="81"/>
            <rFont val="Tahoma"/>
            <family val="2"/>
          </rPr>
          <t>Diana:</t>
        </r>
        <r>
          <rPr>
            <sz val="9"/>
            <color indexed="81"/>
            <rFont val="Tahoma"/>
            <family val="2"/>
          </rPr>
          <t xml:space="preserve">
https://pages.stern.nyu.edu/~adamodar/New_Home_Page/datafile/ctryprem.html</t>
        </r>
      </text>
    </comment>
    <comment ref="D26" authorId="0" shapeId="0" xr:uid="{130BF17C-6CB1-46A9-8332-625979E2B48E}">
      <text>
        <r>
          <rPr>
            <b/>
            <sz val="9"/>
            <color indexed="81"/>
            <rFont val="Tahoma"/>
            <family val="2"/>
          </rPr>
          <t>Diana:</t>
        </r>
        <r>
          <rPr>
            <sz val="9"/>
            <color indexed="81"/>
            <rFont val="Tahoma"/>
            <family val="2"/>
          </rPr>
          <t xml:space="preserve">
country with the biggest number of subscribers: UK, GERMANY, FRANCE</t>
        </r>
      </text>
    </comment>
    <comment ref="D27" authorId="0" shapeId="0" xr:uid="{48963A26-313F-4374-85F8-5492CF73818A}">
      <text>
        <r>
          <rPr>
            <b/>
            <sz val="9"/>
            <color indexed="81"/>
            <rFont val="Tahoma"/>
            <family val="2"/>
          </rPr>
          <t>Diana:</t>
        </r>
        <r>
          <rPr>
            <sz val="9"/>
            <color indexed="81"/>
            <rFont val="Tahoma"/>
            <family val="2"/>
          </rPr>
          <t xml:space="preserve">
country with the biggest number of subscribers: brazil and mexico</t>
        </r>
      </text>
    </comment>
    <comment ref="D28" authorId="0" shapeId="0" xr:uid="{ADB69D3C-AD16-4CA8-8140-6639957EE87B}">
      <text>
        <r>
          <rPr>
            <b/>
            <sz val="9"/>
            <color indexed="81"/>
            <rFont val="Tahoma"/>
            <family val="2"/>
          </rPr>
          <t>Diana:</t>
        </r>
        <r>
          <rPr>
            <sz val="9"/>
            <color indexed="81"/>
            <rFont val="Tahoma"/>
            <family val="2"/>
          </rPr>
          <t xml:space="preserve">
country with biggest number of subscribers: Japan, Australia, India</t>
        </r>
      </text>
    </comment>
    <comment ref="D29" authorId="0" shapeId="0" xr:uid="{29A9A84B-0698-4356-AD21-CB72199E4035}">
      <text>
        <r>
          <rPr>
            <b/>
            <sz val="9"/>
            <color indexed="81"/>
            <rFont val="Tahoma"/>
            <family val="2"/>
          </rPr>
          <t>Diana:</t>
        </r>
        <r>
          <rPr>
            <sz val="9"/>
            <color indexed="81"/>
            <rFont val="Tahoma"/>
            <family val="2"/>
          </rPr>
          <t xml:space="preserve">
On 8/03/2024 https://pages.stern.nyu.edu/~adamodar/New_Home_Page/datafile/ctryprem.html</t>
        </r>
      </text>
    </comment>
    <comment ref="D66" authorId="0" shapeId="0" xr:uid="{9B489D94-BB16-428B-97E3-9A5997B12455}">
      <text>
        <r>
          <rPr>
            <b/>
            <sz val="9"/>
            <color indexed="81"/>
            <rFont val="Tahoma"/>
            <family val="2"/>
          </rPr>
          <t>Diana:</t>
        </r>
        <r>
          <rPr>
            <sz val="9"/>
            <color indexed="81"/>
            <rFont val="Tahoma"/>
            <family val="2"/>
          </rPr>
          <t xml:space="preserve">
Our aim is to make ads a more substantial revenue stream that contributes to sustained, healthy revenue
growth in 2025 and beyond.</t>
        </r>
      </text>
    </comment>
    <comment ref="C73" authorId="0" shapeId="0" xr:uid="{318D22C0-8294-4BFA-9416-05F346069016}">
      <text>
        <r>
          <rPr>
            <b/>
            <sz val="9"/>
            <color indexed="81"/>
            <rFont val="Tahoma"/>
            <family val="2"/>
          </rPr>
          <t>Diana:</t>
        </r>
        <r>
          <rPr>
            <sz val="9"/>
            <color indexed="81"/>
            <rFont val="Tahoma"/>
            <family val="2"/>
          </rPr>
          <t xml:space="preserve">
We expect healthy double digit revenue growth for the full year
2024 on a F/X neutral basis driven by continued membership growth as well as improvement in F/X
neutral ARM as we adjust prices.</t>
        </r>
      </text>
    </comment>
    <comment ref="C83" authorId="0" shapeId="0" xr:uid="{8226CEDE-D180-4303-BB8F-3233286D7658}">
      <text>
        <r>
          <rPr>
            <b/>
            <sz val="9"/>
            <color indexed="81"/>
            <rFont val="Tahoma"/>
            <family val="2"/>
          </rPr>
          <t>Diana:</t>
        </r>
        <r>
          <rPr>
            <sz val="9"/>
            <color indexed="81"/>
            <rFont val="Tahoma"/>
            <family val="2"/>
          </rPr>
          <t xml:space="preserve">
Shareholder letter: "We are increasing our full year 2024 operating margin forecast from 22%-23% to 24% (based on F/X rates
as of January 1, 2024)."</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6">
    <bk>
      <extLst>
        <ext uri="{3e2802c4-a4d2-4d8b-9148-e3be6c30e623}">
          <xlrd:rvb i="2"/>
        </ext>
      </extLst>
    </bk>
    <bk>
      <extLst>
        <ext uri="{3e2802c4-a4d2-4d8b-9148-e3be6c30e623}">
          <xlrd:rvb i="3"/>
        </ext>
      </extLst>
    </bk>
    <bk>
      <extLst>
        <ext uri="{3e2802c4-a4d2-4d8b-9148-e3be6c30e623}">
          <xlrd:rvb i="10"/>
        </ext>
      </extLst>
    </bk>
    <bk>
      <extLst>
        <ext uri="{3e2802c4-a4d2-4d8b-9148-e3be6c30e623}">
          <xlrd:rvb i="13"/>
        </ext>
      </extLst>
    </bk>
    <bk>
      <extLst>
        <ext uri="{3e2802c4-a4d2-4d8b-9148-e3be6c30e623}">
          <xlrd:rvb i="16"/>
        </ext>
      </extLst>
    </bk>
    <bk>
      <extLst>
        <ext uri="{3e2802c4-a4d2-4d8b-9148-e3be6c30e623}">
          <xlrd:rvb i="19"/>
        </ext>
      </extLst>
    </bk>
  </futureMetadata>
  <futureMetadata name="XLDAPR" count="1">
    <bk>
      <extLst>
        <ext uri="{bdbb8cdc-fa1e-496e-a857-3c3f30c029c3}">
          <xda:dynamicArrayProperties fDynamic="1" fCollapsed="0"/>
        </ext>
      </extLst>
    </bk>
  </futureMetadata>
  <cellMetadata count="1">
    <bk>
      <rc t="2" v="0"/>
    </bk>
  </cellMetadata>
  <valueMetadata count="6">
    <bk>
      <rc t="1" v="0"/>
    </bk>
    <bk>
      <rc t="1" v="1"/>
    </bk>
    <bk>
      <rc t="1" v="2"/>
    </bk>
    <bk>
      <rc t="1" v="3"/>
    </bk>
    <bk>
      <rc t="1" v="4"/>
    </bk>
    <bk>
      <rc t="1" v="5"/>
    </bk>
  </valueMetadata>
</metadata>
</file>

<file path=xl/sharedStrings.xml><?xml version="1.0" encoding="utf-8"?>
<sst xmlns="http://schemas.openxmlformats.org/spreadsheetml/2006/main" count="1676" uniqueCount="833">
  <si>
    <t>Team 1</t>
  </si>
  <si>
    <t>NASDAQ</t>
  </si>
  <si>
    <t>SIC:</t>
  </si>
  <si>
    <t>COMPANY DESCRIPTION</t>
  </si>
  <si>
    <t>CEO &amp; BOARD OF DIRECTORS</t>
  </si>
  <si>
    <t>Name (Gender; Age)</t>
  </si>
  <si>
    <t>Tenure</t>
  </si>
  <si>
    <t>Executive?</t>
  </si>
  <si>
    <t>Other roles</t>
  </si>
  <si>
    <r>
      <rPr>
        <sz val="10"/>
        <color rgb="FF92D050"/>
        <rFont val="Arial"/>
        <family val="2"/>
      </rPr>
      <t>Theodore Sarandos</t>
    </r>
    <r>
      <rPr>
        <sz val="10"/>
        <color rgb="FF000000"/>
        <rFont val="Arial"/>
        <family val="2"/>
      </rPr>
      <t xml:space="preserve"> (Male; 59)</t>
    </r>
  </si>
  <si>
    <t>July 2020               3 Years</t>
  </si>
  <si>
    <t>Yes (Co-CEO)</t>
  </si>
  <si>
    <t>Board of Directors of Spotify Technologies SA, International Documentary Association, Exploring the Arts, Inc., American Film Institute Inc.</t>
  </si>
  <si>
    <r>
      <rPr>
        <sz val="10"/>
        <color rgb="FF92D050"/>
        <rFont val="Arial"/>
        <family val="2"/>
      </rPr>
      <t>Gregory Peters</t>
    </r>
    <r>
      <rPr>
        <sz val="10"/>
        <color rgb="FF000000"/>
        <rFont val="Arial"/>
        <family val="2"/>
      </rPr>
      <t xml:space="preserve"> (Male; 52)</t>
    </r>
  </si>
  <si>
    <t>January 2023          1 Year</t>
  </si>
  <si>
    <t>Board of Directors of Highland Transcend Partners I Corp. and Doordash Inc.</t>
  </si>
  <si>
    <t>Reed Hastings (Male; 63)</t>
  </si>
  <si>
    <t>August 1998        25 Years</t>
  </si>
  <si>
    <t>Yes (Founder)</t>
  </si>
  <si>
    <t>Board of Directors of several Non-Profit Institutions</t>
  </si>
  <si>
    <t>Anne Sweeney (Female; 66)</t>
  </si>
  <si>
    <t>March 2015            9 Years</t>
  </si>
  <si>
    <t>No</t>
  </si>
  <si>
    <t xml:space="preserve"> Board of Lego A/S, Board of Trustees at the Mayo Clinic and J.P. Getty Trust</t>
  </si>
  <si>
    <t>Richard Barton (Male; 56)</t>
  </si>
  <si>
    <t>April 2002            21 Years</t>
  </si>
  <si>
    <t>CEO of Zillow Group, Board of Directors of QVC Group, Art.sy, Inc., Barton Family Foundation, Avvo, Inc. and Atom Digital, Inc.</t>
  </si>
  <si>
    <t>Timothy Haley (Male; 65)</t>
  </si>
  <si>
    <t>March 1998            26 Years</t>
  </si>
  <si>
    <t>Managing Director of Insitutional Venture Partners</t>
  </si>
  <si>
    <t>Jay Hoag (Male; 62)</t>
  </si>
  <si>
    <t>May 1999              24 Years</t>
  </si>
  <si>
    <t>Board of Directors of Zillow Group, Trip Advisor, Inc., Peloton Interactive, Inc., Menlo School, Vanderbilt University, Technology Crossover Management VIII Ltd. and Founder of TCMI, Inc.</t>
  </si>
  <si>
    <t>Ann Mather (Female; 63)</t>
  </si>
  <si>
    <t>July 2010             13 Years</t>
  </si>
  <si>
    <t>Board of Directos of Bumble, Inc., Alphabet, Inc (also audit commitie), Blend Labs, Inc., Color Health, Inc., Dodge and Cox Funds</t>
  </si>
  <si>
    <t>Mathias Döpfner (Male; 61)</t>
  </si>
  <si>
    <t>September 2018    5 Years</t>
  </si>
  <si>
    <t>CEO and part owner of Axel Springer SE, Board of Directors of Warner Music Group, office at American Academy, the American Jewish Commitie and the European Publisher Council</t>
  </si>
  <si>
    <t>Leslie Kilgore (Female; 58)</t>
  </si>
  <si>
    <t>January 2012       12 Years</t>
  </si>
  <si>
    <t>Board of Directors of Pinterest Inc., Nextdoor Inc., Discord Inc.</t>
  </si>
  <si>
    <t>Strive Masiyiwa (Male; 63)</t>
  </si>
  <si>
    <t>December 2020     3 Years</t>
  </si>
  <si>
    <t xml:space="preserve">Econet South Africa (Pty) Ltd CEO, Board of Directors of Unilever PLC, Bill &amp; Melinda Gates Foundation, The Micronutrient Initiative/L'initiative Pour Les Micronutrim, Econet Investments Ltd. and Founder of Delta Philanthropies </t>
  </si>
  <si>
    <t>Susan Rice (Female; 59)</t>
  </si>
  <si>
    <t>September 2023    6 Months</t>
  </si>
  <si>
    <t>Member of the Aspen Strategy Group, the American Academy of Diplomacy, and the Council on Foreign Relations, USA Ambassador at UN, President Bill Clinton and Barack Obama National Security Advisor, President Biden Domestic Policy Advisor</t>
  </si>
  <si>
    <t>USD MILLIONS</t>
  </si>
  <si>
    <t>Bradford Smith (Male; 65)</t>
  </si>
  <si>
    <t>Vice chair and President of Microsoft, Board of Directors of Code.org, The Seattle Foundation, Washington Roundtable and Leadership Council on Legal Diversity, Inc., chairman of Kind, Inc. (United States)</t>
  </si>
  <si>
    <t>COMPANY OVERVIEW</t>
  </si>
  <si>
    <t>Stock</t>
  </si>
  <si>
    <t>Liquidity and Solvency</t>
  </si>
  <si>
    <t>Segments</t>
  </si>
  <si>
    <t>Profitability (2023)</t>
  </si>
  <si>
    <t>Multiples</t>
  </si>
  <si>
    <t>Last Price</t>
  </si>
  <si>
    <t>Total Assets</t>
  </si>
  <si>
    <t>Regions</t>
  </si>
  <si>
    <t>% Sales</t>
  </si>
  <si>
    <t>Reporting Year</t>
  </si>
  <si>
    <t>Float</t>
  </si>
  <si>
    <t>Outstanding Shares</t>
  </si>
  <si>
    <t>Total Liabilities</t>
  </si>
  <si>
    <t>End of Year</t>
  </si>
  <si>
    <t>31 December 2023</t>
  </si>
  <si>
    <t>Insiders Own</t>
  </si>
  <si>
    <t>Market Cap.</t>
  </si>
  <si>
    <t>Cash/Share</t>
  </si>
  <si>
    <t>EBITDA</t>
  </si>
  <si>
    <t>b (Yahoo)</t>
  </si>
  <si>
    <t>+Total Debt</t>
  </si>
  <si>
    <t>EBITDA/Net Financial Cost (NFC)</t>
  </si>
  <si>
    <t>Depreciation &amp; Amortization</t>
  </si>
  <si>
    <t>Score (S&amp;P)</t>
  </si>
  <si>
    <t>BBB+</t>
  </si>
  <si>
    <t>-Cash</t>
  </si>
  <si>
    <t>Debt/EBITDA</t>
  </si>
  <si>
    <t>EBIT</t>
  </si>
  <si>
    <t>Price/Book Value</t>
  </si>
  <si>
    <t>=Enterprise Value</t>
  </si>
  <si>
    <t>"Others Assets"/Asset</t>
  </si>
  <si>
    <t>Net Income</t>
  </si>
  <si>
    <t>NCF(3y avg)/Asset</t>
  </si>
  <si>
    <t>Holdings (nac/int'l)</t>
  </si>
  <si>
    <t>-</t>
  </si>
  <si>
    <t>Debt/Assets</t>
  </si>
  <si>
    <t>Categories</t>
  </si>
  <si>
    <t>EPS</t>
  </si>
  <si>
    <t>Price/Net Inc. (3y avg)</t>
  </si>
  <si>
    <t>t liq. (Holdings/Vol.)</t>
  </si>
  <si>
    <t>EBITDA Margin (average)</t>
  </si>
  <si>
    <t>ROA</t>
  </si>
  <si>
    <t>EV/Asset</t>
  </si>
  <si>
    <t>% Short</t>
  </si>
  <si>
    <t>Operating Margin (average)</t>
  </si>
  <si>
    <t>ROIC</t>
  </si>
  <si>
    <t>EV/Ebitda (3y average)</t>
  </si>
  <si>
    <t>Traffic ESG</t>
  </si>
  <si>
    <t>Net Income Margin (average)</t>
  </si>
  <si>
    <t>EBITDA (3y average)</t>
  </si>
  <si>
    <t>Price/NCF (3y average)</t>
  </si>
  <si>
    <t>E</t>
  </si>
  <si>
    <t>Net Income (3y average)</t>
  </si>
  <si>
    <t>Bonds 1,3,5a (USD)</t>
  </si>
  <si>
    <t>S</t>
  </si>
  <si>
    <t>Net Financial Cost/Avg Net Debt</t>
  </si>
  <si>
    <t>NCF (3y average)</t>
  </si>
  <si>
    <t>Div+Rep.(3y avg)/Price</t>
  </si>
  <si>
    <t>G</t>
  </si>
  <si>
    <t>Div. Yield</t>
  </si>
  <si>
    <t>INVESTMENT THESIS</t>
  </si>
  <si>
    <t>Pillars of Recommendation</t>
  </si>
  <si>
    <t>Recommendation</t>
  </si>
  <si>
    <t>Valuation Assumptions</t>
  </si>
  <si>
    <t>Pillar</t>
  </si>
  <si>
    <t>Explanation</t>
  </si>
  <si>
    <t xml:space="preserve">SELL </t>
  </si>
  <si>
    <t>Check DCF</t>
  </si>
  <si>
    <t>Healthy Growth</t>
  </si>
  <si>
    <t>Since their global launch in 2016, they’ve been able to invest heavily in our slate — with content amortization up almost 3X from $4.8B in 2016 to $14.2B in 2023 — while steadily increasing our operating margins (up more than 5X, from 4% to 21% over the same period) and growing our free cash flow (from negative $3.3B in 2019 to positive $6.9B in 2023).</t>
  </si>
  <si>
    <t>Strategy and Inovation</t>
  </si>
  <si>
    <t>Netflix plans to continue to invest in and build ads business, expecting strong growth in 2024 but off a small base so it’s not yet a primary driver of the overall revenue growth. However it aims to make ads a more substantial revenue stream that contributes to sustained, healthy revenue growth in 2025 and beyond.</t>
  </si>
  <si>
    <t>Improvement</t>
  </si>
  <si>
    <t xml:space="preserve">Netflix is establishing itself in new areas like advertising and games, which they believe to have a lot more room to grow. Theres a $600B+ opportunity revenue market across pay TV, film, games and branded advertising — and today Netflix accounts for only roughly 5% of that addressable market. And their share of TV viewing is still less than 10% in every country. </t>
  </si>
  <si>
    <t>Risks of Investment</t>
  </si>
  <si>
    <t>Price Target</t>
  </si>
  <si>
    <t>Valuation</t>
  </si>
  <si>
    <t>Risk</t>
  </si>
  <si>
    <t>Discount Rate</t>
  </si>
  <si>
    <t>Price M. Upside</t>
  </si>
  <si>
    <t>Content Costs</t>
  </si>
  <si>
    <t>With the persuit of original content, Netflix sees its costs increse significantly potentially lowering its margins</t>
  </si>
  <si>
    <t>Competition</t>
  </si>
  <si>
    <t>The satuarition of the streaming market means any move by competitors could impact growth and subscriber numbers</t>
  </si>
  <si>
    <t>Downside</t>
  </si>
  <si>
    <t>EV M. Upside</t>
  </si>
  <si>
    <t>Membership Growth</t>
  </si>
  <si>
    <t>Changes in content and membership price make Netflix lose and retain subscribers</t>
  </si>
  <si>
    <t>FINANCIAL PERFORMANCE</t>
  </si>
  <si>
    <t>Year</t>
  </si>
  <si>
    <t>Net Sales</t>
  </si>
  <si>
    <t>Operating Margin</t>
  </si>
  <si>
    <t>Dividends + Share Buyback</t>
  </si>
  <si>
    <t>Net Cash Flow</t>
  </si>
  <si>
    <t>Capex + Investments</t>
  </si>
  <si>
    <t>Cash Flow</t>
  </si>
  <si>
    <t>Operating CF</t>
  </si>
  <si>
    <t>Investing CF</t>
  </si>
  <si>
    <t>Net Capex</t>
  </si>
  <si>
    <t>Investments &amp; Acquisitions</t>
  </si>
  <si>
    <t>Financing CF</t>
  </si>
  <si>
    <t>Dividends</t>
  </si>
  <si>
    <t xml:space="preserve"> </t>
  </si>
  <si>
    <t>Share Buyback</t>
  </si>
  <si>
    <t>Annual Growth Rate</t>
  </si>
  <si>
    <t>FX</t>
  </si>
  <si>
    <t>Average Growth Rate</t>
  </si>
  <si>
    <t>Changes in Cash</t>
  </si>
  <si>
    <t>CVAR</t>
  </si>
  <si>
    <r>
      <t>Inventory/</t>
    </r>
    <r>
      <rPr>
        <sz val="10"/>
        <rFont val="Symbol"/>
        <family val="1"/>
        <charset val="2"/>
      </rPr>
      <t>D</t>
    </r>
    <r>
      <rPr>
        <sz val="10"/>
        <rFont val="Arial"/>
        <family val="2"/>
      </rPr>
      <t xml:space="preserve"> Revenues</t>
    </r>
  </si>
  <si>
    <t>Last Year</t>
  </si>
  <si>
    <t>t inversiones; t adq. neto dep.</t>
  </si>
  <si>
    <t>QUALITATIVE ANALYSIS</t>
  </si>
  <si>
    <t>SWOT ANALYSIS</t>
  </si>
  <si>
    <t>HOLDERS</t>
  </si>
  <si>
    <t>Pros</t>
  </si>
  <si>
    <t>Cons</t>
  </si>
  <si>
    <t>Name</t>
  </si>
  <si>
    <t>% Stake</t>
  </si>
  <si>
    <t>Netflix shows impressive financial strength and growth potential.                                                                     The company maintains high margins, contributing to its profitability.                               . Additionally, the average price target set by analysts has been strongly revised upwards in the last quarter, signaling optimism about netflix’s future performance.                        Netflix also relies on a strong brand name and a high adaptability, constantly adapting its services.</t>
  </si>
  <si>
    <t>The company has limited rights to stream content from other sources. It also has a high debt burden that limits its ability to invest in new projects.                                                                                                        Netflix struggles to produce original content that appeals to diverse audiences across the world.                                                                                                Netflix has poor customer service quality.                                                                                                  Despite its high valuation, some analysts’ consensus view and target prices indicate that the stock has limited upside potential and may face downward pressure in the future.</t>
  </si>
  <si>
    <t>Vanguard Group Inc.</t>
  </si>
  <si>
    <t>Blackrock Inc.</t>
  </si>
  <si>
    <t>FMR, LLC.</t>
  </si>
  <si>
    <t>State Street Corporation</t>
  </si>
  <si>
    <t>Prince (T.Rowe) Associates Inc.</t>
  </si>
  <si>
    <t>Capital World Investors</t>
  </si>
  <si>
    <t>JP Morgan Chase &amp; Company</t>
  </si>
  <si>
    <t>Capital International Investors</t>
  </si>
  <si>
    <t>Geode Capital Management, LLC</t>
  </si>
  <si>
    <t>Capital Research Global Investors</t>
  </si>
  <si>
    <t>Opportunities</t>
  </si>
  <si>
    <t>Risks</t>
  </si>
  <si>
    <t>The company can leverage its customer base and global reach to offer more products and services that cater to different tastes and preferences.                                                 Netflix can diversify its portfolio by adding videogames, comic books, podcasts, and other forms of entertainment.                                                                                                 Netflix can also form strategic alliances with other content providers, such as studios, networks, and celebrities, to create exclusive and original content that appeals to niche audiences.                                                                                                                  Furthermore, Netflix can adopt a flexible pricing strategy that allows it to offer lower-cost mobile-only streaming plans in emerging markets.</t>
  </si>
  <si>
    <t>Netflix is facing competition from other streaming services as the market becomes saturated with streaming options.                                                                                                                                                        .  Another challenge for Netflix is the regulation from sovereign governments, especially in countries where censorship or content restrictions are prevalent having to comply with local laws and regulations.             Piracy is also an heavy threat as it has significantly increased needing to increased their security in order to preserve their intelectual property.
Finally account sharing is one of the biggest issues in Netflix ammongst their users, account sharing also affects Netflix’s data and analytics, which are crucial for understanding customer preferences and behaviors.</t>
  </si>
  <si>
    <t>NOTES</t>
  </si>
  <si>
    <t>STOCK PERFORMANCE (5 years)</t>
  </si>
  <si>
    <t>Products</t>
  </si>
  <si>
    <t>Nominal value</t>
  </si>
  <si>
    <t>YoY Growth</t>
  </si>
  <si>
    <t>Weight</t>
  </si>
  <si>
    <t>Region</t>
  </si>
  <si>
    <t>United States and Canada (UCAN)</t>
  </si>
  <si>
    <t>Europe, Middle East and Africa (EMEA)</t>
  </si>
  <si>
    <t>Latin America (LATAM)</t>
  </si>
  <si>
    <t>Asia-Pacific (APAC)</t>
  </si>
  <si>
    <t>TOTAL</t>
  </si>
  <si>
    <t>Category</t>
  </si>
  <si>
    <t>Streaming Content Services</t>
  </si>
  <si>
    <t>DVD services</t>
  </si>
  <si>
    <t>Description</t>
  </si>
  <si>
    <t>Graphs</t>
  </si>
  <si>
    <t>Streaming content services</t>
  </si>
  <si>
    <t xml:space="preserve">Consists in revenues earned mostly from membership fees for services related to streaming content to their members. </t>
  </si>
  <si>
    <t>DVD-by-mail service. This operation was discontinued in september 29, 2023</t>
  </si>
  <si>
    <t>Industry</t>
  </si>
  <si>
    <t>Graphs (Industry Forecasts)</t>
  </si>
  <si>
    <t>Drivers</t>
  </si>
  <si>
    <t>AI</t>
  </si>
  <si>
    <t>By providing real-time insight into stream quality, user behavior, and content optimization on a micro level, AI can help aid engineering, development, and marketing teams simultaneously.</t>
  </si>
  <si>
    <t>Subscription Tiers</t>
  </si>
  <si>
    <t xml:space="preserve">Panning ads, no ads, access to all content, access to limited content, monthly and yearly subscriptions, bundles, and potentially new innovations such as loyalty plans. With more options, streamers may be better able to reduce churn—the rate at which people cancel their subscriptions—and keep more subscribers around for longer.  </t>
  </si>
  <si>
    <t>Sales forecast</t>
  </si>
  <si>
    <t>Source</t>
  </si>
  <si>
    <t>Market Growth CAGR</t>
  </si>
  <si>
    <t>Period</t>
  </si>
  <si>
    <t>Statista</t>
  </si>
  <si>
    <t>2024-2028</t>
  </si>
  <si>
    <t>Grand View Research</t>
  </si>
  <si>
    <t>2023-2030</t>
  </si>
  <si>
    <t>Company's Strategy / Extra Notes</t>
  </si>
  <si>
    <t>"Our core strategy is to grow our business globally within the parameters of our operating margin target. We strive to continuously improve our members' experience by offering compelling content that delights them and attracts new members. We seek to drive conversation around our content to further enhance member joy, and we are continuously enhancing our user interface to help our members more easily choose content that they will find enjoyable."</t>
  </si>
  <si>
    <t>Invertir</t>
  </si>
  <si>
    <t>NO invertir</t>
  </si>
  <si>
    <t>Mantener sin elevar posición</t>
  </si>
  <si>
    <t>Mantener (y seguir comprando)</t>
  </si>
  <si>
    <t>Liquidar</t>
  </si>
  <si>
    <t>PENDIENTE</t>
  </si>
  <si>
    <t>Peer Logo</t>
  </si>
  <si>
    <t>Peer Name</t>
  </si>
  <si>
    <r>
      <rPr>
        <b/>
        <sz val="8"/>
        <color rgb="FF374151"/>
        <rFont val="Arial"/>
        <family val="2"/>
      </rPr>
      <t xml:space="preserve">The Walt Disney Company is a diversified company that offers a variety of streaming services to cater to different interests:
</t>
    </r>
    <r>
      <rPr>
        <b/>
        <u/>
        <sz val="8"/>
        <color rgb="FF374151"/>
        <rFont val="Arial"/>
        <family val="2"/>
      </rPr>
      <t>Disney+</t>
    </r>
    <r>
      <rPr>
        <b/>
        <sz val="8"/>
        <color rgb="FF374151"/>
        <rFont val="Arial"/>
        <family val="2"/>
      </rPr>
      <t xml:space="preserve">: This flagship service focuses on family-friendly content, including Disney and Marvel movies and TV shows.
</t>
    </r>
    <r>
      <rPr>
        <b/>
        <u/>
        <sz val="8"/>
        <color rgb="FF374151"/>
        <rFont val="Arial"/>
        <family val="2"/>
      </rPr>
      <t>Hulu (US only)</t>
    </r>
    <r>
      <rPr>
        <b/>
        <sz val="8"/>
        <color rgb="FF374151"/>
        <rFont val="Arial"/>
        <family val="2"/>
      </rPr>
      <t xml:space="preserve">: Provides a mix of original shows, popular network programs, and movies, geared towards a more general audience.
</t>
    </r>
    <r>
      <rPr>
        <b/>
        <u/>
        <sz val="8"/>
        <color rgb="FF374151"/>
        <rFont val="Arial"/>
        <family val="2"/>
      </rPr>
      <t>ESPN+</t>
    </r>
    <r>
      <rPr>
        <b/>
        <sz val="8"/>
        <color rgb="FF374151"/>
        <rFont val="Arial"/>
        <family val="2"/>
      </rPr>
      <t>: A sports fan's haven, offering live and on-demand sports events, documentaries, and original programming.
With this range of options (there is more 2 than this), Disney covers a wide spectrum of viewers, from families with young children to sports enthusiasts and those seeking general entertainment.</t>
    </r>
  </si>
  <si>
    <r>
      <t xml:space="preserve">Warner Bros. Discovery is a global media and entertainement company. They has streamlined its streaming offerings into two main services:
</t>
    </r>
    <r>
      <rPr>
        <b/>
        <u/>
        <sz val="8"/>
        <color rgb="FF374151"/>
        <rFont val="Arial"/>
        <family val="2"/>
      </rPr>
      <t>Max</t>
    </r>
    <r>
      <rPr>
        <b/>
        <sz val="8"/>
        <color rgb="FF374151"/>
        <rFont val="Arial"/>
        <family val="2"/>
      </rPr>
      <t xml:space="preserve">: This is the home for scripted dramas, comedies, movies, and animation. It boasts content from Warner Bros., HBO, DC Comics, and even some Discovery Channel favorites.
</t>
    </r>
    <r>
      <rPr>
        <b/>
        <u/>
        <sz val="8"/>
        <color rgb="FF374151"/>
        <rFont val="Arial"/>
        <family val="2"/>
      </rPr>
      <t>Discovery+</t>
    </r>
    <r>
      <rPr>
        <b/>
        <sz val="8"/>
        <color rgb="FF374151"/>
        <rFont val="Arial"/>
        <family val="2"/>
      </rPr>
      <t>: For reality TV and documentary lovers, Discovery+ offers a vast library of shows on nature, science, exploration, true crime, and lifestyle topics from channels like Discovery, TLC, HGTV, and Food Network.
This combined approach lets Warner Bros. Discovery cater to both fans of scripted entertainment and those who prefer factual programming.</t>
    </r>
  </si>
  <si>
    <r>
      <t xml:space="preserve">Amazon.com,Inc. provides a range of products and services to costumers. The streaming landscape can be broken down into two main parts:
</t>
    </r>
    <r>
      <rPr>
        <b/>
        <u/>
        <sz val="8"/>
        <color rgb="FF374151"/>
        <rFont val="Arial"/>
        <family val="2"/>
      </rPr>
      <t>Prime Video:</t>
    </r>
    <r>
      <rPr>
        <b/>
        <sz val="8"/>
        <color rgb="FF374151"/>
        <rFont val="Arial"/>
        <family val="2"/>
      </rPr>
      <t xml:space="preserve"> This is included with a Prime membership, offering a mix of Amazon Original movies and TV shows, popular licensed content, and rentals/purchases. Prime Video caters to a broad audience with something for families, action movie buffs, and comedy lovers.
</t>
    </r>
    <r>
      <rPr>
        <b/>
        <u/>
        <sz val="8"/>
        <color rgb="FF374151"/>
        <rFont val="Arial"/>
        <family val="2"/>
      </rPr>
      <t>Prime Video Channels</t>
    </r>
    <r>
      <rPr>
        <b/>
        <sz val="8"/>
        <color rgb="FF374151"/>
        <rFont val="Arial"/>
        <family val="2"/>
      </rPr>
      <t>: This is an add-on service where you can subscribe to individual channels like Paramount+, Starz, or AMC+, providing access to their specific libraries of shows and movies. Prime Video Channels allows viewers to personalize their streaming experience by adding channels that align with their interests.
So, Amazon offers both a general streaming service with Prime Video and the option to expand your choices with targeted channels.</t>
    </r>
  </si>
  <si>
    <r>
      <t xml:space="preserve">Apple.Inc designs, manufactures and sell smartphones, personal computers, tablets, wearable and accessories, and, as well, a variety of related services.
Apple takes a more focused approach to streaming with its service:
</t>
    </r>
    <r>
      <rPr>
        <b/>
        <u/>
        <sz val="8"/>
        <color rgb="FF374151"/>
        <rFont val="Arial"/>
        <family val="2"/>
      </rPr>
      <t>Apple TV+</t>
    </r>
    <r>
      <rPr>
        <b/>
        <sz val="8"/>
        <color rgb="FF374151"/>
        <rFont val="Arial"/>
        <family val="2"/>
      </rPr>
      <t>: This subscription service features Apple Originals – critically acclaimed shows, movies, and documentaries across genres, from comedies and dramas to kids content. New Apple Originals are added regularly, giving viewers something fresh to discover.
While Apple TV+ doesn't offer the vast library of other streaming services, it emphasizes high-quality, exclusive content. It caters to viewers who value curated entertainment and are willing to pay for a smaller but prestigious selection.</t>
    </r>
  </si>
  <si>
    <t>In Millions USD</t>
  </si>
  <si>
    <t>AVERAGE</t>
  </si>
  <si>
    <t>Deviation from Average</t>
  </si>
  <si>
    <t>Company Info</t>
  </si>
  <si>
    <t>TRAFFIC</t>
  </si>
  <si>
    <t>Market Cap</t>
  </si>
  <si>
    <t>Best Value</t>
  </si>
  <si>
    <t>Net Sales (current)</t>
  </si>
  <si>
    <t>Profitability</t>
  </si>
  <si>
    <t>Important Value</t>
  </si>
  <si>
    <t>Sales Growth (ttm)</t>
  </si>
  <si>
    <t>Sales Growth (36m)</t>
  </si>
  <si>
    <t>Worst Value</t>
  </si>
  <si>
    <t>Net Income Margin</t>
  </si>
  <si>
    <t>Return on Equity (RoE)</t>
  </si>
  <si>
    <t>Return on Invested Capital (ROIC)</t>
  </si>
  <si>
    <t>Solvency</t>
  </si>
  <si>
    <t>Net Debt/EBITDA</t>
  </si>
  <si>
    <t>Interest Coverage Ratio</t>
  </si>
  <si>
    <t>Liquidity</t>
  </si>
  <si>
    <t>Current Ratio</t>
  </si>
  <si>
    <t>Quick Ratio</t>
  </si>
  <si>
    <t>Activity</t>
  </si>
  <si>
    <t>Inventory Turnover</t>
  </si>
  <si>
    <t>Acc. Receivable Turnover</t>
  </si>
  <si>
    <t>Price/Sales</t>
  </si>
  <si>
    <t>Payables Turnover</t>
  </si>
  <si>
    <t>Fixed Asset Turnover</t>
  </si>
  <si>
    <t>Total Asset Turnover</t>
  </si>
  <si>
    <t>Price/Earnings</t>
  </si>
  <si>
    <t>Price/Book</t>
  </si>
  <si>
    <t>EV/Sales</t>
  </si>
  <si>
    <t>EV/EBITDA</t>
  </si>
  <si>
    <t>Stock Info</t>
  </si>
  <si>
    <r>
      <t xml:space="preserve">b </t>
    </r>
    <r>
      <rPr>
        <b/>
        <sz val="10"/>
        <rFont val="Arial"/>
        <family val="2"/>
      </rPr>
      <t>(Yahoo)</t>
    </r>
  </si>
  <si>
    <t>Dividend Yield (yahoo finance)</t>
  </si>
  <si>
    <t>Stock Performance</t>
  </si>
  <si>
    <t>1y</t>
  </si>
  <si>
    <t>3y</t>
  </si>
  <si>
    <t>Current Price</t>
  </si>
  <si>
    <t>Average Target Price</t>
  </si>
  <si>
    <t>Upside/Downside</t>
  </si>
  <si>
    <t>Extra</t>
  </si>
  <si>
    <t>3y Operating Cash Flow</t>
  </si>
  <si>
    <t>R&amp;D/Net Sales</t>
  </si>
  <si>
    <t xml:space="preserve">          x</t>
  </si>
  <si>
    <t>IS</t>
  </si>
  <si>
    <t>Net Sales (36m ago)</t>
  </si>
  <si>
    <t>Net Sales (12m ago)</t>
  </si>
  <si>
    <t>COGS</t>
  </si>
  <si>
    <t>Operating Income</t>
  </si>
  <si>
    <t>Net Financial Cost</t>
  </si>
  <si>
    <t>Taxes</t>
  </si>
  <si>
    <t>R&amp;D</t>
  </si>
  <si>
    <t>BS</t>
  </si>
  <si>
    <t>Cash &amp; Eq.</t>
  </si>
  <si>
    <t>Acc. Receivables</t>
  </si>
  <si>
    <t>Inventory</t>
  </si>
  <si>
    <t>Current Assets</t>
  </si>
  <si>
    <t>Fixed Assets</t>
  </si>
  <si>
    <t>Acc. Payable</t>
  </si>
  <si>
    <t>Current Liabilities</t>
  </si>
  <si>
    <t>Total Debt</t>
  </si>
  <si>
    <t>Total Equity</t>
  </si>
  <si>
    <t>Company GICS Sector:</t>
  </si>
  <si>
    <t>Yes</t>
  </si>
  <si>
    <t>Communication Services</t>
  </si>
  <si>
    <t>&lt;- Select Industry</t>
  </si>
  <si>
    <t>ESG Analysis</t>
  </si>
  <si>
    <t>Relative ESG Analysis</t>
  </si>
  <si>
    <t>Parameters</t>
  </si>
  <si>
    <t>Impact</t>
  </si>
  <si>
    <t>Do they report?</t>
  </si>
  <si>
    <t>Ranking</t>
  </si>
  <si>
    <t>Mitigation Plan</t>
  </si>
  <si>
    <t>Traffic Lights</t>
  </si>
  <si>
    <t>Improvement over time?</t>
  </si>
  <si>
    <t>Targets / Goals?</t>
  </si>
  <si>
    <t>Comments</t>
  </si>
  <si>
    <t>Environmental</t>
  </si>
  <si>
    <t>Ratios</t>
  </si>
  <si>
    <t>CO2 Direct Emissions</t>
  </si>
  <si>
    <t>CO2 Emissions/$M Sales</t>
  </si>
  <si>
    <t>Total Water Consumption</t>
  </si>
  <si>
    <t>Water Consumption/$M Sales</t>
  </si>
  <si>
    <t>Total Energy Consumption</t>
  </si>
  <si>
    <t>Medium</t>
  </si>
  <si>
    <t>Energy Consumption/$M Sales</t>
  </si>
  <si>
    <t>Waste Management</t>
  </si>
  <si>
    <t>Waste Production/$M Sales</t>
  </si>
  <si>
    <t>Land Degradation/Deforestation/Biodiversity loss/Animal sufering/…</t>
  </si>
  <si>
    <t>Inputs</t>
  </si>
  <si>
    <t>Social</t>
  </si>
  <si>
    <t>Net Sales ($M)</t>
  </si>
  <si>
    <t>Employee Turnover %</t>
  </si>
  <si>
    <t>"Best in class"</t>
  </si>
  <si>
    <t>Their employee turnover is only 11% a year, which is below the 13% annual average for tech companies.</t>
  </si>
  <si>
    <t>CO2 Emissions Total (Tonnes)</t>
  </si>
  <si>
    <t>Salaries &amp; Compensation</t>
  </si>
  <si>
    <t>Medium High</t>
  </si>
  <si>
    <t>The company's employees rate the overall compensation and benefits package at 4.5 out of 5 stars.</t>
  </si>
  <si>
    <t>Water Consumption Total (Cubic Meters)</t>
  </si>
  <si>
    <t>N / A</t>
  </si>
  <si>
    <t>N/A</t>
  </si>
  <si>
    <t>Reputation</t>
  </si>
  <si>
    <t>Energy Consumption Total (Gigajoules)</t>
  </si>
  <si>
    <t>Discrimination Events</t>
  </si>
  <si>
    <t>Waste Production Total (Tonnes)</t>
  </si>
  <si>
    <t>Work Safety</t>
  </si>
  <si>
    <t>None</t>
  </si>
  <si>
    <t>Netflix employees rate work safety at 4.2 ou of 5 stars.</t>
  </si>
  <si>
    <t>ESG Scores</t>
  </si>
  <si>
    <t>Damage to consumer health</t>
  </si>
  <si>
    <t>Refinitiv</t>
  </si>
  <si>
    <t>PXP?</t>
  </si>
  <si>
    <t>Sustainalytics</t>
  </si>
  <si>
    <t>16.3 (Low risk)</t>
  </si>
  <si>
    <t>15.7 (Low risk)</t>
  </si>
  <si>
    <t>19.9 (Low risk)</t>
  </si>
  <si>
    <t>30.5 (High risk)</t>
  </si>
  <si>
    <t>17.2 (Low risk)</t>
  </si>
  <si>
    <t>Supply chain</t>
  </si>
  <si>
    <t>ISS</t>
  </si>
  <si>
    <t>C-</t>
  </si>
  <si>
    <t>C</t>
  </si>
  <si>
    <t>D+</t>
  </si>
  <si>
    <t>B</t>
  </si>
  <si>
    <t>Community involvement</t>
  </si>
  <si>
    <t>CDP</t>
  </si>
  <si>
    <t xml:space="preserve">F </t>
  </si>
  <si>
    <t xml:space="preserve">B </t>
  </si>
  <si>
    <t>A-</t>
  </si>
  <si>
    <t>Public Sector</t>
  </si>
  <si>
    <t>Litigation</t>
  </si>
  <si>
    <t>Netflix was just the target of a lawsuit recently regarding account sharing, but won in court</t>
  </si>
  <si>
    <t>Corporate Governance</t>
  </si>
  <si>
    <t>PARAMETERS</t>
  </si>
  <si>
    <t>Diversity (Gender, Age, Industry, Region)</t>
  </si>
  <si>
    <t>The board is composed by 3 women,9 men, 1 black peaople and 11 white people. The average age is 66 years old.</t>
  </si>
  <si>
    <t>IMPACT</t>
  </si>
  <si>
    <t>RANKING</t>
  </si>
  <si>
    <t>MITIGATION PLAN</t>
  </si>
  <si>
    <t>% Independence</t>
  </si>
  <si>
    <t>75% of the board is independent.</t>
  </si>
  <si>
    <t>Low</t>
  </si>
  <si>
    <t>Is there evidence of a plan/program ?</t>
  </si>
  <si>
    <t>average time as independent directors</t>
  </si>
  <si>
    <t xml:space="preserve">The average age of independent directors is 14 years old. </t>
  </si>
  <si>
    <t>Recent departures of directors / C-level executives?</t>
  </si>
  <si>
    <t>High</t>
  </si>
  <si>
    <t>CEO/Chairman duality</t>
  </si>
  <si>
    <t>The CEO and Chairman are not the same person.</t>
  </si>
  <si>
    <t>Very high</t>
  </si>
  <si>
    <t>"Villain"</t>
  </si>
  <si>
    <t>Transparency (ESG, segments, acquisitions, other)</t>
  </si>
  <si>
    <t>Time taken to report after the end of the quarter / year</t>
  </si>
  <si>
    <t xml:space="preserve">They took about 1 month to report their last year's anunal report. </t>
  </si>
  <si>
    <t>Additional participation of the CEO in other boards or excessive participation of Ch.</t>
  </si>
  <si>
    <t>9 of the 12 board members are members of the board of directors part of other companies.</t>
  </si>
  <si>
    <t>Audit / Consulting</t>
  </si>
  <si>
    <t>Netflix paid a lot of tax fees in the last year</t>
  </si>
  <si>
    <t>ESG-compensation related</t>
  </si>
  <si>
    <t>Management compensation schemes</t>
  </si>
  <si>
    <t>Netflix recognizes that they don't have wide support for our executive compensation model of the last 20 years.</t>
  </si>
  <si>
    <t>VALUATION MODEL</t>
  </si>
  <si>
    <t>Short Term</t>
  </si>
  <si>
    <t>Long Term</t>
  </si>
  <si>
    <t>Section</t>
  </si>
  <si>
    <t>Line #</t>
  </si>
  <si>
    <t>ITEM</t>
  </si>
  <si>
    <t>2021 (Real)</t>
  </si>
  <si>
    <t>2022 (Real)</t>
  </si>
  <si>
    <t>2023 (Real)</t>
  </si>
  <si>
    <t>INCOME STATEMENT</t>
  </si>
  <si>
    <t>Growth</t>
  </si>
  <si>
    <t>Revenues/Sales</t>
  </si>
  <si>
    <t>EBIT/Operating Margin</t>
  </si>
  <si>
    <t>5a</t>
  </si>
  <si>
    <t>(Dep)</t>
  </si>
  <si>
    <t>5b</t>
  </si>
  <si>
    <t>(Amort)</t>
  </si>
  <si>
    <t>5c</t>
  </si>
  <si>
    <t>(Stock based compensation)</t>
  </si>
  <si>
    <t>(Net financing cost)</t>
  </si>
  <si>
    <t>Other income/(cost)</t>
  </si>
  <si>
    <t>Earnings before taxes</t>
  </si>
  <si>
    <t>(Income tax)</t>
  </si>
  <si>
    <t>Net income</t>
  </si>
  <si>
    <t> </t>
  </si>
  <si>
    <t>CASH FLOW STATEMENT</t>
  </si>
  <si>
    <t>Operating cash flows before WK</t>
  </si>
  <si>
    <t>(Stock-based compensation)</t>
  </si>
  <si>
    <t>(Working Capital Flows)</t>
  </si>
  <si>
    <t>-Total Operating Cash Flow</t>
  </si>
  <si>
    <t>(CAPEX)</t>
  </si>
  <si>
    <t>Adq</t>
  </si>
  <si>
    <t>(Other investing flows)</t>
  </si>
  <si>
    <t>-Total Investing Flows</t>
  </si>
  <si>
    <t>(Flows related to leases)</t>
  </si>
  <si>
    <t>Flows related to debt</t>
  </si>
  <si>
    <t>(Repurchases)/Issuance of stock</t>
  </si>
  <si>
    <t>(Dividends)</t>
  </si>
  <si>
    <t>Other financing flows</t>
  </si>
  <si>
    <t>-Total Financing flows</t>
  </si>
  <si>
    <t>SUMMARY</t>
  </si>
  <si>
    <t>Cash before shareholder returns</t>
  </si>
  <si>
    <t>Returns to shareholders</t>
  </si>
  <si>
    <t>Excess cash acumulation</t>
  </si>
  <si>
    <t>BALANCE SHEET</t>
  </si>
  <si>
    <t>Intangible assets</t>
  </si>
  <si>
    <t>Accumulated amortization</t>
  </si>
  <si>
    <t>PPE+Right of use Assets</t>
  </si>
  <si>
    <t>Accumulated depreciation</t>
  </si>
  <si>
    <t>CASH &amp; DEBT &amp; DISCOUNTING</t>
  </si>
  <si>
    <t>Ending cash balance</t>
  </si>
  <si>
    <t>Discount factor</t>
  </si>
  <si>
    <t>DF + 0.1%</t>
  </si>
  <si>
    <t>+0.1%</t>
  </si>
  <si>
    <t>DF+0.5%</t>
  </si>
  <si>
    <t>+0.5%</t>
  </si>
  <si>
    <t> Discount Rate</t>
  </si>
  <si>
    <t>Risk free rate</t>
  </si>
  <si>
    <t>Equity premium</t>
  </si>
  <si>
    <t>Firm premium</t>
  </si>
  <si>
    <t>Total</t>
  </si>
  <si>
    <t>Modelling factors</t>
  </si>
  <si>
    <t>Reference (line)</t>
  </si>
  <si>
    <t>Depreciation factor</t>
  </si>
  <si>
    <t>% PPE</t>
  </si>
  <si>
    <t>Amortization factor</t>
  </si>
  <si>
    <t>% IA</t>
  </si>
  <si>
    <t>Stock-based comp</t>
  </si>
  <si>
    <t>% revenue</t>
  </si>
  <si>
    <t>Tax Rate</t>
  </si>
  <si>
    <t>% (line 9)</t>
  </si>
  <si>
    <t>Interest Rate on debt</t>
  </si>
  <si>
    <t>% debt (l29)</t>
  </si>
  <si>
    <t>Interest Rate on cash</t>
  </si>
  <si>
    <t>% of cash (l28)</t>
  </si>
  <si>
    <t>Operanting CF before WC</t>
  </si>
  <si>
    <t>Decreasing with addictions to content</t>
  </si>
  <si>
    <t>Working capital flows</t>
  </si>
  <si>
    <t>% of change revenues (l2)</t>
  </si>
  <si>
    <t>Intangible Assets</t>
  </si>
  <si>
    <t>Growing with amortization</t>
  </si>
  <si>
    <t>Capex</t>
  </si>
  <si>
    <t>% revenue (l2)</t>
  </si>
  <si>
    <t>Acquisition factor</t>
  </si>
  <si>
    <t>% net income (11)</t>
  </si>
  <si>
    <t>Repurchases</t>
  </si>
  <si>
    <t>Leases</t>
  </si>
  <si>
    <t>Cash Costs for EBIT</t>
  </si>
  <si>
    <t>% EBITDA</t>
  </si>
  <si>
    <t>$ millions</t>
  </si>
  <si>
    <t>Value of flows</t>
  </si>
  <si>
    <t>Value of perpetuity</t>
  </si>
  <si>
    <t>Total Value</t>
  </si>
  <si>
    <t>Actual share price</t>
  </si>
  <si>
    <t>Total value vs Mkt Cap</t>
  </si>
  <si>
    <t>Estimated NPV per share</t>
  </si>
  <si>
    <t>Sensibility</t>
  </si>
  <si>
    <t>Sensitivity +0.1%</t>
  </si>
  <si>
    <t>Sensitivity +0.5%</t>
  </si>
  <si>
    <t>Notes</t>
  </si>
  <si>
    <t>Assumptions</t>
  </si>
  <si>
    <t>Prospects:</t>
  </si>
  <si>
    <t>Links:</t>
  </si>
  <si>
    <t xml:space="preserve">Average </t>
  </si>
  <si>
    <t>Short Term Forecast</t>
  </si>
  <si>
    <t>Long Term Forecast</t>
  </si>
  <si>
    <t>Revenue growth</t>
  </si>
  <si>
    <t>Tax rate</t>
  </si>
  <si>
    <t>Net Income before Taxes</t>
  </si>
  <si>
    <t>Income taxes</t>
  </si>
  <si>
    <t>Aa2/AA(current level)</t>
  </si>
  <si>
    <t>Default spread</t>
  </si>
  <si>
    <t>30Y US Bond Yield</t>
  </si>
  <si>
    <t>5Y US Bond Yield</t>
  </si>
  <si>
    <t>Country default spread (US)</t>
  </si>
  <si>
    <t>Short-term cost debt</t>
  </si>
  <si>
    <t>Long-term cost of debt</t>
  </si>
  <si>
    <t>Country Risk Premium</t>
  </si>
  <si>
    <t>Equity Risk Premium</t>
  </si>
  <si>
    <t>Modelling Factors</t>
  </si>
  <si>
    <t>Last 5 Years</t>
  </si>
  <si>
    <t>Average</t>
  </si>
  <si>
    <t>Reference</t>
  </si>
  <si>
    <t xml:space="preserve">Operating cash flows before WK </t>
  </si>
  <si>
    <t>reducing with addicitons to content</t>
  </si>
  <si>
    <t xml:space="preserve">CAPEX </t>
  </si>
  <si>
    <t>Forecasts</t>
  </si>
  <si>
    <t>Switches to change scenarios</t>
  </si>
  <si>
    <t>Conservative Case - 1</t>
  </si>
  <si>
    <t>Base Case - 2</t>
  </si>
  <si>
    <t>Optimistic Case - 3</t>
  </si>
  <si>
    <t>Revenue Growth</t>
  </si>
  <si>
    <t>%Growth</t>
  </si>
  <si>
    <t>Conservative scenario</t>
  </si>
  <si>
    <t>Base scenario</t>
  </si>
  <si>
    <t>Optimistic scenario</t>
  </si>
  <si>
    <t>5Y Average</t>
  </si>
  <si>
    <t>Target</t>
  </si>
  <si>
    <t>double digit</t>
  </si>
  <si>
    <t>S&amp;P Estimate</t>
  </si>
  <si>
    <t>Operating Cash-Flow before WK</t>
  </si>
  <si>
    <t>Addictions to contante assets</t>
  </si>
  <si>
    <t>Average 10Y</t>
  </si>
  <si>
    <t>%revenue</t>
  </si>
  <si>
    <t>Average 5Y</t>
  </si>
  <si>
    <t>Results</t>
  </si>
  <si>
    <t>Growth vs. Previous year</t>
  </si>
  <si>
    <t>Gross Profit</t>
  </si>
  <si>
    <t>% over sales</t>
  </si>
  <si>
    <t>Operating expenses</t>
  </si>
  <si>
    <t xml:space="preserve">     Growth vs. Previous year</t>
  </si>
  <si>
    <t>Other Expenses (Revenues)</t>
  </si>
  <si>
    <t>Changes Net Working Capital</t>
  </si>
  <si>
    <t>EBITDA Margin</t>
  </si>
  <si>
    <t>% Tax</t>
  </si>
  <si>
    <t>Cash Generated</t>
  </si>
  <si>
    <t>Share buyback</t>
  </si>
  <si>
    <t>FNP''</t>
  </si>
  <si>
    <t>FNP'</t>
  </si>
  <si>
    <t>Payout Ratio</t>
  </si>
  <si>
    <t>Assets</t>
  </si>
  <si>
    <t>Accounts Receivable</t>
  </si>
  <si>
    <t>Property, Plant and Equipment</t>
  </si>
  <si>
    <t>Other Assets</t>
  </si>
  <si>
    <t>Liabilities</t>
  </si>
  <si>
    <t xml:space="preserve">   Short-Term Debt</t>
  </si>
  <si>
    <t xml:space="preserve">   Short-Term Leases</t>
  </si>
  <si>
    <t>Other current liabilities</t>
  </si>
  <si>
    <t>Non-current Liabilities</t>
  </si>
  <si>
    <t xml:space="preserve">   Long-Term Debt</t>
  </si>
  <si>
    <t xml:space="preserve">   Long-Term Leases</t>
  </si>
  <si>
    <t>Other non-current liabilities</t>
  </si>
  <si>
    <t>Net Debt</t>
  </si>
  <si>
    <t>Minority Interest</t>
  </si>
  <si>
    <t xml:space="preserve">Shareholder's Equity </t>
  </si>
  <si>
    <t>Changes in cash</t>
  </si>
  <si>
    <t>Other Data</t>
  </si>
  <si>
    <t>Number of employees</t>
  </si>
  <si>
    <t xml:space="preserve">Shares Outstanding </t>
  </si>
  <si>
    <t>Fitch/ S&amp;P Rating</t>
  </si>
  <si>
    <t>Dividend Yield</t>
  </si>
  <si>
    <t>Daily Volume in Millions of USD</t>
  </si>
  <si>
    <t xml:space="preserve">Short % of Float </t>
  </si>
  <si>
    <t>Corporate Bonds 3, 5 Y 10</t>
  </si>
  <si>
    <t>Average Price</t>
  </si>
  <si>
    <t>Moody's</t>
  </si>
  <si>
    <t>YTM</t>
  </si>
  <si>
    <t>DIVISA</t>
  </si>
  <si>
    <t>Sector</t>
  </si>
  <si>
    <t>Sub-Industry</t>
  </si>
  <si>
    <t>Environment</t>
  </si>
  <si>
    <t>Interactive Home Entertainment</t>
  </si>
  <si>
    <t>CO2</t>
  </si>
  <si>
    <t>Water</t>
  </si>
  <si>
    <t>Energy</t>
  </si>
  <si>
    <t>Waste</t>
  </si>
  <si>
    <t>Degradation</t>
  </si>
  <si>
    <t>Turnover</t>
  </si>
  <si>
    <t>Compensation</t>
  </si>
  <si>
    <t>Discrimination</t>
  </si>
  <si>
    <t>Security</t>
  </si>
  <si>
    <t>Damage</t>
  </si>
  <si>
    <t>Pension</t>
  </si>
  <si>
    <t>Supply</t>
  </si>
  <si>
    <t>Community</t>
  </si>
  <si>
    <t>Public</t>
  </si>
  <si>
    <t>Interactive Media &amp; Services</t>
  </si>
  <si>
    <t>Integrated Telecommunication Services</t>
  </si>
  <si>
    <t>Very High</t>
  </si>
  <si>
    <t>Consumer Discretionary</t>
  </si>
  <si>
    <t>Direct CO2 emissions</t>
  </si>
  <si>
    <t>Cable &amp; Satellite</t>
  </si>
  <si>
    <t>Consumer Staples</t>
  </si>
  <si>
    <t>Total Water Use</t>
  </si>
  <si>
    <t>Broadcasting</t>
  </si>
  <si>
    <t>Renewable Energy</t>
  </si>
  <si>
    <t>Movies &amp; Entertainment</t>
  </si>
  <si>
    <t>Financials</t>
  </si>
  <si>
    <t>Forestry</t>
  </si>
  <si>
    <t>Advertising</t>
  </si>
  <si>
    <t>Health Care</t>
  </si>
  <si>
    <t>Land Degradation/Deforestation/Biodiversity loss/Animal sufering/...</t>
  </si>
  <si>
    <t>Alternative Carriers</t>
  </si>
  <si>
    <t>Industrials</t>
  </si>
  <si>
    <t>Publishing</t>
  </si>
  <si>
    <t>Information Technology</t>
  </si>
  <si>
    <t>Employee turnover</t>
  </si>
  <si>
    <t>Wireless Telecommunication Services</t>
  </si>
  <si>
    <t>Materials</t>
  </si>
  <si>
    <t>Salaries and compensation</t>
  </si>
  <si>
    <t>Automotive Retail</t>
  </si>
  <si>
    <t>Real Estate</t>
  </si>
  <si>
    <t>Reputational issues</t>
  </si>
  <si>
    <t>Internet &amp; Direct Marketing Retail</t>
  </si>
  <si>
    <t>Utilities</t>
  </si>
  <si>
    <t>Discrimination issues</t>
  </si>
  <si>
    <t>Auto Parts &amp; Equipment</t>
  </si>
  <si>
    <t>Job security</t>
  </si>
  <si>
    <t>Specialty Stores</t>
  </si>
  <si>
    <t>Health injuries</t>
  </si>
  <si>
    <t>Computer &amp; Electronics Retail</t>
  </si>
  <si>
    <t>Hotels, Resorts &amp; Cruise Lines</t>
  </si>
  <si>
    <t>Tobacco</t>
  </si>
  <si>
    <t>Oil &amp; Gas Exploration &amp; Production</t>
  </si>
  <si>
    <t>Life &amp; Health Insurance</t>
  </si>
  <si>
    <t>Health Care Equipment</t>
  </si>
  <si>
    <t>Industrial Conglomerates</t>
  </si>
  <si>
    <t>IT Consulting &amp; Other Services</t>
  </si>
  <si>
    <t>Industrial Gases</t>
  </si>
  <si>
    <t>Office REITs</t>
  </si>
  <si>
    <t>Independent Power Producers &amp; Energy Traders</t>
  </si>
  <si>
    <t>Restaurants</t>
  </si>
  <si>
    <t>Agricultural Products</t>
  </si>
  <si>
    <t>Oil &amp; Gas Equipment &amp; Services</t>
  </si>
  <si>
    <t>Property &amp; Casualty Insurance</t>
  </si>
  <si>
    <t>Pharmaceuticals</t>
  </si>
  <si>
    <t>Airlines</t>
  </si>
  <si>
    <t>Application Software</t>
  </si>
  <si>
    <t>Specialty Chemicals</t>
  </si>
  <si>
    <t>Specialized REITs</t>
  </si>
  <si>
    <t>Electric Utilities</t>
  </si>
  <si>
    <t>Homebuilding</t>
  </si>
  <si>
    <t>Distillers &amp; Vintners</t>
  </si>
  <si>
    <t>Integrated Oil &amp; Gas</t>
  </si>
  <si>
    <t>Consumer Finance</t>
  </si>
  <si>
    <t>Health Care Supplies</t>
  </si>
  <si>
    <t>Building Products</t>
  </si>
  <si>
    <t>Semiconductors</t>
  </si>
  <si>
    <t>Paper Packaging</t>
  </si>
  <si>
    <t>Residential REITs</t>
  </si>
  <si>
    <t>Multi-Utilities</t>
  </si>
  <si>
    <t>General Merchandise Stores</t>
  </si>
  <si>
    <t>Packaged Foods &amp; Meats</t>
  </si>
  <si>
    <t>Oil &amp; Gas Refining &amp; Marketing</t>
  </si>
  <si>
    <t>Asset Management &amp; Custody Banks</t>
  </si>
  <si>
    <t>Health Care Distributors</t>
  </si>
  <si>
    <t>Electrical Components &amp; Equipment</t>
  </si>
  <si>
    <t>Internet Services &amp; Infrastructure</t>
  </si>
  <si>
    <t>Metal &amp; Glass Containers</t>
  </si>
  <si>
    <t>Real Estate Services</t>
  </si>
  <si>
    <t>Water Utilities</t>
  </si>
  <si>
    <t>Automobile Manufacturers</t>
  </si>
  <si>
    <t>Household Products</t>
  </si>
  <si>
    <t>Oil &amp; Gas Storage &amp; Transportation</t>
  </si>
  <si>
    <t>Insurance Brokers</t>
  </si>
  <si>
    <t>Biotechnology</t>
  </si>
  <si>
    <t>Aerospace &amp; Defense</t>
  </si>
  <si>
    <t>Electronic Components</t>
  </si>
  <si>
    <t>Fertilizers &amp; Agricultural Chemicals</t>
  </si>
  <si>
    <t>Industrial REITs</t>
  </si>
  <si>
    <t>Gas Utilities</t>
  </si>
  <si>
    <t>Apparel Retail</t>
  </si>
  <si>
    <t>Soft Drinks</t>
  </si>
  <si>
    <t>Multi-line Insurance</t>
  </si>
  <si>
    <t>Managed Health Care</t>
  </si>
  <si>
    <t>Air Freight &amp; Logistics</t>
  </si>
  <si>
    <t>Technology Hardware, Storage &amp; Peripherals</t>
  </si>
  <si>
    <t>Commodity Chemicals</t>
  </si>
  <si>
    <t>Retail REITs</t>
  </si>
  <si>
    <t>Consumer Electronics</t>
  </si>
  <si>
    <t>Hypermarkets &amp; Super Centers</t>
  </si>
  <si>
    <t>Diversified Banks</t>
  </si>
  <si>
    <t>Life Sciences Tools &amp; Services</t>
  </si>
  <si>
    <t>Construction Machinery &amp; Heavy Trucks</t>
  </si>
  <si>
    <t>Semiconductor Equipment</t>
  </si>
  <si>
    <t>Diversified Chemicals</t>
  </si>
  <si>
    <t>Health Care REITs</t>
  </si>
  <si>
    <t>Apparel, Accessories &amp; Luxury Goods</t>
  </si>
  <si>
    <t>Personal Products</t>
  </si>
  <si>
    <t>Multi-Sector Holdings</t>
  </si>
  <si>
    <t>Health Care Technology</t>
  </si>
  <si>
    <t>Diversified Support Services</t>
  </si>
  <si>
    <t>Communications Equipment</t>
  </si>
  <si>
    <t>Copper</t>
  </si>
  <si>
    <t>Hotel &amp; Resort REITs</t>
  </si>
  <si>
    <t>Leisure Products</t>
  </si>
  <si>
    <t>Food Retail</t>
  </si>
  <si>
    <t>Financial Exchanges &amp; Data</t>
  </si>
  <si>
    <t>Health Care Services</t>
  </si>
  <si>
    <t>Railroads</t>
  </si>
  <si>
    <t>Data Processing &amp; Outsourced Services</t>
  </si>
  <si>
    <t>Construction Materials</t>
  </si>
  <si>
    <t>Home Improvement Retail</t>
  </si>
  <si>
    <t>Brewers</t>
  </si>
  <si>
    <t>Investment Banking &amp; Brokerage</t>
  </si>
  <si>
    <t>Health Care Facilities</t>
  </si>
  <si>
    <t>Industrial Machinery</t>
  </si>
  <si>
    <t>Technology Distributors</t>
  </si>
  <si>
    <t>Gold</t>
  </si>
  <si>
    <t>Casinos &amp; Gaming</t>
  </si>
  <si>
    <t>Food Distributors</t>
  </si>
  <si>
    <t>Regional Banks</t>
  </si>
  <si>
    <t>Agricultural &amp; Farm Machinery</t>
  </si>
  <si>
    <t>Electronic Equipment &amp; Instruments</t>
  </si>
  <si>
    <t>Steel</t>
  </si>
  <si>
    <t>Home Furnishings</t>
  </si>
  <si>
    <t>Drug Retail</t>
  </si>
  <si>
    <t>Reinsurance</t>
  </si>
  <si>
    <t>Research &amp; Consulting Services</t>
  </si>
  <si>
    <t>Systems Software</t>
  </si>
  <si>
    <t>Distributors</t>
  </si>
  <si>
    <t>Thrifts &amp; Mortgage Finance</t>
  </si>
  <si>
    <t>Construction &amp; Engineering</t>
  </si>
  <si>
    <t>Electronic Manufacturing Services</t>
  </si>
  <si>
    <t>Housewares &amp; Specialties</t>
  </si>
  <si>
    <t>Trucking</t>
  </si>
  <si>
    <t>Household Appliances</t>
  </si>
  <si>
    <t>Environmental &amp; Facilities Services</t>
  </si>
  <si>
    <t>Human Resource &amp; Employment Services</t>
  </si>
  <si>
    <t>Trading Companies &amp; Distributors</t>
  </si>
  <si>
    <t>Figures in Millions of USD</t>
  </si>
  <si>
    <t>Company</t>
  </si>
  <si>
    <t>Report in millions</t>
  </si>
  <si>
    <t>RESULTS</t>
  </si>
  <si>
    <t>Hoja</t>
  </si>
  <si>
    <t>Nombre campo Bloomberg</t>
  </si>
  <si>
    <t>Cambio de signo</t>
  </si>
  <si>
    <t>Income Statement</t>
  </si>
  <si>
    <t>Sales</t>
  </si>
  <si>
    <t>Ingreso</t>
  </si>
  <si>
    <t xml:space="preserve">    + Coste de bienes y servicios</t>
  </si>
  <si>
    <t xml:space="preserve">    + Ventas, generales y admin</t>
  </si>
  <si>
    <t>investment income+other income expense+income loss+minority interest+non controlling interest+share onf net profit+gain8losses) on equity investments+share of result from associates nd joint ventures+non operating profit+</t>
  </si>
  <si>
    <t xml:space="preserve">    + Investigación y desarrollo</t>
  </si>
  <si>
    <t xml:space="preserve">    + Coste de financiación de beneficio</t>
  </si>
  <si>
    <t xml:space="preserve">    + Otro gasto operativo</t>
  </si>
  <si>
    <t xml:space="preserve">  - Beneficio (pérdida) de filiales</t>
  </si>
  <si>
    <t xml:space="preserve">  - Minoritarios</t>
  </si>
  <si>
    <t>interest expense+financial income and expenses+other financial expense-income+interest and other net+</t>
  </si>
  <si>
    <t xml:space="preserve">  - Ingreso (pérdida) no operacional</t>
  </si>
  <si>
    <t xml:space="preserve">  - Gasto de impuesto a la renta (Beneficio)</t>
  </si>
  <si>
    <t>Flujo de caja</t>
  </si>
  <si>
    <t xml:space="preserve">  + Ingreso neto</t>
  </si>
  <si>
    <t>FINANCIAL POSITION</t>
  </si>
  <si>
    <t>Weighted Average Shares (Basic NI)</t>
  </si>
  <si>
    <t>Weighted Average Shares (Diluted NI)</t>
  </si>
  <si>
    <t>Net gains (losses) from ForEx</t>
  </si>
  <si>
    <t>Total Comprehensive Income</t>
  </si>
  <si>
    <t>cash flows</t>
  </si>
  <si>
    <t>NWC</t>
  </si>
  <si>
    <t>Net Working Capital</t>
  </si>
  <si>
    <t xml:space="preserve">  + Dividendos pagados</t>
  </si>
  <si>
    <t>Cambiar signo</t>
  </si>
  <si>
    <t xml:space="preserve">    + Aumento en capital</t>
  </si>
  <si>
    <t xml:space="preserve">    + Baja en capital</t>
  </si>
  <si>
    <t>Cambiar signo y hacer suma</t>
  </si>
  <si>
    <t>ASSETS</t>
  </si>
  <si>
    <t>Current</t>
  </si>
  <si>
    <t>Balance Sheet</t>
  </si>
  <si>
    <t>Balance</t>
  </si>
  <si>
    <t xml:space="preserve">  + Efectivo, equivalentes y STI</t>
  </si>
  <si>
    <t>Other Current Assets</t>
  </si>
  <si>
    <t xml:space="preserve">  + Cuentas y notas por cobrar</t>
  </si>
  <si>
    <t xml:space="preserve">    + Activos derivados y de cobertura</t>
  </si>
  <si>
    <t xml:space="preserve">  + Inversiones y cuentas por cobrar a LP</t>
  </si>
  <si>
    <t>Non-current</t>
  </si>
  <si>
    <t xml:space="preserve">  + Inventarios</t>
  </si>
  <si>
    <t>Operating leases</t>
  </si>
  <si>
    <t>Equity Method Investments</t>
  </si>
  <si>
    <t>Other Non-Current Assets</t>
  </si>
  <si>
    <t xml:space="preserve">  + Propiedad, planta y equipo; neto</t>
  </si>
  <si>
    <t>Activos totales</t>
  </si>
  <si>
    <t>LIABILITIES</t>
  </si>
  <si>
    <t>Payables</t>
  </si>
  <si>
    <t>Short term Debt</t>
  </si>
  <si>
    <t>Pasivos totales corrientes</t>
  </si>
  <si>
    <t xml:space="preserve">    + Préstamos CP</t>
  </si>
  <si>
    <t>Total non current liabilities</t>
  </si>
  <si>
    <t>Long term debt</t>
  </si>
  <si>
    <t>Pasivos totales no corrientes</t>
  </si>
  <si>
    <t>Other non current Liabilities</t>
  </si>
  <si>
    <t xml:space="preserve">    + Préstamos a largo plazo</t>
  </si>
  <si>
    <t xml:space="preserve">  + Participación minoritaria/no dominante</t>
  </si>
  <si>
    <t>CASH FLOW</t>
  </si>
  <si>
    <t>Changes in assets and liabilities</t>
  </si>
  <si>
    <t>Other Adjustments</t>
  </si>
  <si>
    <t>Other Inflows (Outflows)</t>
  </si>
  <si>
    <t>Debt Borrowing</t>
  </si>
  <si>
    <t>Debt Repayment</t>
  </si>
  <si>
    <t>Lease Increases</t>
  </si>
  <si>
    <t>Lease Payments</t>
  </si>
  <si>
    <t>cash flows FINANCING</t>
  </si>
  <si>
    <t>Dividends paid</t>
  </si>
  <si>
    <t>(Vitalis will later fill this info)</t>
  </si>
  <si>
    <t xml:space="preserve">Other Data </t>
  </si>
  <si>
    <t xml:space="preserve">Average Price </t>
  </si>
  <si>
    <t xml:space="preserve">Number of employees </t>
  </si>
  <si>
    <t>10-K</t>
  </si>
  <si>
    <t>bloomberg</t>
  </si>
  <si>
    <t>Shares Outstanding (Thousands)</t>
  </si>
  <si>
    <t>Yahoo finance</t>
  </si>
  <si>
    <t>Dividend Yield(Yahoo Finance)</t>
  </si>
  <si>
    <t>Yahoo Finance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</si>
</sst>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4">
    <numFmt numFmtId="176" formatCode="_-&quot;$&quot;* #,##0.00_-;\-&quot;$&quot;* #,##0.00_-;_-&quot;$&quot;* &quot;-&quot;??_-;_-@_-"/>
    <numFmt numFmtId="177" formatCode="&quot;$&quot;#,##0.00"/>
    <numFmt numFmtId="178" formatCode="&quot;$&quot;#,##0"/>
    <numFmt numFmtId="179" formatCode="0.0%"/>
    <numFmt numFmtId="180" formatCode="0.0"/>
    <numFmt numFmtId="181" formatCode="#,##0.0"/>
    <numFmt numFmtId="182" formatCode="[$$-409]#,##0.00_ ;\-[$$-409]#,##0.00\ "/>
    <numFmt numFmtId="183" formatCode="[$$-409]#,##0.00"/>
    <numFmt numFmtId="184" formatCode="[$$-409]#,##0"/>
    <numFmt numFmtId="185" formatCode="_-[$$-409]* #,##0.00_ ;_-[$$-409]* \-#,##0.00\ ;_-[$$-409]* &quot;-&quot;??_ ;_-@_ "/>
    <numFmt numFmtId="186" formatCode="0.000000"/>
    <numFmt numFmtId="187" formatCode="_([$$-409]* #,##0.00_);_([$$-409]* \(#,##0.00\);_([$$-409]* &quot;-&quot;??_);_(@_)"/>
    <numFmt numFmtId="188" formatCode="0.000%"/>
    <numFmt numFmtId="189" formatCode="&quot;€&quot;#,##0.00"/>
  </numFmts>
  <fonts count="92">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2"/>
      <name val="Arial"/>
      <family val="2"/>
    </font>
    <font>
      <u/>
      <sz val="10"/>
      <color indexed="12"/>
      <name val="Arial"/>
      <family val="2"/>
    </font>
    <font>
      <sz val="10"/>
      <color indexed="8"/>
      <name val="Arial"/>
      <family val="2"/>
    </font>
    <font>
      <sz val="10"/>
      <name val="Arial"/>
      <family val="2"/>
    </font>
    <font>
      <b/>
      <sz val="10"/>
      <name val="Arial"/>
      <family val="2"/>
    </font>
    <font>
      <b/>
      <sz val="10"/>
      <name val="Symbol"/>
      <family val="1"/>
      <charset val="2"/>
    </font>
    <font>
      <sz val="10"/>
      <name val="Symbol"/>
      <family val="1"/>
      <charset val="2"/>
    </font>
    <font>
      <b/>
      <sz val="16"/>
      <color indexed="9"/>
      <name val="Arial"/>
      <family val="2"/>
    </font>
    <font>
      <b/>
      <sz val="10"/>
      <color indexed="9"/>
      <name val="Arial"/>
      <family val="2"/>
    </font>
    <font>
      <b/>
      <sz val="10"/>
      <color indexed="8"/>
      <name val="Arial"/>
      <family val="2"/>
    </font>
    <font>
      <sz val="10"/>
      <color indexed="63"/>
      <name val="Arial"/>
      <family val="2"/>
    </font>
    <font>
      <i/>
      <sz val="10"/>
      <color indexed="8"/>
      <name val="Arial"/>
      <family val="2"/>
    </font>
    <font>
      <b/>
      <sz val="9.3000000000000007"/>
      <name val="Arial"/>
      <family val="2"/>
    </font>
    <font>
      <sz val="10"/>
      <name val="Arial"/>
      <family val="2"/>
    </font>
    <font>
      <b/>
      <sz val="11"/>
      <name val="Arial"/>
      <family val="2"/>
    </font>
    <font>
      <sz val="11"/>
      <color theme="1"/>
      <name val="Calibri"/>
      <family val="2"/>
      <scheme val="minor"/>
    </font>
    <font>
      <sz val="10"/>
      <color rgb="FFFF0000"/>
      <name val="Arial"/>
      <family val="2"/>
    </font>
    <font>
      <sz val="10"/>
      <color theme="0"/>
      <name val="Arial"/>
      <family val="2"/>
    </font>
    <font>
      <b/>
      <sz val="10"/>
      <color theme="0"/>
      <name val="Arial"/>
      <family val="2"/>
    </font>
    <font>
      <b/>
      <sz val="11"/>
      <color theme="3"/>
      <name val="Arial"/>
      <family val="2"/>
    </font>
    <font>
      <sz val="10"/>
      <color rgb="FF333333"/>
      <name val="Arial"/>
      <family val="2"/>
    </font>
    <font>
      <b/>
      <sz val="14"/>
      <color rgb="FFFF0000"/>
      <name val="Arial"/>
      <family val="2"/>
    </font>
    <font>
      <b/>
      <sz val="16"/>
      <color theme="0"/>
      <name val="Arial"/>
      <family val="2"/>
    </font>
    <font>
      <sz val="10"/>
      <color rgb="FF92D050"/>
      <name val="Arial"/>
      <family val="2"/>
    </font>
    <font>
      <sz val="10"/>
      <color theme="1"/>
      <name val="Arial"/>
      <family val="2"/>
    </font>
    <font>
      <sz val="10"/>
      <color rgb="FF000000"/>
      <name val="Arial"/>
      <family val="2"/>
    </font>
    <font>
      <sz val="11"/>
      <name val="Arial"/>
      <family val="2"/>
    </font>
    <font>
      <sz val="11"/>
      <color theme="1"/>
      <name val="Arial"/>
      <family val="2"/>
    </font>
    <font>
      <sz val="12"/>
      <color rgb="FFFFFFFF"/>
      <name val="Calibri"/>
      <family val="2"/>
    </font>
    <font>
      <sz val="7.5"/>
      <name val="Arial"/>
      <family val="2"/>
    </font>
    <font>
      <sz val="9"/>
      <name val="Arial"/>
      <family val="2"/>
    </font>
    <font>
      <b/>
      <sz val="9"/>
      <name val="Arial"/>
      <family val="2"/>
    </font>
    <font>
      <sz val="7.5"/>
      <color theme="0"/>
      <name val="Arial"/>
      <family val="2"/>
    </font>
    <font>
      <b/>
      <sz val="7.5"/>
      <name val="Arial"/>
      <family val="2"/>
    </font>
    <font>
      <b/>
      <sz val="16"/>
      <name val="Arial"/>
      <family val="2"/>
    </font>
    <font>
      <b/>
      <u/>
      <sz val="10"/>
      <color theme="4"/>
      <name val="Arial"/>
      <family val="2"/>
    </font>
    <font>
      <b/>
      <sz val="14"/>
      <name val="Arial"/>
      <family val="2"/>
    </font>
    <font>
      <b/>
      <sz val="14"/>
      <color theme="0"/>
      <name val="Arial"/>
      <family val="2"/>
    </font>
    <font>
      <b/>
      <sz val="12"/>
      <color theme="0"/>
      <name val="Arial"/>
      <family val="2"/>
    </font>
    <font>
      <b/>
      <sz val="9"/>
      <color theme="0"/>
      <name val="Arial"/>
      <family val="2"/>
    </font>
    <font>
      <b/>
      <sz val="8"/>
      <color theme="0"/>
      <name val="Arial"/>
      <family val="2"/>
    </font>
    <font>
      <b/>
      <sz val="11"/>
      <color theme="0"/>
      <name val="Arial"/>
      <family val="2"/>
    </font>
    <font>
      <b/>
      <sz val="12"/>
      <color indexed="9"/>
      <name val="Arial"/>
      <family val="2"/>
    </font>
    <font>
      <b/>
      <sz val="10"/>
      <color rgb="FFFF0000"/>
      <name val="Arial"/>
      <family val="2"/>
    </font>
    <font>
      <sz val="16"/>
      <color theme="0"/>
      <name val="Arial"/>
      <family val="2"/>
    </font>
    <font>
      <sz val="11"/>
      <color rgb="FF000000"/>
      <name val="Calibri"/>
      <family val="2"/>
    </font>
    <font>
      <b/>
      <sz val="16"/>
      <color rgb="FFFFFFFF"/>
      <name val="Arial"/>
      <family val="2"/>
    </font>
    <font>
      <b/>
      <sz val="11"/>
      <color rgb="FF000000"/>
      <name val="Calibri"/>
      <family val="2"/>
    </font>
    <font>
      <b/>
      <sz val="11"/>
      <name val="Calibri"/>
      <family val="2"/>
    </font>
    <font>
      <sz val="10"/>
      <color rgb="FFFFFFFF"/>
      <name val="Arial"/>
      <family val="2"/>
    </font>
    <font>
      <sz val="11"/>
      <name val="Calibri"/>
      <family val="2"/>
    </font>
    <font>
      <sz val="11"/>
      <color rgb="FFC00000"/>
      <name val="Calibri"/>
      <family val="2"/>
    </font>
    <font>
      <b/>
      <sz val="14"/>
      <color rgb="FF000000"/>
      <name val="Calibri"/>
      <family val="2"/>
    </font>
    <font>
      <sz val="11"/>
      <color theme="1"/>
      <name val="Calibri"/>
      <family val="2"/>
    </font>
    <font>
      <sz val="10"/>
      <color rgb="FF232A31"/>
      <name val="Arial"/>
      <family val="2"/>
    </font>
    <font>
      <b/>
      <sz val="10"/>
      <color rgb="FF000000"/>
      <name val="Arial"/>
      <family val="2"/>
    </font>
    <font>
      <b/>
      <sz val="11"/>
      <color theme="1"/>
      <name val="Calibri"/>
      <family val="2"/>
      <scheme val="minor"/>
    </font>
    <font>
      <sz val="11"/>
      <color theme="0"/>
      <name val="Calibri"/>
      <family val="2"/>
    </font>
    <font>
      <sz val="12"/>
      <name val="Arial"/>
      <family val="2"/>
    </font>
    <font>
      <sz val="11"/>
      <color rgb="FFFF0000"/>
      <name val="Calibri"/>
      <family val="2"/>
    </font>
    <font>
      <sz val="10"/>
      <name val="Calibri"/>
      <family val="2"/>
      <charset val="1"/>
    </font>
    <font>
      <sz val="14"/>
      <name val="Arial"/>
      <family val="2"/>
    </font>
    <font>
      <sz val="8"/>
      <color theme="0"/>
      <name val="Arial"/>
      <family val="2"/>
    </font>
    <font>
      <b/>
      <sz val="12"/>
      <color rgb="FF000000"/>
      <name val="Arial"/>
      <family val="2"/>
    </font>
    <font>
      <b/>
      <sz val="8"/>
      <color rgb="FFFFFFFF"/>
      <name val="Arial"/>
      <family val="2"/>
    </font>
    <font>
      <b/>
      <sz val="11"/>
      <color rgb="FFFFFFFF"/>
      <name val="Arial"/>
      <family val="2"/>
    </font>
    <font>
      <i/>
      <sz val="10"/>
      <name val="Arial"/>
      <family val="2"/>
    </font>
    <font>
      <i/>
      <sz val="10"/>
      <color theme="1"/>
      <name val="Arial"/>
      <family val="2"/>
    </font>
    <font>
      <b/>
      <sz val="11"/>
      <color rgb="FF000000"/>
      <name val="Calibri"/>
      <family val="2"/>
      <scheme val="minor"/>
    </font>
    <font>
      <b/>
      <sz val="11"/>
      <color indexed="9"/>
      <name val="Arial"/>
      <family val="2"/>
    </font>
    <font>
      <sz val="10"/>
      <color rgb="FF221F1F"/>
      <name val="Arial"/>
      <family val="2"/>
    </font>
    <font>
      <sz val="9"/>
      <color indexed="81"/>
      <name val="Tahoma"/>
      <family val="2"/>
    </font>
    <font>
      <b/>
      <sz val="9"/>
      <color indexed="81"/>
      <name val="Tahoma"/>
      <family val="2"/>
    </font>
    <font>
      <sz val="10"/>
      <color theme="5" tint="-0.499984740745262"/>
      <name val="Arial"/>
      <family val="2"/>
    </font>
    <font>
      <sz val="10"/>
      <color rgb="FF000000"/>
      <name val="Arial"/>
      <family val="2"/>
      <charset val="1"/>
    </font>
    <font>
      <b/>
      <sz val="10"/>
      <color theme="1"/>
      <name val="Arial"/>
      <family val="2"/>
    </font>
    <font>
      <sz val="10"/>
      <color theme="5" tint="-0.249977111117893"/>
      <name val="Arial"/>
      <family val="2"/>
    </font>
    <font>
      <b/>
      <sz val="10"/>
      <color theme="5" tint="-0.249977111117893"/>
      <name val="Arial"/>
      <family val="2"/>
    </font>
    <font>
      <sz val="8"/>
      <name val="Arial"/>
      <family val="2"/>
    </font>
    <font>
      <b/>
      <sz val="8"/>
      <color rgb="FF374151"/>
      <name val="Arial"/>
      <family val="2"/>
    </font>
    <font>
      <b/>
      <sz val="8"/>
      <name val="Arial"/>
      <family val="2"/>
    </font>
    <font>
      <b/>
      <u/>
      <sz val="8"/>
      <color rgb="FF374151"/>
      <name val="Arial"/>
      <family val="2"/>
    </font>
    <font>
      <sz val="13"/>
      <name val="Arial"/>
      <family val="2"/>
    </font>
  </fonts>
  <fills count="49">
    <fill>
      <patternFill patternType="none"/>
    </fill>
    <fill>
      <patternFill patternType="gray125"/>
    </fill>
    <fill>
      <patternFill patternType="solid">
        <fgColor rgb="FF4F81BD"/>
        <bgColor indexed="64"/>
      </patternFill>
    </fill>
    <fill>
      <patternFill patternType="solid">
        <fgColor rgb="FFFFFFFF"/>
        <bgColor indexed="64"/>
      </patternFill>
    </fill>
    <fill>
      <patternFill patternType="solid">
        <fgColor rgb="FFF2F2F2"/>
        <bgColor indexed="64"/>
      </patternFill>
    </fill>
    <fill>
      <patternFill patternType="solid">
        <fgColor theme="3"/>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rgb="FF00B0F0"/>
        <bgColor indexed="64"/>
      </patternFill>
    </fill>
    <fill>
      <patternFill patternType="solid">
        <fgColor rgb="FF7030A0"/>
        <bgColor indexed="64"/>
      </patternFill>
    </fill>
    <fill>
      <patternFill patternType="solid">
        <fgColor rgb="FFFFFF00"/>
        <bgColor indexed="64"/>
      </patternFill>
    </fill>
    <fill>
      <patternFill patternType="solid">
        <fgColor theme="5"/>
        <bgColor indexed="64"/>
      </patternFill>
    </fill>
    <fill>
      <patternFill patternType="solid">
        <fgColor theme="3" tint="0.79998168889431442"/>
        <bgColor indexed="64"/>
      </patternFill>
    </fill>
    <fill>
      <patternFill patternType="solid">
        <fgColor theme="8" tint="-0.249977111117893"/>
        <bgColor indexed="64"/>
      </patternFill>
    </fill>
    <fill>
      <patternFill patternType="solid">
        <fgColor theme="9" tint="-0.249977111117893"/>
        <bgColor indexed="64"/>
      </patternFill>
    </fill>
    <fill>
      <patternFill patternType="solid">
        <fgColor theme="0" tint="-4.9989318521683403E-2"/>
        <bgColor indexed="64"/>
      </patternFill>
    </fill>
    <fill>
      <patternFill patternType="solid">
        <fgColor theme="1"/>
        <bgColor indexed="64"/>
      </patternFill>
    </fill>
    <fill>
      <patternFill patternType="solid">
        <fgColor indexed="57"/>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rgb="FF00B050"/>
        <bgColor indexed="64"/>
      </patternFill>
    </fill>
    <fill>
      <patternFill patternType="solid">
        <fgColor theme="4" tint="0.79998168889431442"/>
        <bgColor indexed="64"/>
      </patternFill>
    </fill>
    <fill>
      <patternFill patternType="solid">
        <fgColor rgb="FFBBF0FB"/>
        <bgColor indexed="64"/>
      </patternFill>
    </fill>
    <fill>
      <patternFill patternType="solid">
        <fgColor rgb="FF9AFCBB"/>
        <bgColor indexed="64"/>
      </patternFill>
    </fill>
    <fill>
      <patternFill patternType="solid">
        <fgColor rgb="FF91E8F9"/>
        <bgColor indexed="64"/>
      </patternFill>
    </fill>
    <fill>
      <patternFill patternType="solid">
        <fgColor rgb="FF92D050"/>
        <bgColor indexed="64"/>
      </patternFill>
    </fill>
    <fill>
      <patternFill patternType="solid">
        <fgColor rgb="FF002060"/>
        <bgColor indexed="64"/>
      </patternFill>
    </fill>
    <fill>
      <patternFill patternType="solid">
        <fgColor rgb="FF339966"/>
        <bgColor indexed="64"/>
      </patternFill>
    </fill>
    <fill>
      <patternFill patternType="solid">
        <fgColor rgb="FF1F497D"/>
        <bgColor indexed="64"/>
      </patternFill>
    </fill>
    <fill>
      <patternFill patternType="solid">
        <fgColor rgb="FF1B7087"/>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rgb="FFC5D9F1"/>
        <bgColor indexed="64"/>
      </patternFill>
    </fill>
    <fill>
      <patternFill patternType="solid">
        <fgColor rgb="FF1F497D"/>
        <bgColor rgb="FF000000"/>
      </patternFill>
    </fill>
    <fill>
      <patternFill patternType="solid">
        <fgColor rgb="FFDAEEF3"/>
        <bgColor rgb="FF000000"/>
      </patternFill>
    </fill>
    <fill>
      <patternFill patternType="solid">
        <fgColor rgb="FFDDD9C4"/>
        <bgColor rgb="FF000000"/>
      </patternFill>
    </fill>
    <fill>
      <patternFill patternType="solid">
        <fgColor rgb="FFFFFF00"/>
        <bgColor rgb="FF000000"/>
      </patternFill>
    </fill>
    <fill>
      <patternFill patternType="solid">
        <fgColor rgb="FFD9D9D9"/>
        <bgColor rgb="FF000000"/>
      </patternFill>
    </fill>
    <fill>
      <patternFill patternType="solid">
        <fgColor rgb="FFFDE9D9"/>
        <bgColor rgb="FF000000"/>
      </patternFill>
    </fill>
    <fill>
      <patternFill patternType="solid">
        <fgColor theme="0"/>
        <bgColor rgb="FF000000"/>
      </patternFill>
    </fill>
    <fill>
      <patternFill patternType="solid">
        <fgColor theme="2" tint="-9.9978637043366805E-2"/>
        <bgColor indexed="64"/>
      </patternFill>
    </fill>
    <fill>
      <patternFill patternType="solid">
        <fgColor rgb="FFFF0000"/>
        <bgColor rgb="FF000000"/>
      </patternFill>
    </fill>
    <fill>
      <patternFill patternType="solid">
        <fgColor rgb="FF00B050"/>
        <bgColor rgb="FF000000"/>
      </patternFill>
    </fill>
    <fill>
      <patternFill patternType="solid">
        <fgColor theme="9" tint="0.79998168889431442"/>
        <bgColor indexed="64"/>
      </patternFill>
    </fill>
    <fill>
      <patternFill patternType="solid">
        <fgColor theme="5" tint="0.79998168889431442"/>
        <bgColor indexed="64"/>
      </patternFill>
    </fill>
    <fill>
      <patternFill patternType="solid">
        <fgColor theme="5" tint="-0.249977111117893"/>
        <bgColor indexed="64"/>
      </patternFill>
    </fill>
  </fills>
  <borders count="261">
    <border>
      <left/>
      <right/>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medium">
        <color theme="3"/>
      </left>
      <right/>
      <top style="thin">
        <color theme="0" tint="-0.499984740745262"/>
      </top>
      <bottom style="thin">
        <color theme="0" tint="-0.499984740745262"/>
      </bottom>
      <diagonal/>
    </border>
    <border>
      <left style="medium">
        <color theme="3"/>
      </left>
      <right/>
      <top style="thin">
        <color theme="0" tint="-0.499984740745262"/>
      </top>
      <bottom/>
      <diagonal/>
    </border>
    <border>
      <left style="medium">
        <color theme="3"/>
      </left>
      <right/>
      <top/>
      <bottom/>
      <diagonal/>
    </border>
    <border>
      <left/>
      <right style="medium">
        <color theme="3"/>
      </right>
      <top style="thin">
        <color theme="0" tint="-0.499984740745262"/>
      </top>
      <bottom style="thin">
        <color theme="0" tint="-0.499984740745262"/>
      </bottom>
      <diagonal/>
    </border>
    <border>
      <left/>
      <right style="medium">
        <color theme="3"/>
      </right>
      <top/>
      <bottom/>
      <diagonal/>
    </border>
    <border>
      <left style="medium">
        <color theme="3"/>
      </left>
      <right/>
      <top/>
      <bottom style="thin">
        <color theme="0" tint="-0.499984740745262"/>
      </bottom>
      <diagonal/>
    </border>
    <border>
      <left style="medium">
        <color theme="3"/>
      </left>
      <right/>
      <top/>
      <bottom style="medium">
        <color theme="3"/>
      </bottom>
      <diagonal/>
    </border>
    <border>
      <left/>
      <right style="thin">
        <color theme="0" tint="-0.499984740745262"/>
      </right>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medium">
        <color theme="3"/>
      </bottom>
      <diagonal/>
    </border>
    <border>
      <left/>
      <right/>
      <top style="medium">
        <color theme="3"/>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3"/>
      </left>
      <right style="thin">
        <color theme="0" tint="-0.249977111117893"/>
      </right>
      <top style="medium">
        <color theme="3"/>
      </top>
      <bottom style="thin">
        <color theme="0" tint="-0.249977111117893"/>
      </bottom>
      <diagonal/>
    </border>
    <border>
      <left style="thin">
        <color theme="0" tint="-0.249977111117893"/>
      </left>
      <right style="thin">
        <color theme="0" tint="-0.249977111117893"/>
      </right>
      <top style="medium">
        <color theme="3"/>
      </top>
      <bottom style="thin">
        <color theme="0" tint="-0.249977111117893"/>
      </bottom>
      <diagonal/>
    </border>
    <border>
      <left style="medium">
        <color theme="3"/>
      </left>
      <right style="thin">
        <color theme="0" tint="-0.249977111117893"/>
      </right>
      <top style="thin">
        <color theme="0" tint="-0.249977111117893"/>
      </top>
      <bottom style="thin">
        <color theme="0" tint="-0.249977111117893"/>
      </bottom>
      <diagonal/>
    </border>
    <border>
      <left style="thin">
        <color theme="0" tint="-0.249977111117893"/>
      </left>
      <right style="medium">
        <color theme="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right/>
      <top style="medium">
        <color theme="3"/>
      </top>
      <bottom style="thin">
        <color theme="0" tint="-0.499984740745262"/>
      </bottom>
      <diagonal/>
    </border>
    <border>
      <left/>
      <right style="medium">
        <color theme="3"/>
      </right>
      <top style="medium">
        <color theme="3"/>
      </top>
      <bottom style="thin">
        <color theme="0" tint="-0.499984740745262"/>
      </bottom>
      <diagonal/>
    </border>
    <border>
      <left/>
      <right/>
      <top/>
      <bottom style="thin">
        <color indexed="64"/>
      </bottom>
      <diagonal/>
    </border>
    <border>
      <left style="thin">
        <color theme="0" tint="-0.249977111117893"/>
      </left>
      <right/>
      <top/>
      <bottom style="thin">
        <color theme="0" tint="-0.249977111117893"/>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theme="3"/>
      </left>
      <right style="medium">
        <color theme="3"/>
      </right>
      <top style="thin">
        <color theme="0" tint="-0.499984740745262"/>
      </top>
      <bottom/>
      <diagonal/>
    </border>
    <border>
      <left/>
      <right/>
      <top style="medium">
        <color theme="3"/>
      </top>
      <bottom style="medium">
        <color theme="3"/>
      </bottom>
      <diagonal/>
    </border>
    <border>
      <left/>
      <right style="medium">
        <color indexed="64"/>
      </right>
      <top style="medium">
        <color indexed="64"/>
      </top>
      <bottom/>
      <diagonal/>
    </border>
    <border>
      <left/>
      <right style="medium">
        <color theme="3"/>
      </right>
      <top/>
      <bottom style="thin">
        <color theme="0" tint="-0.249977111117893"/>
      </bottom>
      <diagonal/>
    </border>
    <border>
      <left style="medium">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theme="0" tint="-0.249977111117893"/>
      </left>
      <right/>
      <top style="thin">
        <color rgb="FF1F497D"/>
      </top>
      <bottom style="thin">
        <color theme="0" tint="-0.249977111117893"/>
      </bottom>
      <diagonal/>
    </border>
    <border>
      <left/>
      <right/>
      <top style="thin">
        <color rgb="FF1F497D"/>
      </top>
      <bottom style="thin">
        <color theme="0" tint="-0.249977111117893"/>
      </bottom>
      <diagonal/>
    </border>
    <border>
      <left/>
      <right style="thin">
        <color theme="0" tint="-0.249977111117893"/>
      </right>
      <top style="thin">
        <color rgb="FF1F497D"/>
      </top>
      <bottom style="thin">
        <color theme="0" tint="-0.249977111117893"/>
      </bottom>
      <diagonal/>
    </border>
    <border>
      <left style="medium">
        <color rgb="FF1F497D"/>
      </left>
      <right/>
      <top/>
      <bottom/>
      <diagonal/>
    </border>
    <border>
      <left/>
      <right style="medium">
        <color rgb="FF1F497D"/>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77111117893"/>
      </left>
      <right style="medium">
        <color theme="3"/>
      </right>
      <top/>
      <bottom style="thin">
        <color theme="0" tint="-0.249977111117893"/>
      </bottom>
      <diagonal/>
    </border>
    <border>
      <left style="thin">
        <color theme="0" tint="-0.14999847407452621"/>
      </left>
      <right style="thin">
        <color theme="0" tint="-0.14999847407452621"/>
      </right>
      <top style="medium">
        <color theme="3"/>
      </top>
      <bottom/>
      <diagonal/>
    </border>
    <border>
      <left style="thin">
        <color theme="0" tint="-0.249977111117893"/>
      </left>
      <right/>
      <top style="medium">
        <color theme="3"/>
      </top>
      <bottom/>
      <diagonal/>
    </border>
    <border>
      <left/>
      <right style="thin">
        <color theme="0" tint="-0.249977111117893"/>
      </right>
      <top style="medium">
        <color theme="3"/>
      </top>
      <bottom/>
      <diagonal/>
    </border>
    <border>
      <left style="thin">
        <color theme="0" tint="-0.249977111117893"/>
      </left>
      <right style="thin">
        <color theme="0" tint="-0.249977111117893"/>
      </right>
      <top style="medium">
        <color theme="3"/>
      </top>
      <bottom/>
      <diagonal/>
    </border>
    <border>
      <left style="thin">
        <color theme="0" tint="-0.249977111117893"/>
      </left>
      <right style="medium">
        <color theme="3"/>
      </right>
      <top style="medium">
        <color theme="3"/>
      </top>
      <bottom/>
      <diagonal/>
    </border>
    <border>
      <left style="thin">
        <color indexed="64"/>
      </left>
      <right style="medium">
        <color rgb="FF1F497D"/>
      </right>
      <top style="thin">
        <color indexed="64"/>
      </top>
      <bottom style="thin">
        <color indexed="64"/>
      </bottom>
      <diagonal/>
    </border>
    <border>
      <left style="thin">
        <color theme="0" tint="-0.24994659260841701"/>
      </left>
      <right style="thin">
        <color theme="0" tint="-0.24994659260841701"/>
      </right>
      <top style="thin">
        <color theme="0" tint="-0.24994659260841701"/>
      </top>
      <bottom/>
      <diagonal/>
    </border>
    <border>
      <left style="thin">
        <color indexed="64"/>
      </left>
      <right style="medium">
        <color rgb="FF1F497D"/>
      </right>
      <top/>
      <bottom style="thin">
        <color indexed="64"/>
      </bottom>
      <diagonal/>
    </border>
    <border>
      <left style="thin">
        <color theme="0" tint="-0.24994659260841701"/>
      </left>
      <right style="medium">
        <color theme="3"/>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rgb="FF1F497D"/>
      </left>
      <right style="thin">
        <color rgb="FF1F497D"/>
      </right>
      <top style="thin">
        <color rgb="FF1F497D"/>
      </top>
      <bottom style="thin">
        <color rgb="FF1F497D"/>
      </bottom>
      <diagonal/>
    </border>
    <border>
      <left style="medium">
        <color rgb="FF1F497D"/>
      </left>
      <right style="medium">
        <color rgb="FF1F497D"/>
      </right>
      <top style="medium">
        <color rgb="FF1F497D"/>
      </top>
      <bottom style="medium">
        <color rgb="FF1F497D"/>
      </bottom>
      <diagonal/>
    </border>
    <border>
      <left style="medium">
        <color rgb="FF1F497D"/>
      </left>
      <right style="medium">
        <color theme="3"/>
      </right>
      <top/>
      <bottom style="medium">
        <color rgb="FF1F497D"/>
      </bottom>
      <diagonal/>
    </border>
    <border>
      <left style="medium">
        <color rgb="FF1F497D"/>
      </left>
      <right/>
      <top style="medium">
        <color rgb="FF1F497D"/>
      </top>
      <bottom/>
      <diagonal/>
    </border>
    <border>
      <left/>
      <right/>
      <top style="medium">
        <color rgb="FF1F497D"/>
      </top>
      <bottom/>
      <diagonal/>
    </border>
    <border>
      <left/>
      <right style="medium">
        <color rgb="FF1F497D"/>
      </right>
      <top style="medium">
        <color rgb="FF1F497D"/>
      </top>
      <bottom/>
      <diagonal/>
    </border>
    <border>
      <left style="medium">
        <color rgb="FF1F497D"/>
      </left>
      <right/>
      <top/>
      <bottom style="medium">
        <color rgb="FF1F497D"/>
      </bottom>
      <diagonal/>
    </border>
    <border>
      <left/>
      <right/>
      <top style="medium">
        <color theme="3"/>
      </top>
      <bottom style="medium">
        <color rgb="FF1F497D"/>
      </bottom>
      <diagonal/>
    </border>
    <border>
      <left style="medium">
        <color rgb="FF1F497D"/>
      </left>
      <right/>
      <top style="medium">
        <color rgb="FF1F497D"/>
      </top>
      <bottom style="medium">
        <color rgb="FF1F497D"/>
      </bottom>
      <diagonal/>
    </border>
    <border>
      <left/>
      <right/>
      <top style="medium">
        <color rgb="FF1F497D"/>
      </top>
      <bottom style="medium">
        <color rgb="FF1F497D"/>
      </bottom>
      <diagonal/>
    </border>
    <border>
      <left/>
      <right style="medium">
        <color rgb="FF1F497D"/>
      </right>
      <top style="medium">
        <color rgb="FF1F497D"/>
      </top>
      <bottom style="medium">
        <color rgb="FF1F497D"/>
      </bottom>
      <diagonal/>
    </border>
    <border>
      <left/>
      <right/>
      <top/>
      <bottom style="medium">
        <color rgb="FF1F497D"/>
      </bottom>
      <diagonal/>
    </border>
    <border>
      <left/>
      <right style="medium">
        <color rgb="FF1F497D"/>
      </right>
      <top/>
      <bottom style="medium">
        <color rgb="FF1F497D"/>
      </bottom>
      <diagonal/>
    </border>
    <border>
      <left style="medium">
        <color rgb="FF1F497D"/>
      </left>
      <right/>
      <top style="medium">
        <color rgb="FF1F497D"/>
      </top>
      <bottom style="thin">
        <color theme="0" tint="-0.24994659260841701"/>
      </bottom>
      <diagonal/>
    </border>
    <border>
      <left/>
      <right style="medium">
        <color rgb="FF1F497D"/>
      </right>
      <top style="medium">
        <color rgb="FF1F497D"/>
      </top>
      <bottom style="thin">
        <color theme="0" tint="-0.24994659260841701"/>
      </bottom>
      <diagonal/>
    </border>
    <border>
      <left style="medium">
        <color rgb="FF1F497D"/>
      </left>
      <right style="medium">
        <color theme="3"/>
      </right>
      <top style="medium">
        <color rgb="FF1F497D"/>
      </top>
      <bottom style="thin">
        <color theme="0" tint="-0.24994659260841701"/>
      </bottom>
      <diagonal/>
    </border>
    <border>
      <left style="medium">
        <color theme="3"/>
      </left>
      <right style="medium">
        <color theme="3"/>
      </right>
      <top style="medium">
        <color rgb="FF1F497D"/>
      </top>
      <bottom style="thin">
        <color theme="0" tint="-0.24994659260841701"/>
      </bottom>
      <diagonal/>
    </border>
    <border>
      <left style="medium">
        <color theme="3"/>
      </left>
      <right style="medium">
        <color rgb="FF1F497D"/>
      </right>
      <top style="medium">
        <color rgb="FF1F497D"/>
      </top>
      <bottom style="thin">
        <color theme="0" tint="-0.24994659260841701"/>
      </bottom>
      <diagonal/>
    </border>
    <border>
      <left style="medium">
        <color rgb="FF1F497D"/>
      </left>
      <right/>
      <top style="thin">
        <color theme="0" tint="-0.24994659260841701"/>
      </top>
      <bottom style="thin">
        <color theme="0" tint="-0.24994659260841701"/>
      </bottom>
      <diagonal/>
    </border>
    <border>
      <left/>
      <right style="medium">
        <color rgb="FF1F497D"/>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medium">
        <color rgb="FF1F497D"/>
      </left>
      <right/>
      <top style="thin">
        <color theme="0" tint="-0.24994659260841701"/>
      </top>
      <bottom style="medium">
        <color rgb="FF1F497D"/>
      </bottom>
      <diagonal/>
    </border>
    <border>
      <left/>
      <right style="medium">
        <color rgb="FF1F497D"/>
      </right>
      <top style="thin">
        <color theme="0" tint="-0.24994659260841701"/>
      </top>
      <bottom style="medium">
        <color rgb="FF1F497D"/>
      </bottom>
      <diagonal/>
    </border>
    <border>
      <left/>
      <right/>
      <top style="thin">
        <color theme="0" tint="-0.24994659260841701"/>
      </top>
      <bottom style="medium">
        <color rgb="FF1F497D"/>
      </bottom>
      <diagonal/>
    </border>
    <border>
      <left style="medium">
        <color rgb="FF1F497D"/>
      </left>
      <right style="medium">
        <color rgb="FF1F497D"/>
      </right>
      <top style="medium">
        <color rgb="FF1F497D"/>
      </top>
      <bottom style="thin">
        <color theme="0" tint="-0.24994659260841701"/>
      </bottom>
      <diagonal/>
    </border>
    <border>
      <left style="medium">
        <color rgb="FF1F497D"/>
      </left>
      <right style="medium">
        <color rgb="FF1F497D"/>
      </right>
      <top style="thin">
        <color theme="0" tint="-0.24994659260841701"/>
      </top>
      <bottom style="thin">
        <color theme="0" tint="-0.24994659260841701"/>
      </bottom>
      <diagonal/>
    </border>
    <border>
      <left style="medium">
        <color rgb="FF1F497D"/>
      </left>
      <right style="medium">
        <color rgb="FF1F497D"/>
      </right>
      <top style="thin">
        <color theme="0" tint="-0.24994659260841701"/>
      </top>
      <bottom style="medium">
        <color rgb="FF1F497D"/>
      </bottom>
      <diagonal/>
    </border>
    <border>
      <left style="medium">
        <color rgb="FF1F497D"/>
      </left>
      <right style="medium">
        <color rgb="FF1F497D"/>
      </right>
      <top style="medium">
        <color rgb="FF1F497D"/>
      </top>
      <bottom/>
      <diagonal/>
    </border>
    <border>
      <left style="medium">
        <color rgb="FF1F497D"/>
      </left>
      <right style="medium">
        <color rgb="FF1F497D"/>
      </right>
      <top/>
      <bottom/>
      <diagonal/>
    </border>
    <border>
      <left style="medium">
        <color rgb="FF1F497D"/>
      </left>
      <right style="medium">
        <color rgb="FF1F497D"/>
      </right>
      <top/>
      <bottom style="medium">
        <color rgb="FF1F497D"/>
      </bottom>
      <diagonal/>
    </border>
    <border>
      <left style="medium">
        <color rgb="FF1F497D"/>
      </left>
      <right style="medium">
        <color rgb="FF1F497D"/>
      </right>
      <top/>
      <bottom style="thin">
        <color theme="0" tint="-0.24994659260841701"/>
      </bottom>
      <diagonal/>
    </border>
    <border>
      <left/>
      <right style="medium">
        <color rgb="FF1F497D"/>
      </right>
      <top/>
      <bottom style="thin">
        <color theme="0" tint="-0.24994659260841701"/>
      </bottom>
      <diagonal/>
    </border>
    <border>
      <left style="medium">
        <color theme="3"/>
      </left>
      <right style="medium">
        <color theme="3"/>
      </right>
      <top style="medium">
        <color theme="3"/>
      </top>
      <bottom style="medium">
        <color theme="3"/>
      </bottom>
      <diagonal/>
    </border>
    <border>
      <left style="medium">
        <color rgb="FF1F497D"/>
      </left>
      <right style="medium">
        <color rgb="FF1F497D"/>
      </right>
      <top style="thin">
        <color theme="0" tint="-0.24994659260841701"/>
      </top>
      <bottom/>
      <diagonal/>
    </border>
    <border>
      <left style="medium">
        <color rgb="FF1F497D"/>
      </left>
      <right/>
      <top style="medium">
        <color theme="3"/>
      </top>
      <bottom style="medium">
        <color theme="3"/>
      </bottom>
      <diagonal/>
    </border>
    <border>
      <left style="medium">
        <color rgb="FF1F497D"/>
      </left>
      <right/>
      <top style="medium">
        <color theme="3"/>
      </top>
      <bottom style="medium">
        <color rgb="FF1F497D"/>
      </bottom>
      <diagonal/>
    </border>
    <border>
      <left/>
      <right/>
      <top/>
      <bottom style="medium">
        <color theme="0" tint="-0.24994659260841701"/>
      </bottom>
      <diagonal/>
    </border>
    <border>
      <left/>
      <right/>
      <top style="medium">
        <color theme="0" tint="-0.24994659260841701"/>
      </top>
      <bottom/>
      <diagonal/>
    </border>
    <border>
      <left/>
      <right/>
      <top style="medium">
        <color theme="0" tint="-0.24994659260841701"/>
      </top>
      <bottom style="medium">
        <color theme="0" tint="-0.24994659260841701"/>
      </bottom>
      <diagonal/>
    </border>
    <border>
      <left/>
      <right style="medium">
        <color indexed="64"/>
      </right>
      <top style="medium">
        <color rgb="FF1F497D"/>
      </top>
      <bottom style="medium">
        <color rgb="FF1F497D"/>
      </bottom>
      <diagonal/>
    </border>
    <border>
      <left style="medium">
        <color rgb="FF1F497D"/>
      </left>
      <right/>
      <top/>
      <bottom style="medium">
        <color theme="0" tint="-0.24994659260841701"/>
      </bottom>
      <diagonal/>
    </border>
    <border>
      <left style="medium">
        <color rgb="FF1F497D"/>
      </left>
      <right/>
      <top style="medium">
        <color theme="0" tint="-0.24994659260841701"/>
      </top>
      <bottom/>
      <diagonal/>
    </border>
    <border>
      <left style="medium">
        <color rgb="FF1F497D"/>
      </left>
      <right/>
      <top style="medium">
        <color theme="0" tint="-0.24994659260841701"/>
      </top>
      <bottom style="medium">
        <color theme="0" tint="-0.24994659260841701"/>
      </bottom>
      <diagonal/>
    </border>
    <border>
      <left/>
      <right style="medium">
        <color rgb="FF1F497D"/>
      </right>
      <top style="medium">
        <color theme="0" tint="-0.24994659260841701"/>
      </top>
      <bottom style="medium">
        <color theme="0" tint="-0.24994659260841701"/>
      </bottom>
      <diagonal/>
    </border>
    <border>
      <left style="medium">
        <color rgb="FF1F497D"/>
      </left>
      <right/>
      <top style="medium">
        <color theme="0" tint="-0.24994659260841701"/>
      </top>
      <bottom style="medium">
        <color rgb="FF1F497D"/>
      </bottom>
      <diagonal/>
    </border>
    <border>
      <left/>
      <right/>
      <top style="medium">
        <color theme="0" tint="-0.24994659260841701"/>
      </top>
      <bottom style="medium">
        <color rgb="FF1F497D"/>
      </bottom>
      <diagonal/>
    </border>
    <border>
      <left/>
      <right style="medium">
        <color rgb="FF1F497D"/>
      </right>
      <top style="medium">
        <color theme="0" tint="-0.24994659260841701"/>
      </top>
      <bottom style="medium">
        <color rgb="FF1F497D"/>
      </bottom>
      <diagonal/>
    </border>
    <border>
      <left style="medium">
        <color rgb="FF1F497D"/>
      </left>
      <right/>
      <top style="medium">
        <color rgb="FF1F497D"/>
      </top>
      <bottom style="medium">
        <color theme="0" tint="-0.24994659260841701"/>
      </bottom>
      <diagonal/>
    </border>
    <border>
      <left/>
      <right/>
      <top style="medium">
        <color rgb="FF1F497D"/>
      </top>
      <bottom style="medium">
        <color theme="0" tint="-0.24994659260841701"/>
      </bottom>
      <diagonal/>
    </border>
    <border>
      <left style="thin">
        <color rgb="FF1F497D"/>
      </left>
      <right/>
      <top style="thin">
        <color rgb="FF1F497D"/>
      </top>
      <bottom style="thin">
        <color rgb="FF1F497D"/>
      </bottom>
      <diagonal/>
    </border>
    <border>
      <left/>
      <right/>
      <top style="thin">
        <color rgb="FF1F497D"/>
      </top>
      <bottom style="thin">
        <color rgb="FF1F497D"/>
      </bottom>
      <diagonal/>
    </border>
    <border>
      <left style="medium">
        <color theme="1" tint="0.24994659260841701"/>
      </left>
      <right style="medium">
        <color theme="1" tint="0.24994659260841701"/>
      </right>
      <top style="medium">
        <color theme="1" tint="0.24994659260841701"/>
      </top>
      <bottom style="medium">
        <color theme="1" tint="0.24994659260841701"/>
      </bottom>
      <diagonal/>
    </border>
    <border>
      <left style="medium">
        <color theme="1" tint="0.24994659260841701"/>
      </left>
      <right/>
      <top style="medium">
        <color theme="1" tint="0.24994659260841701"/>
      </top>
      <bottom style="medium">
        <color theme="1" tint="0.24994659260841701"/>
      </bottom>
      <diagonal/>
    </border>
    <border>
      <left/>
      <right/>
      <top style="medium">
        <color theme="1" tint="0.24994659260841701"/>
      </top>
      <bottom style="medium">
        <color theme="1" tint="0.24994659260841701"/>
      </bottom>
      <diagonal/>
    </border>
    <border>
      <left/>
      <right style="medium">
        <color theme="1" tint="0.24994659260841701"/>
      </right>
      <top style="medium">
        <color theme="1" tint="0.24994659260841701"/>
      </top>
      <bottom style="medium">
        <color theme="1" tint="0.24994659260841701"/>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indexed="64"/>
      </top>
      <bottom/>
      <diagonal/>
    </border>
    <border>
      <left/>
      <right/>
      <top style="medium">
        <color rgb="FF000000"/>
      </top>
      <bottom style="medium">
        <color rgb="FF000000"/>
      </bottom>
      <diagonal/>
    </border>
    <border>
      <left/>
      <right style="medium">
        <color rgb="FF000000"/>
      </right>
      <top/>
      <bottom/>
      <diagonal/>
    </border>
    <border>
      <left style="medium">
        <color rgb="FF000000"/>
      </left>
      <right style="medium">
        <color rgb="FF000000"/>
      </right>
      <top/>
      <bottom/>
      <diagonal/>
    </border>
    <border>
      <left style="medium">
        <color rgb="FF000000"/>
      </left>
      <right/>
      <top/>
      <bottom style="medium">
        <color rgb="FF000000"/>
      </bottom>
      <diagonal/>
    </border>
    <border>
      <left style="medium">
        <color rgb="FF000000"/>
      </left>
      <right/>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thin">
        <color rgb="FF000000"/>
      </left>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bottom style="thin">
        <color rgb="FF000000"/>
      </bottom>
      <diagonal/>
    </border>
    <border>
      <left style="thin">
        <color rgb="FF000000"/>
      </left>
      <right style="medium">
        <color rgb="FF000000"/>
      </right>
      <top/>
      <bottom style="thin">
        <color rgb="FF000000"/>
      </bottom>
      <diagonal/>
    </border>
    <border>
      <left style="medium">
        <color theme="1" tint="0.24994659260841701"/>
      </left>
      <right/>
      <top style="medium">
        <color theme="3"/>
      </top>
      <bottom style="thin">
        <color theme="0" tint="-0.499984740745262"/>
      </bottom>
      <diagonal/>
    </border>
    <border>
      <left style="thin">
        <color theme="0" tint="-0.499984740745262"/>
      </left>
      <right style="medium">
        <color theme="3"/>
      </right>
      <top style="thin">
        <color theme="0" tint="-0.499984740745262"/>
      </top>
      <bottom/>
      <diagonal/>
    </border>
    <border>
      <left style="thin">
        <color theme="0" tint="-0.499984740745262"/>
      </left>
      <right style="medium">
        <color theme="3"/>
      </right>
      <top/>
      <bottom/>
      <diagonal/>
    </border>
    <border>
      <left style="thin">
        <color theme="0" tint="-0.499984740745262"/>
      </left>
      <right style="medium">
        <color theme="3"/>
      </right>
      <top/>
      <bottom style="medium">
        <color theme="3"/>
      </bottom>
      <diagonal/>
    </border>
    <border>
      <left style="medium">
        <color rgb="FF000000"/>
      </left>
      <right/>
      <top style="medium">
        <color rgb="FF000000"/>
      </top>
      <bottom style="medium">
        <color rgb="FF000000"/>
      </bottom>
      <diagonal/>
    </border>
    <border>
      <left/>
      <right/>
      <top/>
      <bottom style="medium">
        <color rgb="FF000000"/>
      </bottom>
      <diagonal/>
    </border>
    <border>
      <left style="medium">
        <color indexed="64"/>
      </left>
      <right style="thin">
        <color indexed="64"/>
      </right>
      <top style="medium">
        <color indexed="64"/>
      </top>
      <bottom style="medium">
        <color rgb="FF000000"/>
      </bottom>
      <diagonal/>
    </border>
    <border>
      <left/>
      <right style="thin">
        <color indexed="64"/>
      </right>
      <top style="medium">
        <color indexed="64"/>
      </top>
      <bottom style="medium">
        <color rgb="FF000000"/>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right style="medium">
        <color rgb="FF000000"/>
      </right>
      <top style="medium">
        <color rgb="FF000000"/>
      </top>
      <bottom/>
      <diagonal/>
    </border>
    <border>
      <left/>
      <right style="medium">
        <color rgb="FF000000"/>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medium">
        <color indexed="64"/>
      </bottom>
      <diagonal/>
    </border>
    <border>
      <left/>
      <right style="thin">
        <color indexed="64"/>
      </right>
      <top style="medium">
        <color indexed="64"/>
      </top>
      <bottom/>
      <diagonal/>
    </border>
    <border>
      <left/>
      <right style="thin">
        <color indexed="64"/>
      </right>
      <top style="medium">
        <color rgb="FF000000"/>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right style="thin">
        <color theme="0" tint="-0.24994659260841701"/>
      </right>
      <top/>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thin">
        <color theme="0" tint="-0.24994659260841701"/>
      </left>
      <right/>
      <top style="thin">
        <color theme="0" tint="-0.24994659260841701"/>
      </top>
      <bottom/>
      <diagonal/>
    </border>
    <border>
      <left style="thin">
        <color theme="0" tint="-0.24994659260841701"/>
      </left>
      <right/>
      <top/>
      <bottom/>
      <diagonal/>
    </border>
    <border>
      <left style="thin">
        <color theme="0" tint="-0.24994659260841701"/>
      </left>
      <right/>
      <top/>
      <bottom style="thin">
        <color theme="0" tint="-0.24994659260841701"/>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theme="0" tint="-0.24994659260841701"/>
      </left>
      <right style="thin">
        <color theme="0" tint="-0.249977111117893"/>
      </right>
      <top style="thin">
        <color theme="0" tint="-0.249977111117893"/>
      </top>
      <bottom style="thin">
        <color theme="0" tint="-0.249977111117893"/>
      </bottom>
      <diagonal/>
    </border>
    <border>
      <left style="thin">
        <color rgb="FF000000"/>
      </left>
      <right/>
      <top/>
      <bottom/>
      <diagonal/>
    </border>
    <border>
      <left style="thin">
        <color indexed="64"/>
      </left>
      <right style="medium">
        <color indexed="64"/>
      </right>
      <top/>
      <bottom style="thin">
        <color indexed="64"/>
      </bottom>
      <diagonal/>
    </border>
    <border>
      <left style="thin">
        <color rgb="FF000000"/>
      </left>
      <right style="medium">
        <color indexed="64"/>
      </right>
      <top/>
      <bottom style="thin">
        <color rgb="FF000000"/>
      </bottom>
      <diagonal/>
    </border>
    <border>
      <left style="medium">
        <color indexed="64"/>
      </left>
      <right style="thin">
        <color indexed="64"/>
      </right>
      <top style="thin">
        <color indexed="64"/>
      </top>
      <bottom/>
      <diagonal/>
    </border>
    <border>
      <left/>
      <right style="medium">
        <color indexed="64"/>
      </right>
      <top style="medium">
        <color indexed="64"/>
      </top>
      <bottom style="medium">
        <color indexed="64"/>
      </bottom>
      <diagonal/>
    </border>
    <border>
      <left style="thin">
        <color rgb="FF000000"/>
      </left>
      <right/>
      <top style="thin">
        <color rgb="FF000000"/>
      </top>
      <bottom/>
      <diagonal/>
    </border>
    <border>
      <left style="thin">
        <color rgb="FF000000"/>
      </left>
      <right/>
      <top style="thin">
        <color indexed="64"/>
      </top>
      <bottom/>
      <diagonal/>
    </border>
    <border>
      <left style="thin">
        <color rgb="FF000000"/>
      </left>
      <right/>
      <top style="thin">
        <color rgb="FF000000"/>
      </top>
      <bottom style="thin">
        <color rgb="FF000000"/>
      </bottom>
      <diagonal/>
    </border>
    <border>
      <left style="thin">
        <color indexed="64"/>
      </left>
      <right style="medium">
        <color indexed="64"/>
      </right>
      <top style="thin">
        <color indexed="64"/>
      </top>
      <bottom/>
      <diagonal/>
    </border>
    <border>
      <left/>
      <right style="thin">
        <color rgb="FF000000"/>
      </right>
      <top/>
      <bottom style="thin">
        <color rgb="FF000000"/>
      </bottom>
      <diagonal/>
    </border>
    <border>
      <left style="medium">
        <color theme="3"/>
      </left>
      <right/>
      <top style="medium">
        <color rgb="FF000000"/>
      </top>
      <bottom style="medium">
        <color rgb="FF000000"/>
      </bottom>
      <diagonal/>
    </border>
    <border>
      <left/>
      <right/>
      <top style="medium">
        <color rgb="FF000000"/>
      </top>
      <bottom/>
      <diagonal/>
    </border>
    <border>
      <left/>
      <right style="medium">
        <color theme="3"/>
      </right>
      <top style="medium">
        <color rgb="FF000000"/>
      </top>
      <bottom/>
      <diagonal/>
    </border>
    <border>
      <left style="medium">
        <color theme="3"/>
      </left>
      <right/>
      <top style="medium">
        <color rgb="FF000000"/>
      </top>
      <bottom/>
      <diagonal/>
    </border>
    <border>
      <left style="medium">
        <color rgb="FF000000"/>
      </left>
      <right style="thin">
        <color theme="0" tint="-0.24994659260841701"/>
      </right>
      <top/>
      <bottom style="medium">
        <color rgb="FF000000"/>
      </bottom>
      <diagonal/>
    </border>
    <border>
      <left style="thin">
        <color theme="0" tint="-0.24994659260841701"/>
      </left>
      <right style="thin">
        <color theme="0" tint="-0.24994659260841701"/>
      </right>
      <top/>
      <bottom style="medium">
        <color rgb="FF000000"/>
      </bottom>
      <diagonal/>
    </border>
    <border>
      <left style="thin">
        <color theme="0" tint="-0.24994659260841701"/>
      </left>
      <right style="medium">
        <color rgb="FF000000"/>
      </right>
      <top/>
      <bottom style="medium">
        <color rgb="FF000000"/>
      </bottom>
      <diagonal/>
    </border>
    <border>
      <left/>
      <right style="medium">
        <color theme="3"/>
      </right>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theme="3"/>
      </right>
      <top/>
      <bottom/>
      <diagonal/>
    </border>
    <border>
      <left style="medium">
        <color rgb="FF000000"/>
      </left>
      <right style="thin">
        <color theme="0" tint="-0.24994659260841701"/>
      </right>
      <top/>
      <bottom/>
      <diagonal/>
    </border>
    <border>
      <left style="thin">
        <color theme="0" tint="-0.24994659260841701"/>
      </left>
      <right style="thin">
        <color theme="0" tint="-0.24994659260841701"/>
      </right>
      <top/>
      <bottom/>
      <diagonal/>
    </border>
    <border>
      <left style="thin">
        <color theme="0" tint="-0.24994659260841701"/>
      </left>
      <right style="medium">
        <color rgb="FF000000"/>
      </right>
      <top/>
      <bottom/>
      <diagonal/>
    </border>
    <border>
      <left style="medium">
        <color rgb="FF000000"/>
      </left>
      <right style="thin">
        <color theme="0" tint="-0.24994659260841701"/>
      </right>
      <top style="medium">
        <color rgb="FF000000"/>
      </top>
      <bottom/>
      <diagonal/>
    </border>
    <border>
      <left style="thin">
        <color theme="0" tint="-0.24994659260841701"/>
      </left>
      <right style="thin">
        <color theme="0" tint="-0.24994659260841701"/>
      </right>
      <top style="medium">
        <color rgb="FF000000"/>
      </top>
      <bottom/>
      <diagonal/>
    </border>
    <border>
      <left style="thin">
        <color theme="0" tint="-0.24994659260841701"/>
      </left>
      <right style="medium">
        <color rgb="FF000000"/>
      </right>
      <top style="medium">
        <color rgb="FF000000"/>
      </top>
      <bottom/>
      <diagonal/>
    </border>
    <border>
      <left style="medium">
        <color rgb="FF000000"/>
      </left>
      <right style="thin">
        <color theme="0" tint="-0.24994659260841701"/>
      </right>
      <top style="medium">
        <color rgb="FF000000"/>
      </top>
      <bottom style="medium">
        <color rgb="FF000000"/>
      </bottom>
      <diagonal/>
    </border>
    <border>
      <left style="thin">
        <color theme="0" tint="-0.24994659260841701"/>
      </left>
      <right style="thin">
        <color theme="0" tint="-0.24994659260841701"/>
      </right>
      <top style="medium">
        <color rgb="FF000000"/>
      </top>
      <bottom style="medium">
        <color rgb="FF000000"/>
      </bottom>
      <diagonal/>
    </border>
    <border>
      <left style="thin">
        <color theme="0" tint="-0.24994659260841701"/>
      </left>
      <right style="medium">
        <color rgb="FF000000"/>
      </right>
      <top style="medium">
        <color rgb="FF000000"/>
      </top>
      <bottom style="medium">
        <color rgb="FF000000"/>
      </bottom>
      <diagonal/>
    </border>
    <border>
      <left style="medium">
        <color rgb="FF000000"/>
      </left>
      <right style="medium">
        <color theme="3"/>
      </right>
      <top/>
      <bottom style="medium">
        <color rgb="FF000000"/>
      </bottom>
      <diagonal/>
    </border>
    <border>
      <left/>
      <right style="medium">
        <color rgb="FF1F497D"/>
      </right>
      <top/>
      <bottom style="medium">
        <color theme="0" tint="-0.24994659260841701"/>
      </bottom>
      <diagonal/>
    </border>
    <border>
      <left/>
      <right style="medium">
        <color rgb="FF1F497D"/>
      </right>
      <top style="medium">
        <color theme="0" tint="-0.24994659260841701"/>
      </top>
      <bottom/>
      <diagonal/>
    </border>
    <border>
      <left style="medium">
        <color rgb="FF1F497D"/>
      </left>
      <right/>
      <top/>
      <bottom style="thin">
        <color theme="0" tint="-0.24994659260841701"/>
      </bottom>
      <diagonal/>
    </border>
    <border>
      <left style="medium">
        <color indexed="64"/>
      </left>
      <right/>
      <top style="thin">
        <color indexed="64"/>
      </top>
      <bottom/>
      <diagonal/>
    </border>
    <border>
      <left style="medium">
        <color indexed="64"/>
      </left>
      <right style="thin">
        <color rgb="FF000000"/>
      </right>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diagonal/>
    </border>
    <border>
      <left style="medium">
        <color theme="4" tint="-0.24994659260841701"/>
      </left>
      <right style="medium">
        <color theme="4" tint="-0.24994659260841701"/>
      </right>
      <top style="medium">
        <color theme="4" tint="-0.24994659260841701"/>
      </top>
      <bottom style="thin">
        <color theme="0" tint="-0.499984740745262"/>
      </bottom>
      <diagonal/>
    </border>
    <border>
      <left style="medium">
        <color theme="4" tint="-0.24994659260841701"/>
      </left>
      <right style="medium">
        <color theme="4" tint="-0.24994659260841701"/>
      </right>
      <top/>
      <bottom/>
      <diagonal/>
    </border>
    <border>
      <left style="medium">
        <color theme="4" tint="-0.24994659260841701"/>
      </left>
      <right style="medium">
        <color theme="4" tint="-0.24994659260841701"/>
      </right>
      <top/>
      <bottom style="medium">
        <color theme="4" tint="-0.24994659260841701"/>
      </bottom>
      <diagonal/>
    </border>
    <border>
      <left style="medium">
        <color rgb="FF1F497D"/>
      </left>
      <right style="thin">
        <color rgb="FF1F497D"/>
      </right>
      <top style="medium">
        <color rgb="FF1F497D"/>
      </top>
      <bottom style="thin">
        <color rgb="FF1F497D"/>
      </bottom>
      <diagonal/>
    </border>
    <border>
      <left style="thin">
        <color rgb="FF1F497D"/>
      </left>
      <right style="thin">
        <color rgb="FF1F497D"/>
      </right>
      <top style="medium">
        <color rgb="FF1F497D"/>
      </top>
      <bottom style="thin">
        <color rgb="FF1F497D"/>
      </bottom>
      <diagonal/>
    </border>
    <border>
      <left style="thin">
        <color rgb="FF1F497D"/>
      </left>
      <right style="medium">
        <color rgb="FF1F497D"/>
      </right>
      <top style="medium">
        <color rgb="FF1F497D"/>
      </top>
      <bottom style="thin">
        <color rgb="FF1F497D"/>
      </bottom>
      <diagonal/>
    </border>
    <border>
      <left style="medium">
        <color rgb="FF1F497D"/>
      </left>
      <right style="thin">
        <color rgb="FF1F497D"/>
      </right>
      <top style="thin">
        <color rgb="FF1F497D"/>
      </top>
      <bottom style="thin">
        <color rgb="FF1F497D"/>
      </bottom>
      <diagonal/>
    </border>
    <border>
      <left style="thin">
        <color rgb="FF1F497D"/>
      </left>
      <right style="medium">
        <color rgb="FF1F497D"/>
      </right>
      <top style="thin">
        <color rgb="FF1F497D"/>
      </top>
      <bottom style="thin">
        <color rgb="FF1F497D"/>
      </bottom>
      <diagonal/>
    </border>
    <border>
      <left style="medium">
        <color rgb="FF1F497D"/>
      </left>
      <right style="thin">
        <color rgb="FF1F497D"/>
      </right>
      <top style="thin">
        <color rgb="FF1F497D"/>
      </top>
      <bottom style="medium">
        <color rgb="FF1F497D"/>
      </bottom>
      <diagonal/>
    </border>
    <border>
      <left style="thin">
        <color rgb="FF1F497D"/>
      </left>
      <right style="thin">
        <color rgb="FF1F497D"/>
      </right>
      <top style="thin">
        <color rgb="FF1F497D"/>
      </top>
      <bottom style="medium">
        <color rgb="FF1F497D"/>
      </bottom>
      <diagonal/>
    </border>
    <border>
      <left style="thin">
        <color rgb="FF1F497D"/>
      </left>
      <right style="medium">
        <color rgb="FF1F497D"/>
      </right>
      <top style="thin">
        <color rgb="FF1F497D"/>
      </top>
      <bottom style="medium">
        <color rgb="FF1F497D"/>
      </bottom>
      <diagonal/>
    </border>
    <border>
      <left style="medium">
        <color theme="3"/>
      </left>
      <right style="thin">
        <color theme="0" tint="-0.24994659260841701"/>
      </right>
      <top style="thin">
        <color theme="0" tint="-0.24994659260841701"/>
      </top>
      <bottom style="thin">
        <color theme="0" tint="-0.24994659260841701"/>
      </bottom>
      <diagonal/>
    </border>
    <border>
      <left style="medium">
        <color theme="3"/>
      </left>
      <right/>
      <top style="thin">
        <color theme="0" tint="-0.24994659260841701"/>
      </top>
      <bottom/>
      <diagonal/>
    </border>
    <border>
      <left style="medium">
        <color theme="3"/>
      </left>
      <right/>
      <top/>
      <bottom style="thin">
        <color theme="0" tint="-0.24994659260841701"/>
      </bottom>
      <diagonal/>
    </border>
    <border>
      <left style="medium">
        <color theme="3"/>
      </left>
      <right style="thin">
        <color indexed="64"/>
      </right>
      <top style="thin">
        <color indexed="64"/>
      </top>
      <bottom style="thin">
        <color indexed="64"/>
      </bottom>
      <diagonal/>
    </border>
    <border>
      <left style="medium">
        <color theme="3"/>
      </left>
      <right style="thin">
        <color indexed="64"/>
      </right>
      <top style="thin">
        <color indexed="64"/>
      </top>
      <bottom style="medium">
        <color theme="3"/>
      </bottom>
      <diagonal/>
    </border>
    <border>
      <left style="thin">
        <color indexed="64"/>
      </left>
      <right style="thin">
        <color indexed="64"/>
      </right>
      <top style="thin">
        <color indexed="64"/>
      </top>
      <bottom style="medium">
        <color theme="3"/>
      </bottom>
      <diagonal/>
    </border>
    <border>
      <left style="thin">
        <color indexed="64"/>
      </left>
      <right style="medium">
        <color rgb="FF1F497D"/>
      </right>
      <top style="thin">
        <color indexed="64"/>
      </top>
      <bottom style="medium">
        <color theme="3"/>
      </bottom>
      <diagonal/>
    </border>
    <border>
      <left/>
      <right style="thin">
        <color rgb="FF000000"/>
      </right>
      <top style="thin">
        <color rgb="FF000000"/>
      </top>
      <bottom/>
      <diagonal/>
    </border>
    <border>
      <left style="medium">
        <color rgb="FF000000"/>
      </left>
      <right style="medium">
        <color rgb="FF000000"/>
      </right>
      <top/>
      <bottom style="thin">
        <color theme="0" tint="-0.249977111117893"/>
      </bottom>
      <diagonal/>
    </border>
    <border>
      <left style="medium">
        <color rgb="FF000000"/>
      </left>
      <right style="medium">
        <color theme="3"/>
      </right>
      <top style="medium">
        <color rgb="FF000000"/>
      </top>
      <bottom/>
      <diagonal/>
    </border>
    <border>
      <left style="medium">
        <color rgb="FF000000"/>
      </left>
      <right style="medium">
        <color rgb="FF000000"/>
      </right>
      <top/>
      <bottom style="thin">
        <color indexed="64"/>
      </bottom>
      <diagonal/>
    </border>
    <border>
      <left style="medium">
        <color rgb="FF000000"/>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indexed="64"/>
      </right>
      <top style="medium">
        <color rgb="FF000000"/>
      </top>
      <bottom style="thin">
        <color indexed="64"/>
      </bottom>
      <diagonal/>
    </border>
    <border>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thin">
        <color indexed="64"/>
      </left>
      <right style="medium">
        <color rgb="FF000000"/>
      </right>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style="medium">
        <color indexed="64"/>
      </right>
      <top style="thin">
        <color indexed="64"/>
      </top>
      <bottom style="medium">
        <color rgb="FF000000"/>
      </bottom>
      <diagonal/>
    </border>
    <border>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right/>
      <top style="medium">
        <color indexed="64"/>
      </top>
      <bottom/>
      <diagonal/>
    </border>
    <border>
      <left/>
      <right style="medium">
        <color theme="3"/>
      </right>
      <top style="thin">
        <color theme="0" tint="-0.249977111117893"/>
      </top>
      <bottom style="thin">
        <color theme="0" tint="-0.249977111117893"/>
      </bottom>
      <diagonal/>
    </border>
    <border>
      <left style="medium">
        <color indexed="64"/>
      </left>
      <right/>
      <top style="thin">
        <color indexed="64"/>
      </top>
      <bottom style="thin">
        <color indexed="64"/>
      </bottom>
      <diagonal/>
    </border>
    <border>
      <left style="thin">
        <color theme="0" tint="-0.249977111117893"/>
      </left>
      <right style="thin">
        <color theme="0" tint="-0.249977111117893"/>
      </right>
      <top style="thin">
        <color theme="0" tint="-0.249977111117893"/>
      </top>
      <bottom/>
      <diagonal/>
    </border>
    <border>
      <left style="thin">
        <color theme="2"/>
      </left>
      <right style="thin">
        <color theme="2"/>
      </right>
      <top/>
      <bottom style="thin">
        <color theme="2"/>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style="thin">
        <color theme="1" tint="0.499984740745262"/>
      </right>
      <top/>
      <bottom/>
      <diagonal/>
    </border>
    <border>
      <left/>
      <right style="thin">
        <color theme="1" tint="0.499984740745262"/>
      </right>
      <top/>
      <bottom style="thin">
        <color theme="1" tint="0.499984740745262"/>
      </bottom>
      <diagonal/>
    </border>
    <border>
      <left style="thin">
        <color theme="1" tint="0.499984740745262"/>
      </left>
      <right/>
      <top/>
      <bottom/>
      <diagonal/>
    </border>
    <border>
      <left style="medium">
        <color theme="1" tint="0.24994659260841701"/>
      </left>
      <right style="medium">
        <color theme="1" tint="0.24994659260841701"/>
      </right>
      <top style="thin">
        <color indexed="64"/>
      </top>
      <bottom style="medium">
        <color theme="1" tint="0.24994659260841701"/>
      </bottom>
      <diagonal/>
    </border>
    <border>
      <left style="thin">
        <color rgb="FF1F497D"/>
      </left>
      <right/>
      <top style="thin">
        <color rgb="FF000000"/>
      </top>
      <bottom/>
      <diagonal/>
    </border>
  </borders>
  <cellStyleXfs count="34">
    <xf numFmtId="0" fontId="0" fillId="0" borderId="0"/>
    <xf numFmtId="0" fontId="16" fillId="2" borderId="1" applyNumberFormat="0" applyProtection="0">
      <alignment horizontal="left" vertical="center" readingOrder="1"/>
    </xf>
    <xf numFmtId="0" fontId="17" fillId="2" borderId="2">
      <alignment horizontal="left"/>
    </xf>
    <xf numFmtId="0" fontId="17" fillId="2" borderId="3">
      <alignment horizontal="right"/>
    </xf>
    <xf numFmtId="0" fontId="17" fillId="2" borderId="3">
      <alignment horizontal="left"/>
    </xf>
    <xf numFmtId="3" fontId="18" fillId="3" borderId="4">
      <alignment horizontal="right"/>
    </xf>
    <xf numFmtId="181" fontId="11" fillId="3" borderId="4">
      <alignment horizontal="right"/>
    </xf>
    <xf numFmtId="4" fontId="11" fillId="3" borderId="4">
      <alignment horizontal="right"/>
    </xf>
    <xf numFmtId="0" fontId="20" fillId="4" borderId="5" applyNumberFormat="0" applyAlignment="0" applyProtection="0"/>
    <xf numFmtId="0" fontId="18" fillId="3" borderId="6"/>
    <xf numFmtId="0" fontId="19" fillId="3" borderId="6"/>
    <xf numFmtId="0" fontId="10" fillId="0" borderId="0" applyNumberFormat="0" applyFill="0" applyBorder="0" applyAlignment="0" applyProtection="0">
      <alignment vertical="top"/>
      <protection locked="0"/>
    </xf>
    <xf numFmtId="176" fontId="22" fillId="0" borderId="0" applyFont="0" applyFill="0" applyBorder="0" applyAlignment="0" applyProtection="0"/>
    <xf numFmtId="176" fontId="12" fillId="0" borderId="0" applyFont="0" applyFill="0" applyBorder="0" applyAlignment="0" applyProtection="0"/>
    <xf numFmtId="0" fontId="24" fillId="0" borderId="0"/>
    <xf numFmtId="0" fontId="12" fillId="0" borderId="0"/>
    <xf numFmtId="9" fontId="8" fillId="0" borderId="0" applyFont="0" applyFill="0" applyBorder="0" applyAlignment="0" applyProtection="0"/>
    <xf numFmtId="9" fontId="22" fillId="0" borderId="0" applyFont="0" applyFill="0" applyBorder="0" applyAlignment="0" applyProtection="0"/>
    <xf numFmtId="9" fontId="12" fillId="0" borderId="0" applyFont="0" applyFill="0" applyBorder="0" applyAlignment="0" applyProtection="0"/>
    <xf numFmtId="9" fontId="24" fillId="0" borderId="0" applyFont="0" applyFill="0" applyBorder="0" applyAlignment="0" applyProtection="0"/>
    <xf numFmtId="0" fontId="7" fillId="0" borderId="0"/>
    <xf numFmtId="0" fontId="7" fillId="0" borderId="0"/>
    <xf numFmtId="9" fontId="8" fillId="0" borderId="0" applyFont="0" applyFill="0" applyBorder="0" applyAlignment="0" applyProtection="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6" fillId="0" borderId="0"/>
    <xf numFmtId="9" fontId="6" fillId="0" borderId="0" applyFont="0" applyFill="0" applyBorder="0" applyAlignment="0" applyProtection="0"/>
    <xf numFmtId="0" fontId="5" fillId="0" borderId="0"/>
    <xf numFmtId="0" fontId="4" fillId="0" borderId="0"/>
    <xf numFmtId="9" fontId="4" fillId="0" borderId="0" applyFont="0" applyFill="0" applyBorder="0" applyAlignment="0" applyProtection="0"/>
    <xf numFmtId="9" fontId="3" fillId="0" borderId="0" applyFont="0" applyFill="0" applyBorder="0" applyAlignment="0" applyProtection="0"/>
    <xf numFmtId="0" fontId="2" fillId="0" borderId="0"/>
  </cellStyleXfs>
  <cellXfs count="1133">
    <xf numFmtId="0" fontId="0" fillId="0" borderId="0" xfId="0"/>
    <xf numFmtId="9" fontId="0" fillId="0" borderId="0" xfId="16" applyFont="1" applyAlignment="1">
      <alignment horizontal="center"/>
    </xf>
    <xf numFmtId="0" fontId="0" fillId="0" borderId="0" xfId="0" applyAlignment="1">
      <alignment horizontal="center"/>
    </xf>
    <xf numFmtId="178" fontId="0" fillId="0" borderId="0" xfId="0" applyNumberFormat="1"/>
    <xf numFmtId="10" fontId="0" fillId="0" borderId="0" xfId="0" applyNumberFormat="1" applyAlignment="1">
      <alignment horizontal="center"/>
    </xf>
    <xf numFmtId="179" fontId="0" fillId="0" borderId="0" xfId="0" applyNumberFormat="1" applyAlignment="1">
      <alignment horizontal="center"/>
    </xf>
    <xf numFmtId="0" fontId="13" fillId="0" borderId="0" xfId="0" applyFont="1" applyAlignment="1">
      <alignment horizontal="center"/>
    </xf>
    <xf numFmtId="0" fontId="26" fillId="0" borderId="0" xfId="0" applyFont="1"/>
    <xf numFmtId="0" fontId="15" fillId="0" borderId="19" xfId="0" applyFont="1" applyBorder="1"/>
    <xf numFmtId="0" fontId="13" fillId="0" borderId="22" xfId="0" applyFont="1" applyBorder="1" applyAlignment="1">
      <alignment horizontal="center"/>
    </xf>
    <xf numFmtId="0" fontId="23" fillId="0" borderId="0" xfId="0" applyFont="1"/>
    <xf numFmtId="0" fontId="8" fillId="0" borderId="0" xfId="0" applyFont="1"/>
    <xf numFmtId="0" fontId="8" fillId="0" borderId="19" xfId="0" applyFont="1" applyBorder="1"/>
    <xf numFmtId="0" fontId="8" fillId="0" borderId="19" xfId="0" applyFont="1" applyBorder="1" applyAlignment="1">
      <alignment horizontal="left"/>
    </xf>
    <xf numFmtId="0" fontId="13" fillId="0" borderId="0" xfId="0" applyFont="1"/>
    <xf numFmtId="178" fontId="13" fillId="0" borderId="0" xfId="0" applyNumberFormat="1" applyFont="1" applyAlignment="1">
      <alignment horizontal="center"/>
    </xf>
    <xf numFmtId="9" fontId="13" fillId="0" borderId="0" xfId="16" applyFont="1"/>
    <xf numFmtId="9" fontId="8" fillId="8" borderId="19" xfId="16" applyFont="1" applyFill="1" applyBorder="1" applyAlignment="1">
      <alignment horizontal="center"/>
    </xf>
    <xf numFmtId="10" fontId="8" fillId="8" borderId="19" xfId="0" applyNumberFormat="1" applyFont="1" applyFill="1" applyBorder="1" applyAlignment="1">
      <alignment horizontal="center"/>
    </xf>
    <xf numFmtId="0" fontId="8" fillId="8" borderId="26" xfId="0" applyFont="1" applyFill="1" applyBorder="1" applyAlignment="1">
      <alignment horizontal="center" vertical="center"/>
    </xf>
    <xf numFmtId="0" fontId="26" fillId="8" borderId="0" xfId="0" applyFont="1" applyFill="1"/>
    <xf numFmtId="0" fontId="33" fillId="0" borderId="0" xfId="0" applyFont="1"/>
    <xf numFmtId="0" fontId="26" fillId="8" borderId="0" xfId="0" applyFont="1" applyFill="1" applyAlignment="1">
      <alignment horizontal="center"/>
    </xf>
    <xf numFmtId="0" fontId="35" fillId="0" borderId="0" xfId="0" applyFont="1"/>
    <xf numFmtId="0" fontId="35" fillId="12" borderId="0" xfId="0" applyFont="1" applyFill="1"/>
    <xf numFmtId="3" fontId="35" fillId="0" borderId="0" xfId="0" applyNumberFormat="1" applyFont="1" applyAlignment="1">
      <alignment horizontal="center"/>
    </xf>
    <xf numFmtId="0" fontId="35" fillId="0" borderId="0" xfId="0" applyFont="1" applyAlignment="1">
      <alignment horizontal="left"/>
    </xf>
    <xf numFmtId="0" fontId="35" fillId="19" borderId="0" xfId="0" applyFont="1" applyFill="1"/>
    <xf numFmtId="3" fontId="35" fillId="19" borderId="0" xfId="0" applyNumberFormat="1" applyFont="1" applyFill="1" applyAlignment="1">
      <alignment horizontal="center"/>
    </xf>
    <xf numFmtId="0" fontId="0" fillId="12" borderId="0" xfId="0" applyFill="1"/>
    <xf numFmtId="3" fontId="35" fillId="0" borderId="0" xfId="0" applyNumberFormat="1" applyFont="1"/>
    <xf numFmtId="3" fontId="36" fillId="19" borderId="0" xfId="0" applyNumberFormat="1" applyFont="1" applyFill="1" applyAlignment="1">
      <alignment horizontal="center"/>
    </xf>
    <xf numFmtId="3" fontId="35" fillId="12" borderId="0" xfId="0" applyNumberFormat="1" applyFont="1" applyFill="1" applyAlignment="1">
      <alignment horizontal="center"/>
    </xf>
    <xf numFmtId="3" fontId="36" fillId="12" borderId="0" xfId="0" applyNumberFormat="1" applyFont="1" applyFill="1" applyAlignment="1">
      <alignment horizontal="center"/>
    </xf>
    <xf numFmtId="0" fontId="19" fillId="3" borderId="6" xfId="10"/>
    <xf numFmtId="0" fontId="0" fillId="20" borderId="0" xfId="0" applyFill="1"/>
    <xf numFmtId="3" fontId="23" fillId="0" borderId="0" xfId="0" applyNumberFormat="1" applyFont="1" applyAlignment="1">
      <alignment horizontal="center"/>
    </xf>
    <xf numFmtId="3" fontId="23" fillId="0" borderId="0" xfId="0" applyNumberFormat="1" applyFont="1"/>
    <xf numFmtId="0" fontId="0" fillId="21" borderId="0" xfId="0" applyFill="1"/>
    <xf numFmtId="3" fontId="23" fillId="19" borderId="0" xfId="0" applyNumberFormat="1" applyFont="1" applyFill="1" applyAlignment="1">
      <alignment horizontal="center"/>
    </xf>
    <xf numFmtId="0" fontId="23" fillId="19" borderId="0" xfId="0" applyFont="1" applyFill="1"/>
    <xf numFmtId="0" fontId="0" fillId="22" borderId="0" xfId="0" applyFill="1"/>
    <xf numFmtId="181" fontId="35" fillId="0" borderId="0" xfId="0" applyNumberFormat="1" applyFont="1" applyAlignment="1">
      <alignment horizontal="center"/>
    </xf>
    <xf numFmtId="9" fontId="0" fillId="8" borderId="19" xfId="16" applyFont="1" applyFill="1" applyBorder="1" applyAlignment="1">
      <alignment horizontal="center"/>
    </xf>
    <xf numFmtId="0" fontId="0" fillId="0" borderId="43" xfId="0" applyBorder="1"/>
    <xf numFmtId="0" fontId="38" fillId="0" borderId="0" xfId="0" applyFont="1"/>
    <xf numFmtId="0" fontId="39" fillId="0" borderId="0" xfId="0" applyFont="1"/>
    <xf numFmtId="0" fontId="40" fillId="0" borderId="0" xfId="0" applyFont="1" applyAlignment="1">
      <alignment horizontal="center"/>
    </xf>
    <xf numFmtId="180" fontId="39" fillId="0" borderId="0" xfId="0" applyNumberFormat="1" applyFont="1" applyAlignment="1">
      <alignment horizontal="center"/>
    </xf>
    <xf numFmtId="0" fontId="41" fillId="0" borderId="0" xfId="0" applyFont="1"/>
    <xf numFmtId="0" fontId="42" fillId="0" borderId="0" xfId="0" applyFont="1"/>
    <xf numFmtId="0" fontId="0" fillId="0" borderId="12" xfId="0" applyBorder="1"/>
    <xf numFmtId="0" fontId="23" fillId="0" borderId="0" xfId="0" applyFont="1" applyAlignment="1">
      <alignment horizontal="center"/>
    </xf>
    <xf numFmtId="0" fontId="39" fillId="0" borderId="0" xfId="0" applyFont="1" applyAlignment="1">
      <alignment horizontal="center"/>
    </xf>
    <xf numFmtId="178" fontId="8" fillId="24" borderId="19" xfId="0" applyNumberFormat="1" applyFont="1" applyFill="1" applyBorder="1" applyAlignment="1">
      <alignment horizontal="center"/>
    </xf>
    <xf numFmtId="3" fontId="38" fillId="0" borderId="0" xfId="0" applyNumberFormat="1" applyFont="1"/>
    <xf numFmtId="0" fontId="40" fillId="17" borderId="0" xfId="0" applyFont="1" applyFill="1" applyAlignment="1">
      <alignment horizontal="center"/>
    </xf>
    <xf numFmtId="3" fontId="0" fillId="25" borderId="1" xfId="0" applyNumberFormat="1" applyFill="1" applyBorder="1" applyAlignment="1">
      <alignment horizontal="center"/>
    </xf>
    <xf numFmtId="3" fontId="0" fillId="25" borderId="45" xfId="0" applyNumberFormat="1" applyFill="1" applyBorder="1" applyAlignment="1">
      <alignment horizontal="center"/>
    </xf>
    <xf numFmtId="179" fontId="13" fillId="26" borderId="1" xfId="16" applyNumberFormat="1" applyFont="1" applyFill="1" applyBorder="1" applyAlignment="1">
      <alignment horizontal="center"/>
    </xf>
    <xf numFmtId="179" fontId="13" fillId="26" borderId="45" xfId="16" applyNumberFormat="1" applyFont="1" applyFill="1" applyBorder="1" applyAlignment="1">
      <alignment horizontal="center"/>
    </xf>
    <xf numFmtId="3" fontId="0" fillId="25" borderId="1" xfId="16" applyNumberFormat="1" applyFont="1" applyFill="1" applyBorder="1" applyAlignment="1">
      <alignment horizontal="center"/>
    </xf>
    <xf numFmtId="3" fontId="0" fillId="25" borderId="45" xfId="16" applyNumberFormat="1" applyFont="1" applyFill="1" applyBorder="1" applyAlignment="1">
      <alignment horizontal="center"/>
    </xf>
    <xf numFmtId="3" fontId="13" fillId="27" borderId="1" xfId="16" applyNumberFormat="1" applyFont="1" applyFill="1" applyBorder="1" applyAlignment="1">
      <alignment horizontal="center"/>
    </xf>
    <xf numFmtId="3" fontId="0" fillId="0" borderId="0" xfId="0" applyNumberFormat="1" applyAlignment="1">
      <alignment horizontal="center"/>
    </xf>
    <xf numFmtId="180" fontId="0" fillId="0" borderId="0" xfId="0" applyNumberFormat="1" applyAlignment="1">
      <alignment horizontal="center"/>
    </xf>
    <xf numFmtId="181" fontId="35" fillId="19" borderId="0" xfId="0" applyNumberFormat="1" applyFont="1" applyFill="1" applyAlignment="1">
      <alignment horizontal="center"/>
    </xf>
    <xf numFmtId="0" fontId="35" fillId="19" borderId="0" xfId="0" applyFont="1" applyFill="1" applyAlignment="1">
      <alignment horizontal="center"/>
    </xf>
    <xf numFmtId="179" fontId="35" fillId="19" borderId="0" xfId="0" applyNumberFormat="1" applyFont="1" applyFill="1" applyAlignment="1">
      <alignment horizontal="center"/>
    </xf>
    <xf numFmtId="9" fontId="35" fillId="0" borderId="0" xfId="16" applyFont="1" applyFill="1" applyAlignment="1">
      <alignment horizontal="center"/>
    </xf>
    <xf numFmtId="179" fontId="35" fillId="0" borderId="0" xfId="16" applyNumberFormat="1" applyFont="1" applyFill="1" applyAlignment="1">
      <alignment horizontal="center"/>
    </xf>
    <xf numFmtId="9" fontId="35" fillId="0" borderId="0" xfId="22" applyFont="1" applyFill="1" applyAlignment="1">
      <alignment horizontal="center"/>
    </xf>
    <xf numFmtId="183" fontId="8" fillId="24" borderId="19" xfId="0" applyNumberFormat="1" applyFont="1" applyFill="1" applyBorder="1" applyAlignment="1">
      <alignment horizontal="center"/>
    </xf>
    <xf numFmtId="179" fontId="33" fillId="24" borderId="19" xfId="16" applyNumberFormat="1" applyFont="1" applyFill="1" applyBorder="1" applyAlignment="1">
      <alignment horizontal="center"/>
    </xf>
    <xf numFmtId="0" fontId="13" fillId="0" borderId="37" xfId="0" applyFont="1" applyBorder="1"/>
    <xf numFmtId="0" fontId="17" fillId="5" borderId="8" xfId="4" applyFill="1" applyBorder="1" applyAlignment="1"/>
    <xf numFmtId="0" fontId="8" fillId="0" borderId="0" xfId="26"/>
    <xf numFmtId="0" fontId="27" fillId="5" borderId="7" xfId="26" applyFont="1" applyFill="1" applyBorder="1" applyAlignment="1">
      <alignment horizontal="center"/>
    </xf>
    <xf numFmtId="0" fontId="27" fillId="5" borderId="11" xfId="26" applyFont="1" applyFill="1" applyBorder="1" applyAlignment="1">
      <alignment horizontal="center"/>
    </xf>
    <xf numFmtId="0" fontId="29" fillId="3" borderId="10" xfId="10" applyFont="1" applyBorder="1"/>
    <xf numFmtId="0" fontId="8" fillId="0" borderId="0" xfId="26" applyAlignment="1">
      <alignment vertical="center"/>
    </xf>
    <xf numFmtId="0" fontId="29" fillId="3" borderId="13" xfId="10" applyFont="1" applyBorder="1"/>
    <xf numFmtId="0" fontId="29" fillId="0" borderId="10" xfId="10" applyFont="1" applyFill="1" applyBorder="1"/>
    <xf numFmtId="0" fontId="20" fillId="0" borderId="0" xfId="8" applyFill="1" applyBorder="1"/>
    <xf numFmtId="9" fontId="8" fillId="0" borderId="0" xfId="28" applyFont="1"/>
    <xf numFmtId="0" fontId="30" fillId="0" borderId="0" xfId="11" applyFont="1" applyAlignment="1" applyProtection="1"/>
    <xf numFmtId="0" fontId="27" fillId="29" borderId="0" xfId="26" applyFont="1" applyFill="1" applyAlignment="1">
      <alignment horizontal="center" vertical="center"/>
    </xf>
    <xf numFmtId="0" fontId="28" fillId="0" borderId="9" xfId="9" applyFont="1" applyFill="1" applyBorder="1"/>
    <xf numFmtId="0" fontId="19" fillId="3" borderId="13" xfId="10" applyBorder="1"/>
    <xf numFmtId="0" fontId="19" fillId="3" borderId="10" xfId="10" applyBorder="1"/>
    <xf numFmtId="0" fontId="26" fillId="0" borderId="0" xfId="26" applyFont="1"/>
    <xf numFmtId="0" fontId="13" fillId="0" borderId="32" xfId="0" applyFont="1" applyBorder="1"/>
    <xf numFmtId="0" fontId="13" fillId="0" borderId="38" xfId="0" applyFont="1" applyBorder="1"/>
    <xf numFmtId="0" fontId="0" fillId="0" borderId="4" xfId="0" applyBorder="1"/>
    <xf numFmtId="0" fontId="0" fillId="0" borderId="6" xfId="0" applyBorder="1"/>
    <xf numFmtId="0" fontId="0" fillId="0" borderId="36" xfId="0" applyBorder="1"/>
    <xf numFmtId="0" fontId="0" fillId="0" borderId="2" xfId="0" applyBorder="1"/>
    <xf numFmtId="0" fontId="0" fillId="0" borderId="37" xfId="0" applyBorder="1"/>
    <xf numFmtId="0" fontId="0" fillId="0" borderId="32" xfId="0" applyBorder="1"/>
    <xf numFmtId="0" fontId="0" fillId="0" borderId="38" xfId="0" applyBorder="1"/>
    <xf numFmtId="0" fontId="13" fillId="0" borderId="44" xfId="0" applyFont="1" applyBorder="1"/>
    <xf numFmtId="0" fontId="13" fillId="0" borderId="1" xfId="0" applyFont="1" applyBorder="1"/>
    <xf numFmtId="0" fontId="13" fillId="0" borderId="45" xfId="0" applyFont="1" applyBorder="1"/>
    <xf numFmtId="0" fontId="0" fillId="8" borderId="0" xfId="0" applyFill="1"/>
    <xf numFmtId="0" fontId="35" fillId="19" borderId="0" xfId="0" applyFont="1" applyFill="1" applyAlignment="1">
      <alignment horizontal="left" indent="1"/>
    </xf>
    <xf numFmtId="181" fontId="35" fillId="19" borderId="0" xfId="0" applyNumberFormat="1" applyFont="1" applyFill="1" applyAlignment="1">
      <alignment horizontal="left" indent="1"/>
    </xf>
    <xf numFmtId="0" fontId="35" fillId="30" borderId="0" xfId="0" applyFont="1" applyFill="1" applyAlignment="1">
      <alignment horizontal="left" indent="1"/>
    </xf>
    <xf numFmtId="0" fontId="23" fillId="0" borderId="0" xfId="0" applyFont="1" applyAlignment="1">
      <alignment horizontal="left"/>
    </xf>
    <xf numFmtId="0" fontId="27" fillId="32" borderId="28" xfId="0" applyFont="1" applyFill="1" applyBorder="1" applyAlignment="1">
      <alignment horizontal="center"/>
    </xf>
    <xf numFmtId="0" fontId="27" fillId="32" borderId="25" xfId="0" applyFont="1" applyFill="1" applyBorder="1" applyAlignment="1">
      <alignment horizontal="center"/>
    </xf>
    <xf numFmtId="9" fontId="33" fillId="8" borderId="52" xfId="16" applyFont="1" applyFill="1" applyBorder="1" applyAlignment="1">
      <alignment horizontal="center"/>
    </xf>
    <xf numFmtId="9" fontId="8" fillId="8" borderId="52" xfId="16" applyFont="1" applyFill="1" applyBorder="1" applyAlignment="1">
      <alignment horizontal="center"/>
    </xf>
    <xf numFmtId="0" fontId="13" fillId="0" borderId="52" xfId="0" applyFont="1" applyBorder="1" applyAlignment="1">
      <alignment horizontal="center"/>
    </xf>
    <xf numFmtId="179" fontId="33" fillId="24" borderId="52" xfId="16" applyNumberFormat="1" applyFont="1" applyFill="1" applyBorder="1" applyAlignment="1">
      <alignment horizontal="center"/>
    </xf>
    <xf numFmtId="0" fontId="27" fillId="32" borderId="19" xfId="0" applyFont="1" applyFill="1" applyBorder="1" applyAlignment="1">
      <alignment horizontal="center" vertical="center" wrapText="1"/>
    </xf>
    <xf numFmtId="0" fontId="27" fillId="32" borderId="19" xfId="0" applyFont="1" applyFill="1" applyBorder="1" applyAlignment="1">
      <alignment horizontal="center"/>
    </xf>
    <xf numFmtId="0" fontId="8" fillId="8" borderId="19" xfId="0" applyFont="1" applyFill="1" applyBorder="1" applyAlignment="1">
      <alignment vertical="center" wrapText="1"/>
    </xf>
    <xf numFmtId="0" fontId="27" fillId="32" borderId="52" xfId="0" applyFont="1" applyFill="1" applyBorder="1" applyAlignment="1">
      <alignment horizontal="center"/>
    </xf>
    <xf numFmtId="3" fontId="8" fillId="0" borderId="0" xfId="0" applyNumberFormat="1" applyFont="1"/>
    <xf numFmtId="0" fontId="8" fillId="17" borderId="44" xfId="0" applyFont="1" applyFill="1" applyBorder="1"/>
    <xf numFmtId="0" fontId="8" fillId="0" borderId="44" xfId="0" applyFont="1" applyBorder="1" applyAlignment="1">
      <alignment horizontal="left" indent="1"/>
    </xf>
    <xf numFmtId="0" fontId="8" fillId="0" borderId="44" xfId="0" applyFont="1" applyBorder="1" applyAlignment="1">
      <alignment horizontal="left"/>
    </xf>
    <xf numFmtId="0" fontId="8" fillId="17" borderId="44" xfId="0" applyFont="1" applyFill="1" applyBorder="1" applyAlignment="1">
      <alignment horizontal="left" indent="1"/>
    </xf>
    <xf numFmtId="0" fontId="13" fillId="0" borderId="44" xfId="0" applyFont="1" applyBorder="1" applyAlignment="1">
      <alignment horizontal="left"/>
    </xf>
    <xf numFmtId="0" fontId="13" fillId="17" borderId="44" xfId="0" applyFont="1" applyFill="1" applyBorder="1"/>
    <xf numFmtId="0" fontId="8" fillId="0" borderId="44" xfId="0" applyFont="1" applyBorder="1"/>
    <xf numFmtId="184" fontId="8" fillId="24" borderId="19" xfId="0" applyNumberFormat="1" applyFont="1" applyFill="1" applyBorder="1" applyAlignment="1">
      <alignment horizontal="center"/>
    </xf>
    <xf numFmtId="9" fontId="8" fillId="24" borderId="19" xfId="16" applyFont="1" applyFill="1" applyBorder="1" applyAlignment="1">
      <alignment horizontal="center"/>
    </xf>
    <xf numFmtId="183" fontId="8" fillId="0" borderId="19" xfId="0" applyNumberFormat="1" applyFont="1" applyBorder="1" applyAlignment="1">
      <alignment horizontal="center"/>
    </xf>
    <xf numFmtId="178" fontId="8" fillId="7" borderId="19" xfId="0" applyNumberFormat="1" applyFont="1" applyFill="1" applyBorder="1" applyAlignment="1">
      <alignment horizontal="center"/>
    </xf>
    <xf numFmtId="4" fontId="8" fillId="7" borderId="19" xfId="0" applyNumberFormat="1" applyFont="1" applyFill="1" applyBorder="1" applyAlignment="1">
      <alignment horizontal="center"/>
    </xf>
    <xf numFmtId="9" fontId="33" fillId="7" borderId="52" xfId="16" applyFont="1" applyFill="1" applyBorder="1" applyAlignment="1">
      <alignment horizontal="center"/>
    </xf>
    <xf numFmtId="0" fontId="8" fillId="7" borderId="19" xfId="0" applyFont="1" applyFill="1" applyBorder="1"/>
    <xf numFmtId="9" fontId="8" fillId="7" borderId="19" xfId="16" applyFont="1" applyFill="1" applyBorder="1" applyAlignment="1">
      <alignment horizontal="center"/>
    </xf>
    <xf numFmtId="179" fontId="8" fillId="7" borderId="19" xfId="16" applyNumberFormat="1" applyFont="1" applyFill="1" applyBorder="1" applyAlignment="1">
      <alignment horizontal="center"/>
    </xf>
    <xf numFmtId="9" fontId="8" fillId="7" borderId="19" xfId="16" applyFont="1" applyFill="1" applyBorder="1"/>
    <xf numFmtId="184" fontId="33" fillId="8" borderId="52" xfId="16" applyNumberFormat="1" applyFont="1" applyFill="1" applyBorder="1" applyAlignment="1">
      <alignment horizontal="center"/>
    </xf>
    <xf numFmtId="184" fontId="8" fillId="8" borderId="52" xfId="0" applyNumberFormat="1" applyFont="1" applyFill="1" applyBorder="1" applyAlignment="1">
      <alignment horizontal="center"/>
    </xf>
    <xf numFmtId="0" fontId="48" fillId="32" borderId="52" xfId="0" applyFont="1" applyFill="1" applyBorder="1" applyAlignment="1">
      <alignment horizontal="center"/>
    </xf>
    <xf numFmtId="0" fontId="49" fillId="32" borderId="52" xfId="0" applyFont="1" applyFill="1" applyBorder="1" applyAlignment="1">
      <alignment horizontal="center"/>
    </xf>
    <xf numFmtId="178" fontId="13" fillId="24" borderId="19" xfId="0" applyNumberFormat="1" applyFont="1" applyFill="1" applyBorder="1" applyAlignment="1">
      <alignment horizontal="center"/>
    </xf>
    <xf numFmtId="0" fontId="13" fillId="14" borderId="12" xfId="0" applyFont="1" applyFill="1" applyBorder="1" applyAlignment="1">
      <alignment horizontal="center"/>
    </xf>
    <xf numFmtId="0" fontId="0" fillId="0" borderId="50" xfId="0" applyBorder="1"/>
    <xf numFmtId="0" fontId="0" fillId="0" borderId="71" xfId="0" applyBorder="1"/>
    <xf numFmtId="0" fontId="13" fillId="0" borderId="89" xfId="0" applyFont="1" applyBorder="1" applyAlignment="1">
      <alignment horizontal="left"/>
    </xf>
    <xf numFmtId="0" fontId="13" fillId="0" borderId="90" xfId="0" applyFont="1" applyBorder="1" applyAlignment="1">
      <alignment horizontal="left"/>
    </xf>
    <xf numFmtId="178" fontId="13" fillId="0" borderId="76" xfId="0" applyNumberFormat="1" applyFont="1" applyBorder="1" applyAlignment="1">
      <alignment horizontal="center"/>
    </xf>
    <xf numFmtId="9" fontId="0" fillId="0" borderId="90" xfId="16" applyFont="1" applyBorder="1"/>
    <xf numFmtId="9" fontId="0" fillId="0" borderId="91" xfId="16" applyFont="1" applyBorder="1"/>
    <xf numFmtId="0" fontId="13" fillId="0" borderId="89" xfId="0" applyFont="1" applyBorder="1" applyAlignment="1">
      <alignment horizontal="center"/>
    </xf>
    <xf numFmtId="9" fontId="0" fillId="0" borderId="67" xfId="0" applyNumberFormat="1" applyBorder="1"/>
    <xf numFmtId="178" fontId="0" fillId="0" borderId="84" xfId="0" applyNumberFormat="1" applyBorder="1" applyAlignment="1">
      <alignment horizontal="center"/>
    </xf>
    <xf numFmtId="178" fontId="0" fillId="0" borderId="87" xfId="0" applyNumberFormat="1" applyBorder="1" applyAlignment="1">
      <alignment horizontal="center"/>
    </xf>
    <xf numFmtId="0" fontId="0" fillId="33" borderId="92" xfId="0" applyFill="1" applyBorder="1"/>
    <xf numFmtId="0" fontId="0" fillId="33" borderId="93" xfId="0" applyFill="1" applyBorder="1"/>
    <xf numFmtId="10" fontId="0" fillId="33" borderId="93" xfId="0" applyNumberFormat="1" applyFill="1" applyBorder="1"/>
    <xf numFmtId="10" fontId="0" fillId="33" borderId="94" xfId="0" applyNumberFormat="1" applyFill="1" applyBorder="1"/>
    <xf numFmtId="0" fontId="13" fillId="8" borderId="39" xfId="0" applyFont="1" applyFill="1" applyBorder="1" applyAlignment="1">
      <alignment horizontal="center"/>
    </xf>
    <xf numFmtId="9" fontId="0" fillId="0" borderId="95" xfId="16" applyFont="1" applyBorder="1"/>
    <xf numFmtId="0" fontId="13" fillId="0" borderId="95" xfId="0" applyFont="1" applyBorder="1"/>
    <xf numFmtId="0" fontId="13" fillId="14" borderId="66" xfId="0" applyFont="1" applyFill="1" applyBorder="1" applyAlignment="1">
      <alignment horizontal="center"/>
    </xf>
    <xf numFmtId="9" fontId="13" fillId="14" borderId="66" xfId="16" applyFont="1" applyFill="1" applyBorder="1" applyAlignment="1">
      <alignment horizontal="center"/>
    </xf>
    <xf numFmtId="0" fontId="13" fillId="0" borderId="66" xfId="0" applyFont="1" applyBorder="1" applyAlignment="1">
      <alignment horizontal="center"/>
    </xf>
    <xf numFmtId="178" fontId="0" fillId="0" borderId="96" xfId="0" applyNumberFormat="1" applyBorder="1" applyAlignment="1">
      <alignment horizontal="center"/>
    </xf>
    <xf numFmtId="0" fontId="13" fillId="0" borderId="98" xfId="0" applyFont="1" applyBorder="1"/>
    <xf numFmtId="0" fontId="13" fillId="0" borderId="97" xfId="0" applyFont="1" applyBorder="1" applyAlignment="1">
      <alignment horizontal="center"/>
    </xf>
    <xf numFmtId="0" fontId="0" fillId="0" borderId="68" xfId="0" applyBorder="1"/>
    <xf numFmtId="0" fontId="10" fillId="0" borderId="69" xfId="11" applyBorder="1" applyAlignment="1" applyProtection="1">
      <alignment horizontal="center"/>
    </xf>
    <xf numFmtId="0" fontId="0" fillId="0" borderId="69" xfId="0" applyBorder="1" applyAlignment="1">
      <alignment horizontal="center"/>
    </xf>
    <xf numFmtId="0" fontId="0" fillId="0" borderId="69" xfId="0" applyBorder="1"/>
    <xf numFmtId="0" fontId="0" fillId="0" borderId="70" xfId="0" applyBorder="1"/>
    <xf numFmtId="0" fontId="0" fillId="0" borderId="51" xfId="0" applyBorder="1"/>
    <xf numFmtId="0" fontId="0" fillId="0" borderId="76" xfId="0" applyBorder="1"/>
    <xf numFmtId="0" fontId="0" fillId="0" borderId="76" xfId="0" applyBorder="1" applyAlignment="1">
      <alignment horizontal="center"/>
    </xf>
    <xf numFmtId="0" fontId="0" fillId="0" borderId="77" xfId="0" applyBorder="1"/>
    <xf numFmtId="9" fontId="0" fillId="0" borderId="0" xfId="0" applyNumberFormat="1"/>
    <xf numFmtId="0" fontId="13" fillId="14" borderId="94" xfId="0" applyFont="1" applyFill="1" applyBorder="1" applyAlignment="1">
      <alignment horizontal="center"/>
    </xf>
    <xf numFmtId="0" fontId="0" fillId="33" borderId="73" xfId="0" applyFill="1" applyBorder="1"/>
    <xf numFmtId="0" fontId="0" fillId="33" borderId="75" xfId="0" applyFill="1" applyBorder="1"/>
    <xf numFmtId="0" fontId="13" fillId="0" borderId="73" xfId="0" applyFont="1" applyBorder="1" applyAlignment="1">
      <alignment horizontal="center"/>
    </xf>
    <xf numFmtId="178" fontId="0" fillId="0" borderId="85" xfId="0" applyNumberFormat="1" applyBorder="1" applyAlignment="1">
      <alignment horizontal="center"/>
    </xf>
    <xf numFmtId="178" fontId="0" fillId="0" borderId="88" xfId="0" applyNumberFormat="1" applyBorder="1" applyAlignment="1">
      <alignment horizontal="center"/>
    </xf>
    <xf numFmtId="0" fontId="13" fillId="8" borderId="9" xfId="0" applyFont="1" applyFill="1" applyBorder="1" applyAlignment="1">
      <alignment horizontal="center"/>
    </xf>
    <xf numFmtId="184" fontId="0" fillId="0" borderId="101" xfId="0" applyNumberFormat="1" applyBorder="1" applyAlignment="1">
      <alignment horizontal="center"/>
    </xf>
    <xf numFmtId="184" fontId="0" fillId="0" borderId="103" xfId="0" applyNumberFormat="1" applyBorder="1" applyAlignment="1">
      <alignment horizontal="center"/>
    </xf>
    <xf numFmtId="0" fontId="0" fillId="31" borderId="74" xfId="0" applyFill="1" applyBorder="1"/>
    <xf numFmtId="0" fontId="27" fillId="31" borderId="74" xfId="0" applyFont="1" applyFill="1" applyBorder="1" applyAlignment="1">
      <alignment horizontal="left"/>
    </xf>
    <xf numFmtId="182" fontId="27" fillId="31" borderId="75" xfId="0" applyNumberFormat="1" applyFont="1" applyFill="1" applyBorder="1" applyAlignment="1">
      <alignment horizontal="center" vertical="center"/>
    </xf>
    <xf numFmtId="0" fontId="13" fillId="17" borderId="107" xfId="0" applyFont="1" applyFill="1" applyBorder="1"/>
    <xf numFmtId="0" fontId="13" fillId="17" borderId="109" xfId="0" applyFont="1" applyFill="1" applyBorder="1"/>
    <xf numFmtId="184" fontId="0" fillId="0" borderId="110" xfId="0" applyNumberFormat="1" applyBorder="1" applyAlignment="1">
      <alignment horizontal="center"/>
    </xf>
    <xf numFmtId="0" fontId="27" fillId="32" borderId="112" xfId="0" applyFont="1" applyFill="1" applyBorder="1" applyAlignment="1">
      <alignment horizontal="center"/>
    </xf>
    <xf numFmtId="0" fontId="0" fillId="32" borderId="113" xfId="0" applyFill="1" applyBorder="1"/>
    <xf numFmtId="0" fontId="27" fillId="32" borderId="107" xfId="0" applyFont="1" applyFill="1" applyBorder="1" applyAlignment="1">
      <alignment horizontal="center"/>
    </xf>
    <xf numFmtId="0" fontId="0" fillId="32" borderId="103" xfId="0" applyFill="1" applyBorder="1"/>
    <xf numFmtId="0" fontId="13" fillId="0" borderId="105" xfId="0" applyFont="1" applyBorder="1" applyAlignment="1">
      <alignment horizontal="left" vertical="center"/>
    </xf>
    <xf numFmtId="0" fontId="47" fillId="5" borderId="73" xfId="0" applyFont="1" applyFill="1" applyBorder="1" applyAlignment="1">
      <alignment horizontal="left" vertical="center"/>
    </xf>
    <xf numFmtId="0" fontId="47" fillId="31" borderId="73" xfId="0" applyFont="1" applyFill="1" applyBorder="1" applyAlignment="1">
      <alignment horizontal="left" vertical="center"/>
    </xf>
    <xf numFmtId="0" fontId="47" fillId="13" borderId="75" xfId="0" applyFont="1" applyFill="1" applyBorder="1" applyAlignment="1">
      <alignment horizontal="center"/>
    </xf>
    <xf numFmtId="0" fontId="13" fillId="8" borderId="105" xfId="0" applyFont="1" applyFill="1" applyBorder="1" applyAlignment="1">
      <alignment horizontal="left" vertical="center"/>
    </xf>
    <xf numFmtId="0" fontId="13" fillId="8" borderId="107" xfId="0" applyFont="1" applyFill="1" applyBorder="1" applyAlignment="1">
      <alignment horizontal="left" vertical="center"/>
    </xf>
    <xf numFmtId="0" fontId="0" fillId="31" borderId="74" xfId="0" applyFill="1" applyBorder="1" applyAlignment="1">
      <alignment horizontal="center"/>
    </xf>
    <xf numFmtId="0" fontId="8" fillId="0" borderId="68" xfId="0" applyFont="1" applyBorder="1"/>
    <xf numFmtId="0" fontId="50" fillId="5" borderId="65" xfId="0" applyFont="1" applyFill="1" applyBorder="1" applyAlignment="1">
      <alignment horizontal="center"/>
    </xf>
    <xf numFmtId="0" fontId="50" fillId="5" borderId="65" xfId="0" applyFont="1" applyFill="1" applyBorder="1"/>
    <xf numFmtId="0" fontId="0" fillId="0" borderId="65" xfId="0" applyBorder="1"/>
    <xf numFmtId="184" fontId="0" fillId="24" borderId="103" xfId="0" applyNumberFormat="1" applyFill="1" applyBorder="1" applyAlignment="1">
      <alignment horizontal="center"/>
    </xf>
    <xf numFmtId="184" fontId="0" fillId="24" borderId="110" xfId="0" applyNumberFormat="1" applyFill="1" applyBorder="1" applyAlignment="1">
      <alignment horizontal="center"/>
    </xf>
    <xf numFmtId="0" fontId="29" fillId="0" borderId="10" xfId="26" applyFont="1" applyBorder="1" applyAlignment="1">
      <alignment horizontal="center"/>
    </xf>
    <xf numFmtId="0" fontId="29" fillId="0" borderId="16" xfId="26" applyFont="1" applyBorder="1" applyAlignment="1">
      <alignment horizontal="center"/>
    </xf>
    <xf numFmtId="0" fontId="29" fillId="0" borderId="10" xfId="26" applyFont="1" applyBorder="1" applyAlignment="1">
      <alignment horizontal="center" vertical="center"/>
    </xf>
    <xf numFmtId="0" fontId="29" fillId="0" borderId="16" xfId="26" applyFont="1" applyBorder="1" applyAlignment="1">
      <alignment horizontal="center" vertical="center"/>
    </xf>
    <xf numFmtId="0" fontId="29" fillId="0" borderId="14" xfId="26" applyFont="1" applyBorder="1" applyAlignment="1">
      <alignment horizontal="center"/>
    </xf>
    <xf numFmtId="0" fontId="29" fillId="0" borderId="17" xfId="26" applyFont="1" applyBorder="1" applyAlignment="1">
      <alignment horizontal="center"/>
    </xf>
    <xf numFmtId="0" fontId="51" fillId="5" borderId="116" xfId="4" applyFont="1" applyFill="1" applyBorder="1" applyAlignment="1">
      <alignment horizontal="center" vertical="center"/>
    </xf>
    <xf numFmtId="0" fontId="51" fillId="5" borderId="116" xfId="3" applyFont="1" applyFill="1" applyBorder="1" applyAlignment="1">
      <alignment horizontal="center" vertical="center" wrapText="1"/>
    </xf>
    <xf numFmtId="0" fontId="51" fillId="5" borderId="116" xfId="3" applyFont="1" applyFill="1" applyBorder="1" applyAlignment="1">
      <alignment horizontal="center" vertical="center"/>
    </xf>
    <xf numFmtId="0" fontId="8" fillId="3" borderId="116" xfId="10" applyFont="1" applyBorder="1" applyAlignment="1">
      <alignment horizontal="center" vertical="center"/>
    </xf>
    <xf numFmtId="181" fontId="8" fillId="8" borderId="116" xfId="6" applyFont="1" applyFill="1" applyBorder="1" applyAlignment="1">
      <alignment horizontal="right" vertical="center" wrapText="1"/>
    </xf>
    <xf numFmtId="0" fontId="29" fillId="3" borderId="116" xfId="10" applyFont="1" applyBorder="1" applyAlignment="1">
      <alignment vertical="center"/>
    </xf>
    <xf numFmtId="181" fontId="8" fillId="3" borderId="116" xfId="6" applyFont="1" applyBorder="1" applyAlignment="1">
      <alignment horizontal="right" vertical="center" wrapText="1"/>
    </xf>
    <xf numFmtId="0" fontId="29" fillId="3" borderId="116" xfId="10" applyFont="1" applyBorder="1" applyAlignment="1">
      <alignment horizontal="center" vertical="center"/>
    </xf>
    <xf numFmtId="3" fontId="13" fillId="34" borderId="118" xfId="5" applyFont="1" applyFill="1" applyBorder="1" applyAlignment="1">
      <alignment horizontal="center" vertical="center"/>
    </xf>
    <xf numFmtId="0" fontId="13" fillId="0" borderId="0" xfId="26" applyFont="1" applyAlignment="1">
      <alignment vertical="center"/>
    </xf>
    <xf numFmtId="0" fontId="8" fillId="12" borderId="0" xfId="26" applyFill="1" applyAlignment="1">
      <alignment vertical="center"/>
    </xf>
    <xf numFmtId="0" fontId="28" fillId="0" borderId="116" xfId="9" applyFont="1" applyFill="1" applyBorder="1" applyAlignment="1">
      <alignment horizontal="center" vertical="center"/>
    </xf>
    <xf numFmtId="3" fontId="52" fillId="34" borderId="117" xfId="5" applyFont="1" applyFill="1" applyBorder="1" applyAlignment="1">
      <alignment horizontal="right" vertical="center"/>
    </xf>
    <xf numFmtId="3" fontId="52" fillId="34" borderId="118" xfId="5" applyFont="1" applyFill="1" applyBorder="1" applyAlignment="1">
      <alignment horizontal="right" vertical="center"/>
    </xf>
    <xf numFmtId="3" fontId="52" fillId="34" borderId="119" xfId="5" applyFont="1" applyFill="1" applyBorder="1" applyAlignment="1">
      <alignment horizontal="right" vertical="center"/>
    </xf>
    <xf numFmtId="181" fontId="8" fillId="3" borderId="116" xfId="6" applyFont="1" applyBorder="1" applyAlignment="1">
      <alignment horizontal="center" vertical="center"/>
    </xf>
    <xf numFmtId="4" fontId="32" fillId="0" borderId="116" xfId="7" applyFont="1" applyFill="1" applyBorder="1" applyAlignment="1">
      <alignment horizontal="right" vertical="center"/>
    </xf>
    <xf numFmtId="0" fontId="0" fillId="34" borderId="118" xfId="0" applyFill="1" applyBorder="1" applyAlignment="1">
      <alignment horizontal="center" vertical="center"/>
    </xf>
    <xf numFmtId="4" fontId="8" fillId="34" borderId="118" xfId="7" applyFont="1" applyFill="1" applyBorder="1" applyAlignment="1">
      <alignment horizontal="right" vertical="center"/>
    </xf>
    <xf numFmtId="3" fontId="13" fillId="34" borderId="119" xfId="5" applyFont="1" applyFill="1" applyBorder="1" applyAlignment="1">
      <alignment horizontal="right" vertical="center" wrapText="1"/>
    </xf>
    <xf numFmtId="4" fontId="8" fillId="8" borderId="116" xfId="7" applyFont="1" applyFill="1" applyBorder="1" applyAlignment="1">
      <alignment horizontal="right" vertical="center" wrapText="1"/>
    </xf>
    <xf numFmtId="4" fontId="8" fillId="3" borderId="116" xfId="7" applyFont="1" applyBorder="1" applyAlignment="1">
      <alignment horizontal="center" vertical="center"/>
    </xf>
    <xf numFmtId="4" fontId="8" fillId="3" borderId="116" xfId="7" applyFont="1" applyBorder="1" applyAlignment="1">
      <alignment horizontal="right" vertical="center" wrapText="1"/>
    </xf>
    <xf numFmtId="0" fontId="29" fillId="0" borderId="116" xfId="10" applyFont="1" applyFill="1" applyBorder="1" applyAlignment="1">
      <alignment vertical="center"/>
    </xf>
    <xf numFmtId="0" fontId="8" fillId="0" borderId="116" xfId="10" applyFont="1" applyFill="1" applyBorder="1" applyAlignment="1">
      <alignment horizontal="center" vertical="center"/>
    </xf>
    <xf numFmtId="0" fontId="8" fillId="0" borderId="116" xfId="27" applyFont="1" applyBorder="1" applyAlignment="1">
      <alignment horizontal="right" vertical="center" wrapText="1"/>
    </xf>
    <xf numFmtId="3" fontId="13" fillId="34" borderId="117" xfId="5" applyFont="1" applyFill="1" applyBorder="1" applyAlignment="1">
      <alignment horizontal="right" vertical="center"/>
    </xf>
    <xf numFmtId="4" fontId="8" fillId="6" borderId="116" xfId="7" applyFont="1" applyFill="1" applyBorder="1" applyAlignment="1">
      <alignment horizontal="right" vertical="center"/>
    </xf>
    <xf numFmtId="4" fontId="8" fillId="6" borderId="116" xfId="7" applyFont="1" applyFill="1" applyBorder="1" applyAlignment="1">
      <alignment horizontal="center" vertical="center"/>
    </xf>
    <xf numFmtId="4" fontId="8" fillId="0" borderId="116" xfId="7" applyFont="1" applyFill="1" applyBorder="1" applyAlignment="1">
      <alignment horizontal="right" vertical="center" wrapText="1"/>
    </xf>
    <xf numFmtId="0" fontId="29" fillId="3" borderId="116" xfId="10" applyFont="1" applyBorder="1" applyAlignment="1">
      <alignment vertical="center" wrapText="1"/>
    </xf>
    <xf numFmtId="4" fontId="8" fillId="0" borderId="116" xfId="7" applyFont="1" applyFill="1" applyBorder="1" applyAlignment="1">
      <alignment horizontal="center" vertical="center"/>
    </xf>
    <xf numFmtId="0" fontId="51" fillId="32" borderId="116" xfId="3" applyFont="1" applyFill="1" applyBorder="1" applyAlignment="1">
      <alignment horizontal="center" vertical="center" wrapText="1"/>
    </xf>
    <xf numFmtId="0" fontId="8" fillId="0" borderId="116" xfId="26" applyBorder="1"/>
    <xf numFmtId="0" fontId="8" fillId="0" borderId="116" xfId="26" applyBorder="1" applyAlignment="1">
      <alignment vertical="center"/>
    </xf>
    <xf numFmtId="0" fontId="35" fillId="12" borderId="116" xfId="26" applyFont="1" applyFill="1" applyBorder="1" applyAlignment="1">
      <alignment horizontal="center" vertical="center"/>
    </xf>
    <xf numFmtId="0" fontId="54" fillId="0" borderId="0" xfId="0" applyFont="1"/>
    <xf numFmtId="0" fontId="56" fillId="0" borderId="0" xfId="0" applyFont="1"/>
    <xf numFmtId="0" fontId="13" fillId="0" borderId="38" xfId="0" applyFont="1" applyBorder="1" applyAlignment="1">
      <alignment horizontal="center"/>
    </xf>
    <xf numFmtId="0" fontId="13" fillId="0" borderId="36" xfId="0" applyFont="1" applyBorder="1" applyAlignment="1">
      <alignment horizontal="center"/>
    </xf>
    <xf numFmtId="0" fontId="56" fillId="0" borderId="38" xfId="0" applyFont="1" applyBorder="1" applyAlignment="1">
      <alignment horizontal="center"/>
    </xf>
    <xf numFmtId="0" fontId="56" fillId="0" borderId="36" xfId="0" applyFont="1" applyBorder="1" applyAlignment="1">
      <alignment horizontal="center"/>
    </xf>
    <xf numFmtId="0" fontId="56" fillId="0" borderId="32" xfId="0" applyFont="1" applyBorder="1"/>
    <xf numFmtId="0" fontId="56" fillId="0" borderId="120" xfId="0" applyFont="1" applyBorder="1" applyAlignment="1">
      <alignment horizontal="center" vertical="center"/>
    </xf>
    <xf numFmtId="0" fontId="56" fillId="0" borderId="124" xfId="0" applyFont="1" applyBorder="1" applyAlignment="1">
      <alignment horizontal="center" vertical="center"/>
    </xf>
    <xf numFmtId="0" fontId="8" fillId="0" borderId="32" xfId="0" applyFont="1" applyBorder="1"/>
    <xf numFmtId="0" fontId="13" fillId="12" borderId="127" xfId="0" applyFont="1" applyFill="1" applyBorder="1" applyAlignment="1">
      <alignment horizontal="center"/>
    </xf>
    <xf numFmtId="0" fontId="56" fillId="12" borderId="127" xfId="0" applyFont="1" applyFill="1" applyBorder="1"/>
    <xf numFmtId="0" fontId="56" fillId="12" borderId="133" xfId="0" applyFont="1" applyFill="1" applyBorder="1"/>
    <xf numFmtId="0" fontId="54" fillId="12" borderId="133" xfId="0" applyFont="1" applyFill="1" applyBorder="1"/>
    <xf numFmtId="10" fontId="0" fillId="0" borderId="130" xfId="0" applyNumberFormat="1" applyBorder="1" applyAlignment="1">
      <alignment horizontal="center" vertical="center"/>
    </xf>
    <xf numFmtId="10" fontId="0" fillId="0" borderId="134" xfId="0" applyNumberFormat="1" applyBorder="1" applyAlignment="1">
      <alignment horizontal="center" vertical="center"/>
    </xf>
    <xf numFmtId="10" fontId="0" fillId="0" borderId="135" xfId="0" applyNumberFormat="1" applyBorder="1" applyAlignment="1">
      <alignment horizontal="center" vertical="center"/>
    </xf>
    <xf numFmtId="10" fontId="0" fillId="0" borderId="136" xfId="0" applyNumberFormat="1" applyBorder="1" applyAlignment="1">
      <alignment horizontal="center" vertical="center"/>
    </xf>
    <xf numFmtId="0" fontId="56" fillId="0" borderId="137" xfId="0" applyFont="1" applyBorder="1" applyAlignment="1">
      <alignment horizontal="center" vertical="center"/>
    </xf>
    <xf numFmtId="0" fontId="56" fillId="0" borderId="138" xfId="0" applyFont="1" applyBorder="1" applyAlignment="1">
      <alignment horizontal="center" vertical="center"/>
    </xf>
    <xf numFmtId="0" fontId="27" fillId="5" borderId="8" xfId="26" applyFont="1" applyFill="1" applyBorder="1" applyAlignment="1">
      <alignment horizontal="center"/>
    </xf>
    <xf numFmtId="0" fontId="54" fillId="8" borderId="0" xfId="0" applyFont="1" applyFill="1"/>
    <xf numFmtId="0" fontId="58" fillId="42" borderId="0" xfId="0" applyFont="1" applyFill="1"/>
    <xf numFmtId="0" fontId="8" fillId="37" borderId="32" xfId="0" applyFont="1" applyFill="1" applyBorder="1"/>
    <xf numFmtId="0" fontId="56" fillId="0" borderId="143" xfId="0" applyFont="1" applyBorder="1" applyAlignment="1">
      <alignment horizontal="center"/>
    </xf>
    <xf numFmtId="0" fontId="54" fillId="12" borderId="144" xfId="0" applyFont="1" applyFill="1" applyBorder="1" applyAlignment="1">
      <alignment horizontal="center"/>
    </xf>
    <xf numFmtId="0" fontId="8" fillId="39" borderId="144" xfId="0" applyFont="1" applyFill="1" applyBorder="1"/>
    <xf numFmtId="0" fontId="56" fillId="0" borderId="145" xfId="0" applyFont="1" applyBorder="1" applyAlignment="1">
      <alignment horizontal="center"/>
    </xf>
    <xf numFmtId="0" fontId="57" fillId="0" borderId="146" xfId="0" applyFont="1" applyBorder="1" applyAlignment="1">
      <alignment horizontal="center"/>
    </xf>
    <xf numFmtId="0" fontId="13" fillId="0" borderId="147" xfId="0" applyFont="1" applyBorder="1" applyAlignment="1">
      <alignment horizontal="center"/>
    </xf>
    <xf numFmtId="0" fontId="13" fillId="0" borderId="150" xfId="0" applyFont="1" applyBorder="1" applyAlignment="1">
      <alignment horizontal="center"/>
    </xf>
    <xf numFmtId="0" fontId="8" fillId="39" borderId="0" xfId="0" applyFont="1" applyFill="1"/>
    <xf numFmtId="0" fontId="13" fillId="41" borderId="32" xfId="0" quotePrefix="1" applyFont="1" applyFill="1" applyBorder="1"/>
    <xf numFmtId="0" fontId="13" fillId="41" borderId="0" xfId="0" quotePrefix="1" applyFont="1" applyFill="1"/>
    <xf numFmtId="0" fontId="54" fillId="39" borderId="0" xfId="0" applyFont="1" applyFill="1"/>
    <xf numFmtId="0" fontId="13" fillId="37" borderId="32" xfId="0" applyFont="1" applyFill="1" applyBorder="1"/>
    <xf numFmtId="0" fontId="8" fillId="0" borderId="160" xfId="0" applyFont="1" applyBorder="1"/>
    <xf numFmtId="0" fontId="13" fillId="0" borderId="161" xfId="0" applyFont="1" applyBorder="1" applyAlignment="1">
      <alignment horizontal="center"/>
    </xf>
    <xf numFmtId="0" fontId="13" fillId="0" borderId="41" xfId="0" applyFont="1" applyBorder="1" applyAlignment="1">
      <alignment horizontal="center"/>
    </xf>
    <xf numFmtId="0" fontId="13" fillId="0" borderId="162" xfId="0" applyFont="1" applyBorder="1" applyAlignment="1">
      <alignment horizontal="center"/>
    </xf>
    <xf numFmtId="0" fontId="13" fillId="0" borderId="153" xfId="0" applyFont="1" applyBorder="1" applyAlignment="1">
      <alignment horizontal="center"/>
    </xf>
    <xf numFmtId="0" fontId="8" fillId="39" borderId="128" xfId="0" applyFont="1" applyFill="1" applyBorder="1"/>
    <xf numFmtId="14" fontId="13" fillId="0" borderId="21" xfId="0" applyNumberFormat="1" applyFont="1" applyBorder="1" applyAlignment="1">
      <alignment horizontal="center" vertical="center"/>
    </xf>
    <xf numFmtId="0" fontId="8" fillId="0" borderId="57" xfId="0" applyFont="1" applyBorder="1" applyAlignment="1">
      <alignment horizontal="center" vertical="center"/>
    </xf>
    <xf numFmtId="10" fontId="0" fillId="0" borderId="0" xfId="16" applyNumberFormat="1" applyFont="1"/>
    <xf numFmtId="9" fontId="33" fillId="38" borderId="155" xfId="16" applyFont="1" applyFill="1" applyBorder="1" applyAlignment="1">
      <alignment horizontal="center" vertical="center"/>
    </xf>
    <xf numFmtId="3" fontId="23" fillId="0" borderId="0" xfId="0" applyNumberFormat="1" applyFont="1" applyAlignment="1">
      <alignment horizontal="center" vertical="center"/>
    </xf>
    <xf numFmtId="3" fontId="35" fillId="19" borderId="0" xfId="0" applyNumberFormat="1" applyFont="1" applyFill="1" applyAlignment="1">
      <alignment horizontal="center" vertical="center"/>
    </xf>
    <xf numFmtId="179" fontId="33" fillId="43" borderId="156" xfId="30" applyNumberFormat="1" applyFont="1" applyFill="1" applyBorder="1" applyAlignment="1">
      <alignment horizontal="center" vertical="center"/>
    </xf>
    <xf numFmtId="0" fontId="59" fillId="0" borderId="156" xfId="0" applyFont="1" applyBorder="1" applyAlignment="1">
      <alignment horizontal="center" vertical="center"/>
    </xf>
    <xf numFmtId="0" fontId="59" fillId="0" borderId="158" xfId="0" applyFont="1" applyBorder="1" applyAlignment="1">
      <alignment horizontal="center" vertical="center"/>
    </xf>
    <xf numFmtId="0" fontId="59" fillId="0" borderId="46" xfId="0" applyFont="1" applyBorder="1" applyAlignment="1">
      <alignment horizontal="center" vertical="center"/>
    </xf>
    <xf numFmtId="0" fontId="59" fillId="41" borderId="158" xfId="0" applyFont="1" applyFill="1" applyBorder="1" applyAlignment="1">
      <alignment horizontal="center" vertical="center"/>
    </xf>
    <xf numFmtId="0" fontId="59" fillId="41" borderId="46" xfId="0" applyFont="1" applyFill="1" applyBorder="1" applyAlignment="1">
      <alignment horizontal="center" vertical="center"/>
    </xf>
    <xf numFmtId="3" fontId="59" fillId="40" borderId="46" xfId="0" applyNumberFormat="1" applyFont="1" applyFill="1" applyBorder="1" applyAlignment="1">
      <alignment horizontal="center" vertical="center"/>
    </xf>
    <xf numFmtId="3" fontId="59" fillId="40" borderId="158" xfId="0" applyNumberFormat="1" applyFont="1" applyFill="1" applyBorder="1" applyAlignment="1">
      <alignment horizontal="center" vertical="center"/>
    </xf>
    <xf numFmtId="0" fontId="62" fillId="0" borderId="158" xfId="0" applyFont="1" applyBorder="1" applyAlignment="1">
      <alignment horizontal="center" vertical="center"/>
    </xf>
    <xf numFmtId="0" fontId="62" fillId="0" borderId="46" xfId="0" applyFont="1" applyBorder="1" applyAlignment="1">
      <alignment horizontal="center" vertical="center"/>
    </xf>
    <xf numFmtId="0" fontId="8" fillId="0" borderId="46" xfId="0" quotePrefix="1" applyFont="1" applyBorder="1" applyAlignment="1">
      <alignment horizontal="center" vertical="center"/>
    </xf>
    <xf numFmtId="0" fontId="8" fillId="0" borderId="149" xfId="0" quotePrefix="1" applyFont="1" applyBorder="1" applyAlignment="1">
      <alignment horizontal="center" vertical="center"/>
    </xf>
    <xf numFmtId="9" fontId="38" fillId="0" borderId="0" xfId="16" applyFont="1"/>
    <xf numFmtId="9" fontId="0" fillId="0" borderId="96" xfId="0" applyNumberFormat="1" applyBorder="1" applyAlignment="1">
      <alignment horizontal="center"/>
    </xf>
    <xf numFmtId="9" fontId="13" fillId="0" borderId="74" xfId="0" applyNumberFormat="1" applyFont="1" applyBorder="1" applyAlignment="1">
      <alignment horizontal="center"/>
    </xf>
    <xf numFmtId="9" fontId="8" fillId="0" borderId="78" xfId="0" applyNumberFormat="1" applyFont="1" applyBorder="1" applyAlignment="1">
      <alignment horizontal="center"/>
    </xf>
    <xf numFmtId="9" fontId="8" fillId="0" borderId="83" xfId="0" applyNumberFormat="1" applyFont="1" applyBorder="1" applyAlignment="1">
      <alignment horizontal="center"/>
    </xf>
    <xf numFmtId="9" fontId="8" fillId="0" borderId="86" xfId="0" applyNumberFormat="1" applyFont="1" applyBorder="1" applyAlignment="1">
      <alignment horizontal="center"/>
    </xf>
    <xf numFmtId="3" fontId="0" fillId="0" borderId="0" xfId="0" applyNumberFormat="1"/>
    <xf numFmtId="0" fontId="10" fillId="0" borderId="50" xfId="11" applyBorder="1" applyAlignment="1" applyProtection="1"/>
    <xf numFmtId="10" fontId="0" fillId="0" borderId="0" xfId="0" applyNumberFormat="1"/>
    <xf numFmtId="4" fontId="32" fillId="12" borderId="116" xfId="7" applyFont="1" applyFill="1" applyBorder="1" applyAlignment="1">
      <alignment horizontal="right" vertical="center"/>
    </xf>
    <xf numFmtId="4" fontId="8" fillId="0" borderId="0" xfId="7" applyFont="1" applyFill="1" applyBorder="1">
      <alignment horizontal="right"/>
    </xf>
    <xf numFmtId="4" fontId="32" fillId="0" borderId="0" xfId="7" applyFont="1" applyFill="1" applyBorder="1">
      <alignment horizontal="right"/>
    </xf>
    <xf numFmtId="4" fontId="32" fillId="9" borderId="116" xfId="7" applyFont="1" applyFill="1" applyBorder="1" applyAlignment="1">
      <alignment horizontal="right" vertical="center"/>
    </xf>
    <xf numFmtId="4" fontId="32" fillId="28" borderId="116" xfId="7" applyFont="1" applyFill="1" applyBorder="1" applyAlignment="1">
      <alignment horizontal="right" vertical="center"/>
    </xf>
    <xf numFmtId="4" fontId="25" fillId="12" borderId="116" xfId="7" applyFont="1" applyFill="1" applyBorder="1" applyAlignment="1">
      <alignment horizontal="right" vertical="center"/>
    </xf>
    <xf numFmtId="4" fontId="25" fillId="28" borderId="116" xfId="7" applyFont="1" applyFill="1" applyBorder="1" applyAlignment="1">
      <alignment horizontal="right" vertical="center"/>
    </xf>
    <xf numFmtId="1" fontId="59" fillId="41" borderId="149" xfId="0" applyNumberFormat="1" applyFont="1" applyFill="1" applyBorder="1" applyAlignment="1">
      <alignment horizontal="center" vertical="center"/>
    </xf>
    <xf numFmtId="3" fontId="59" fillId="40" borderId="46" xfId="0" quotePrefix="1" applyNumberFormat="1" applyFont="1" applyFill="1" applyBorder="1" applyAlignment="1">
      <alignment horizontal="center" vertical="center"/>
    </xf>
    <xf numFmtId="3" fontId="59" fillId="40" borderId="158" xfId="0" quotePrefix="1" applyNumberFormat="1" applyFont="1" applyFill="1" applyBorder="1" applyAlignment="1">
      <alignment horizontal="center" vertical="center"/>
    </xf>
    <xf numFmtId="1" fontId="54" fillId="40" borderId="38" xfId="0" applyNumberFormat="1" applyFont="1" applyFill="1" applyBorder="1" applyAlignment="1">
      <alignment horizontal="center" vertical="center"/>
    </xf>
    <xf numFmtId="4" fontId="5" fillId="0" borderId="46" xfId="29" applyNumberFormat="1" applyBorder="1" applyAlignment="1">
      <alignment horizontal="center"/>
    </xf>
    <xf numFmtId="0" fontId="26" fillId="0" borderId="0" xfId="0" applyFont="1" applyAlignment="1">
      <alignment horizontal="center"/>
    </xf>
    <xf numFmtId="0" fontId="66" fillId="0" borderId="0" xfId="0" applyFont="1"/>
    <xf numFmtId="0" fontId="0" fillId="0" borderId="46" xfId="0" applyBorder="1"/>
    <xf numFmtId="0" fontId="65" fillId="0" borderId="0" xfId="0" applyFont="1"/>
    <xf numFmtId="3" fontId="54" fillId="0" borderId="38" xfId="0" applyNumberFormat="1" applyFont="1" applyBorder="1" applyAlignment="1">
      <alignment horizontal="center" vertical="center"/>
    </xf>
    <xf numFmtId="3" fontId="8" fillId="8" borderId="15" xfId="0" applyNumberFormat="1" applyFont="1" applyFill="1" applyBorder="1" applyAlignment="1">
      <alignment horizontal="center"/>
    </xf>
    <xf numFmtId="179" fontId="33" fillId="38" borderId="46" xfId="16" applyNumberFormat="1" applyFont="1" applyFill="1" applyBorder="1" applyAlignment="1">
      <alignment horizontal="center" vertical="center"/>
    </xf>
    <xf numFmtId="3" fontId="62" fillId="0" borderId="46" xfId="0" applyNumberFormat="1" applyFont="1" applyBorder="1" applyAlignment="1">
      <alignment horizontal="center" vertical="center"/>
    </xf>
    <xf numFmtId="3" fontId="62" fillId="38" borderId="46" xfId="0" applyNumberFormat="1" applyFont="1" applyFill="1" applyBorder="1" applyAlignment="1">
      <alignment horizontal="center" vertical="center"/>
    </xf>
    <xf numFmtId="179" fontId="33" fillId="38" borderId="158" xfId="16" applyNumberFormat="1" applyFont="1" applyFill="1" applyBorder="1" applyAlignment="1">
      <alignment horizontal="center" vertical="center"/>
    </xf>
    <xf numFmtId="3" fontId="62" fillId="0" borderId="158" xfId="0" applyNumberFormat="1" applyFont="1" applyBorder="1" applyAlignment="1">
      <alignment horizontal="center" vertical="center"/>
    </xf>
    <xf numFmtId="3" fontId="62" fillId="38" borderId="158" xfId="0" applyNumberFormat="1" applyFont="1" applyFill="1" applyBorder="1" applyAlignment="1">
      <alignment horizontal="center" vertical="center"/>
    </xf>
    <xf numFmtId="0" fontId="62" fillId="38" borderId="159" xfId="0" applyFont="1" applyFill="1" applyBorder="1" applyAlignment="1">
      <alignment horizontal="center" vertical="center"/>
    </xf>
    <xf numFmtId="179" fontId="33" fillId="43" borderId="174" xfId="30" applyNumberFormat="1" applyFont="1" applyFill="1" applyBorder="1" applyAlignment="1">
      <alignment horizontal="center" vertical="center"/>
    </xf>
    <xf numFmtId="3" fontId="4" fillId="43" borderId="44" xfId="30" applyNumberFormat="1" applyFill="1" applyBorder="1" applyAlignment="1">
      <alignment horizontal="center" vertical="center"/>
    </xf>
    <xf numFmtId="179" fontId="33" fillId="38" borderId="44" xfId="16" applyNumberFormat="1" applyFont="1" applyFill="1" applyBorder="1" applyAlignment="1">
      <alignment horizontal="center" vertical="center"/>
    </xf>
    <xf numFmtId="3" fontId="62" fillId="0" borderId="44" xfId="0" applyNumberFormat="1" applyFont="1" applyBorder="1" applyAlignment="1">
      <alignment horizontal="center" vertical="center"/>
    </xf>
    <xf numFmtId="0" fontId="62" fillId="0" borderId="44" xfId="0" applyFont="1" applyBorder="1" applyAlignment="1">
      <alignment horizontal="center" vertical="center"/>
    </xf>
    <xf numFmtId="3" fontId="62" fillId="38" borderId="44" xfId="0" applyNumberFormat="1" applyFont="1" applyFill="1" applyBorder="1" applyAlignment="1">
      <alignment horizontal="center" vertical="center"/>
    </xf>
    <xf numFmtId="0" fontId="62" fillId="38" borderId="175" xfId="0" applyFont="1" applyFill="1" applyBorder="1" applyAlignment="1">
      <alignment horizontal="center" vertical="center"/>
    </xf>
    <xf numFmtId="1" fontId="54" fillId="0" borderId="46" xfId="0" applyNumberFormat="1" applyFont="1" applyBorder="1" applyAlignment="1">
      <alignment horizontal="center" vertical="center"/>
    </xf>
    <xf numFmtId="1" fontId="59" fillId="0" borderId="46" xfId="0" applyNumberFormat="1" applyFont="1" applyBorder="1" applyAlignment="1">
      <alignment horizontal="center" vertical="center"/>
    </xf>
    <xf numFmtId="1" fontId="54" fillId="0" borderId="158" xfId="0" applyNumberFormat="1" applyFont="1" applyBorder="1" applyAlignment="1">
      <alignment horizontal="center" vertical="center"/>
    </xf>
    <xf numFmtId="1" fontId="54" fillId="0" borderId="149" xfId="0" applyNumberFormat="1" applyFont="1" applyBorder="1" applyAlignment="1">
      <alignment horizontal="center" vertical="center"/>
    </xf>
    <xf numFmtId="1" fontId="59" fillId="0" borderId="158" xfId="0" applyNumberFormat="1" applyFont="1" applyBorder="1" applyAlignment="1">
      <alignment horizontal="center" vertical="center"/>
    </xf>
    <xf numFmtId="1" fontId="59" fillId="0" borderId="149" xfId="0" applyNumberFormat="1" applyFont="1" applyBorder="1" applyAlignment="1">
      <alignment horizontal="center" vertical="center"/>
    </xf>
    <xf numFmtId="1" fontId="62" fillId="38" borderId="159" xfId="0" applyNumberFormat="1" applyFont="1" applyFill="1" applyBorder="1" applyAlignment="1">
      <alignment horizontal="center" vertical="center"/>
    </xf>
    <xf numFmtId="1" fontId="62" fillId="38" borderId="172" xfId="0" applyNumberFormat="1" applyFont="1" applyFill="1" applyBorder="1" applyAlignment="1">
      <alignment horizontal="center" vertical="center"/>
    </xf>
    <xf numFmtId="1" fontId="62" fillId="38" borderId="173" xfId="0" applyNumberFormat="1" applyFont="1" applyFill="1" applyBorder="1" applyAlignment="1">
      <alignment horizontal="center" vertical="center"/>
    </xf>
    <xf numFmtId="179" fontId="8" fillId="0" borderId="155" xfId="16" applyNumberFormat="1" applyFont="1" applyFill="1" applyBorder="1" applyAlignment="1">
      <alignment horizontal="center" vertical="center"/>
    </xf>
    <xf numFmtId="179" fontId="8" fillId="0" borderId="156" xfId="16" applyNumberFormat="1" applyFont="1" applyFill="1" applyBorder="1" applyAlignment="1">
      <alignment horizontal="center" vertical="center"/>
    </xf>
    <xf numFmtId="179" fontId="0" fillId="0" borderId="157" xfId="16" applyNumberFormat="1" applyFont="1" applyFill="1" applyBorder="1" applyAlignment="1">
      <alignment horizontal="center" vertical="center"/>
    </xf>
    <xf numFmtId="179" fontId="33" fillId="0" borderId="158" xfId="16" applyNumberFormat="1" applyFont="1" applyFill="1" applyBorder="1" applyAlignment="1">
      <alignment horizontal="center" vertical="center"/>
    </xf>
    <xf numFmtId="1" fontId="62" fillId="0" borderId="158" xfId="0" applyNumberFormat="1" applyFont="1" applyBorder="1" applyAlignment="1">
      <alignment horizontal="center" vertical="center"/>
    </xf>
    <xf numFmtId="1" fontId="62" fillId="0" borderId="46" xfId="0" applyNumberFormat="1" applyFont="1" applyBorder="1" applyAlignment="1">
      <alignment horizontal="center" vertical="center"/>
    </xf>
    <xf numFmtId="1" fontId="62" fillId="0" borderId="149" xfId="0" applyNumberFormat="1" applyFont="1" applyBorder="1" applyAlignment="1">
      <alignment horizontal="center" vertical="center"/>
    </xf>
    <xf numFmtId="1" fontId="59" fillId="41" borderId="46" xfId="0" applyNumberFormat="1" applyFont="1" applyFill="1" applyBorder="1" applyAlignment="1">
      <alignment horizontal="center" vertical="center"/>
    </xf>
    <xf numFmtId="1" fontId="59" fillId="41" borderId="158" xfId="0" applyNumberFormat="1" applyFont="1" applyFill="1" applyBorder="1" applyAlignment="1">
      <alignment horizontal="center" vertical="center"/>
    </xf>
    <xf numFmtId="0" fontId="8" fillId="0" borderId="158" xfId="0" quotePrefix="1" applyFont="1" applyBorder="1" applyAlignment="1">
      <alignment horizontal="center" vertical="center"/>
    </xf>
    <xf numFmtId="1" fontId="54" fillId="40" borderId="46" xfId="0" applyNumberFormat="1" applyFont="1" applyFill="1" applyBorder="1" applyAlignment="1">
      <alignment horizontal="center" vertical="center"/>
    </xf>
    <xf numFmtId="1" fontId="54" fillId="40" borderId="155" xfId="0" applyNumberFormat="1" applyFont="1" applyFill="1" applyBorder="1" applyAlignment="1">
      <alignment horizontal="center" vertical="center"/>
    </xf>
    <xf numFmtId="1" fontId="54" fillId="40" borderId="156" xfId="0" applyNumberFormat="1" applyFont="1" applyFill="1" applyBorder="1" applyAlignment="1">
      <alignment horizontal="center" vertical="center"/>
    </xf>
    <xf numFmtId="1" fontId="54" fillId="40" borderId="158" xfId="0" applyNumberFormat="1" applyFont="1" applyFill="1" applyBorder="1" applyAlignment="1">
      <alignment horizontal="center" vertical="center"/>
    </xf>
    <xf numFmtId="1" fontId="54" fillId="40" borderId="174" xfId="0" applyNumberFormat="1" applyFont="1" applyFill="1" applyBorder="1" applyAlignment="1">
      <alignment horizontal="center" vertical="center"/>
    </xf>
    <xf numFmtId="1" fontId="54" fillId="40" borderId="44" xfId="0" applyNumberFormat="1" applyFont="1" applyFill="1" applyBorder="1" applyAlignment="1">
      <alignment horizontal="center" vertical="center"/>
    </xf>
    <xf numFmtId="1" fontId="54" fillId="40" borderId="175" xfId="0" applyNumberFormat="1" applyFont="1" applyFill="1" applyBorder="1" applyAlignment="1">
      <alignment horizontal="center" vertical="center"/>
    </xf>
    <xf numFmtId="1" fontId="0" fillId="0" borderId="46" xfId="0" applyNumberFormat="1" applyBorder="1" applyAlignment="1">
      <alignment horizontal="center" vertical="center"/>
    </xf>
    <xf numFmtId="1" fontId="0" fillId="0" borderId="155" xfId="0" applyNumberFormat="1" applyBorder="1" applyAlignment="1">
      <alignment horizontal="center" vertical="center"/>
    </xf>
    <xf numFmtId="1" fontId="0" fillId="0" borderId="158" xfId="0" applyNumberFormat="1" applyBorder="1" applyAlignment="1">
      <alignment horizontal="center" vertical="center"/>
    </xf>
    <xf numFmtId="1" fontId="0" fillId="0" borderId="149" xfId="0" applyNumberFormat="1" applyBorder="1" applyAlignment="1">
      <alignment horizontal="center" vertical="center"/>
    </xf>
    <xf numFmtId="1" fontId="54" fillId="40" borderId="147" xfId="0" applyNumberFormat="1" applyFont="1" applyFill="1" applyBorder="1" applyAlignment="1">
      <alignment horizontal="center" vertical="center"/>
    </xf>
    <xf numFmtId="1" fontId="54" fillId="40" borderId="148" xfId="0" applyNumberFormat="1" applyFont="1" applyFill="1" applyBorder="1" applyAlignment="1">
      <alignment horizontal="center" vertical="center"/>
    </xf>
    <xf numFmtId="1" fontId="54" fillId="40" borderId="150" xfId="0" applyNumberFormat="1" applyFont="1" applyFill="1" applyBorder="1" applyAlignment="1">
      <alignment horizontal="center" vertical="center"/>
    </xf>
    <xf numFmtId="1" fontId="54" fillId="40" borderId="151" xfId="0" applyNumberFormat="1" applyFont="1" applyFill="1" applyBorder="1" applyAlignment="1">
      <alignment horizontal="center" vertical="center"/>
    </xf>
    <xf numFmtId="1" fontId="54" fillId="40" borderId="152" xfId="0" applyNumberFormat="1" applyFont="1" applyFill="1" applyBorder="1" applyAlignment="1">
      <alignment horizontal="center" vertical="center"/>
    </xf>
    <xf numFmtId="4" fontId="5" fillId="0" borderId="149" xfId="29" applyNumberFormat="1" applyBorder="1" applyAlignment="1">
      <alignment horizontal="center"/>
    </xf>
    <xf numFmtId="9" fontId="0" fillId="0" borderId="0" xfId="16" applyFont="1" applyBorder="1" applyAlignment="1">
      <alignment horizontal="left"/>
    </xf>
    <xf numFmtId="3" fontId="8" fillId="0" borderId="158" xfId="0" applyNumberFormat="1" applyFont="1" applyBorder="1" applyAlignment="1">
      <alignment horizontal="center" vertical="center"/>
    </xf>
    <xf numFmtId="3" fontId="59" fillId="0" borderId="46" xfId="0" applyNumberFormat="1" applyFont="1" applyBorder="1" applyAlignment="1">
      <alignment horizontal="center" vertical="center"/>
    </xf>
    <xf numFmtId="3" fontId="59" fillId="0" borderId="158" xfId="0" applyNumberFormat="1" applyFont="1" applyBorder="1" applyAlignment="1">
      <alignment horizontal="center" vertical="center"/>
    </xf>
    <xf numFmtId="2" fontId="8" fillId="24" borderId="19" xfId="0" applyNumberFormat="1" applyFont="1" applyFill="1" applyBorder="1" applyAlignment="1">
      <alignment horizontal="center"/>
    </xf>
    <xf numFmtId="0" fontId="23" fillId="0" borderId="0" xfId="0" applyFont="1" applyAlignment="1">
      <alignment horizontal="center" vertical="center"/>
    </xf>
    <xf numFmtId="3" fontId="35" fillId="19" borderId="0" xfId="21" applyNumberFormat="1" applyFont="1" applyFill="1" applyAlignment="1">
      <alignment horizontal="center" vertical="center"/>
    </xf>
    <xf numFmtId="3" fontId="36" fillId="19" borderId="0" xfId="21" applyNumberFormat="1" applyFont="1" applyFill="1" applyAlignment="1">
      <alignment horizontal="center" vertical="center"/>
    </xf>
    <xf numFmtId="3" fontId="36" fillId="19" borderId="0" xfId="0" applyNumberFormat="1" applyFont="1" applyFill="1" applyAlignment="1">
      <alignment horizontal="center" vertical="center"/>
    </xf>
    <xf numFmtId="3" fontId="35" fillId="0" borderId="0" xfId="0" applyNumberFormat="1" applyFont="1" applyAlignment="1">
      <alignment horizontal="center" vertical="center"/>
    </xf>
    <xf numFmtId="181" fontId="23" fillId="0" borderId="0" xfId="0" applyNumberFormat="1" applyFont="1" applyAlignment="1">
      <alignment horizontal="center" vertical="center"/>
    </xf>
    <xf numFmtId="4" fontId="35" fillId="19" borderId="0" xfId="0" applyNumberFormat="1" applyFont="1" applyFill="1" applyAlignment="1">
      <alignment horizontal="center" vertical="center"/>
    </xf>
    <xf numFmtId="4" fontId="35" fillId="19" borderId="0" xfId="21" applyNumberFormat="1" applyFont="1" applyFill="1" applyAlignment="1">
      <alignment horizontal="center" vertical="center"/>
    </xf>
    <xf numFmtId="3" fontId="23" fillId="19" borderId="0" xfId="0" applyNumberFormat="1" applyFont="1" applyFill="1" applyAlignment="1">
      <alignment horizontal="center" vertical="center"/>
    </xf>
    <xf numFmtId="0" fontId="0" fillId="0" borderId="0" xfId="0" applyAlignment="1">
      <alignment horizontal="center" vertical="center"/>
    </xf>
    <xf numFmtId="0" fontId="26" fillId="0" borderId="0" xfId="0" applyFont="1" applyAlignment="1">
      <alignment horizontal="center" vertical="center"/>
    </xf>
    <xf numFmtId="0" fontId="8" fillId="8" borderId="19" xfId="0" applyFont="1" applyFill="1" applyBorder="1" applyAlignment="1">
      <alignment horizontal="center" vertical="center" wrapText="1"/>
    </xf>
    <xf numFmtId="184" fontId="0" fillId="0" borderId="103" xfId="0" applyNumberFormat="1" applyBorder="1" applyAlignment="1">
      <alignment horizontal="center" wrapText="1"/>
    </xf>
    <xf numFmtId="0" fontId="47" fillId="9" borderId="73" xfId="0" applyFont="1" applyFill="1" applyBorder="1" applyAlignment="1">
      <alignment horizontal="center" vertical="center" wrapText="1"/>
    </xf>
    <xf numFmtId="0" fontId="47" fillId="10" borderId="74" xfId="0" applyFont="1" applyFill="1" applyBorder="1" applyAlignment="1">
      <alignment horizontal="center" vertical="center" wrapText="1"/>
    </xf>
    <xf numFmtId="0" fontId="47" fillId="11" borderId="74" xfId="0" applyFont="1" applyFill="1" applyBorder="1" applyAlignment="1">
      <alignment horizontal="center" vertical="center" wrapText="1"/>
    </xf>
    <xf numFmtId="0" fontId="47" fillId="15" borderId="74" xfId="0" applyFont="1" applyFill="1" applyBorder="1" applyAlignment="1">
      <alignment horizontal="center" vertical="center" wrapText="1"/>
    </xf>
    <xf numFmtId="0" fontId="47" fillId="23" borderId="104" xfId="0" applyFont="1" applyFill="1" applyBorder="1" applyAlignment="1">
      <alignment horizontal="center" vertical="center" wrapText="1"/>
    </xf>
    <xf numFmtId="0" fontId="47" fillId="10" borderId="65" xfId="0" applyFont="1" applyFill="1" applyBorder="1" applyAlignment="1">
      <alignment horizontal="center" vertical="center" wrapText="1"/>
    </xf>
    <xf numFmtId="0" fontId="47" fillId="11" borderId="65" xfId="0" applyFont="1" applyFill="1" applyBorder="1" applyAlignment="1">
      <alignment horizontal="center" vertical="center" wrapText="1"/>
    </xf>
    <xf numFmtId="0" fontId="47" fillId="15" borderId="65" xfId="0" applyFont="1" applyFill="1" applyBorder="1" applyAlignment="1">
      <alignment horizontal="center" vertical="center" wrapText="1"/>
    </xf>
    <xf numFmtId="0" fontId="47" fillId="23" borderId="65" xfId="0" applyFont="1" applyFill="1" applyBorder="1" applyAlignment="1">
      <alignment horizontal="center" vertical="center" wrapText="1"/>
    </xf>
    <xf numFmtId="0" fontId="56" fillId="0" borderId="0" xfId="0" applyFont="1" applyAlignment="1">
      <alignment horizontal="center" vertical="center"/>
    </xf>
    <xf numFmtId="14" fontId="13" fillId="0" borderId="20" xfId="0" applyNumberFormat="1" applyFont="1" applyBorder="1" applyAlignment="1">
      <alignment horizontal="center" vertical="center"/>
    </xf>
    <xf numFmtId="14" fontId="13" fillId="0" borderId="54" xfId="0" applyNumberFormat="1" applyFont="1" applyBorder="1" applyAlignment="1">
      <alignment horizontal="center" vertical="center"/>
    </xf>
    <xf numFmtId="0" fontId="0" fillId="0" borderId="0" xfId="0" applyAlignment="1">
      <alignment horizontal="left"/>
    </xf>
    <xf numFmtId="2" fontId="8" fillId="24" borderId="52" xfId="0" applyNumberFormat="1" applyFont="1" applyFill="1" applyBorder="1" applyAlignment="1">
      <alignment horizontal="center"/>
    </xf>
    <xf numFmtId="2" fontId="33" fillId="24" borderId="52" xfId="16" applyNumberFormat="1" applyFont="1" applyFill="1" applyBorder="1" applyAlignment="1">
      <alignment horizontal="center"/>
    </xf>
    <xf numFmtId="0" fontId="8" fillId="7" borderId="176" xfId="0" applyFont="1" applyFill="1" applyBorder="1"/>
    <xf numFmtId="0" fontId="27" fillId="32" borderId="62" xfId="0" applyFont="1" applyFill="1" applyBorder="1" applyAlignment="1">
      <alignment horizontal="center"/>
    </xf>
    <xf numFmtId="0" fontId="13" fillId="0" borderId="62" xfId="0" applyFont="1" applyBorder="1" applyAlignment="1">
      <alignment horizontal="center"/>
    </xf>
    <xf numFmtId="178" fontId="13" fillId="24" borderId="23" xfId="0" applyNumberFormat="1" applyFont="1" applyFill="1" applyBorder="1" applyAlignment="1">
      <alignment horizontal="center"/>
    </xf>
    <xf numFmtId="2" fontId="33" fillId="24" borderId="62" xfId="16" applyNumberFormat="1" applyFont="1" applyFill="1" applyBorder="1" applyAlignment="1">
      <alignment horizontal="center"/>
    </xf>
    <xf numFmtId="10" fontId="64" fillId="8" borderId="62" xfId="0" applyNumberFormat="1" applyFont="1" applyFill="1" applyBorder="1" applyAlignment="1">
      <alignment horizontal="center"/>
    </xf>
    <xf numFmtId="0" fontId="8" fillId="0" borderId="0" xfId="0" applyFont="1" applyAlignment="1">
      <alignment horizontal="center"/>
    </xf>
    <xf numFmtId="10" fontId="8" fillId="0" borderId="126" xfId="0" applyNumberFormat="1" applyFont="1" applyBorder="1" applyAlignment="1">
      <alignment horizontal="center" vertical="center"/>
    </xf>
    <xf numFmtId="1" fontId="59" fillId="40" borderId="159" xfId="0" applyNumberFormat="1" applyFont="1" applyFill="1" applyBorder="1" applyAlignment="1">
      <alignment horizontal="center" vertical="center"/>
    </xf>
    <xf numFmtId="1" fontId="59" fillId="40" borderId="172" xfId="0" applyNumberFormat="1" applyFont="1" applyFill="1" applyBorder="1" applyAlignment="1">
      <alignment horizontal="center" vertical="center"/>
    </xf>
    <xf numFmtId="0" fontId="0" fillId="0" borderId="46" xfId="0" applyBorder="1" applyAlignment="1">
      <alignment horizontal="center"/>
    </xf>
    <xf numFmtId="178" fontId="0" fillId="0" borderId="46" xfId="0" applyNumberFormat="1" applyBorder="1" applyAlignment="1">
      <alignment horizontal="center"/>
    </xf>
    <xf numFmtId="179" fontId="65" fillId="0" borderId="46" xfId="16" applyNumberFormat="1" applyFont="1" applyBorder="1" applyAlignment="1">
      <alignment horizontal="center"/>
    </xf>
    <xf numFmtId="0" fontId="65" fillId="0" borderId="46" xfId="0" applyFont="1" applyBorder="1"/>
    <xf numFmtId="177" fontId="65" fillId="0" borderId="46" xfId="0" applyNumberFormat="1" applyFont="1" applyBorder="1" applyAlignment="1">
      <alignment horizontal="center"/>
    </xf>
    <xf numFmtId="9" fontId="0" fillId="0" borderId="0" xfId="16" applyFont="1" applyAlignment="1">
      <alignment horizontal="left"/>
    </xf>
    <xf numFmtId="4" fontId="5" fillId="0" borderId="45" xfId="29" applyNumberFormat="1" applyBorder="1" applyAlignment="1">
      <alignment horizontal="center"/>
    </xf>
    <xf numFmtId="0" fontId="54" fillId="0" borderId="177" xfId="0" applyFont="1" applyBorder="1"/>
    <xf numFmtId="0" fontId="54" fillId="0" borderId="35" xfId="0" applyFont="1" applyBorder="1"/>
    <xf numFmtId="3" fontId="59" fillId="0" borderId="155" xfId="0" applyNumberFormat="1" applyFont="1" applyBorder="1" applyAlignment="1">
      <alignment horizontal="center" vertical="center"/>
    </xf>
    <xf numFmtId="3" fontId="68" fillId="0" borderId="158" xfId="0" quotePrefix="1" applyNumberFormat="1" applyFont="1" applyBorder="1" applyAlignment="1">
      <alignment horizontal="center" vertical="center"/>
    </xf>
    <xf numFmtId="3" fontId="68" fillId="0" borderId="46" xfId="0" quotePrefix="1" applyNumberFormat="1" applyFont="1" applyBorder="1" applyAlignment="1">
      <alignment horizontal="center" vertical="center"/>
    </xf>
    <xf numFmtId="3" fontId="68" fillId="0" borderId="149" xfId="0" quotePrefix="1" applyNumberFormat="1" applyFont="1" applyBorder="1" applyAlignment="1">
      <alignment horizontal="center" vertical="center"/>
    </xf>
    <xf numFmtId="0" fontId="54" fillId="40" borderId="147" xfId="0" applyFont="1" applyFill="1" applyBorder="1" applyAlignment="1">
      <alignment horizontal="center" vertical="center"/>
    </xf>
    <xf numFmtId="0" fontId="54" fillId="40" borderId="2" xfId="0" applyFont="1" applyFill="1" applyBorder="1" applyAlignment="1">
      <alignment horizontal="center" vertical="center"/>
    </xf>
    <xf numFmtId="1" fontId="54" fillId="40" borderId="124" xfId="0" applyNumberFormat="1" applyFont="1" applyFill="1" applyBorder="1" applyAlignment="1">
      <alignment horizontal="center" vertical="center"/>
    </xf>
    <xf numFmtId="1" fontId="54" fillId="40" borderId="179" xfId="0" applyNumberFormat="1" applyFont="1" applyFill="1" applyBorder="1" applyAlignment="1">
      <alignment horizontal="center" vertical="center"/>
    </xf>
    <xf numFmtId="3" fontId="59" fillId="41" borderId="180" xfId="0" applyNumberFormat="1" applyFont="1" applyFill="1" applyBorder="1" applyAlignment="1">
      <alignment horizontal="center" vertical="center"/>
    </xf>
    <xf numFmtId="3" fontId="59" fillId="41" borderId="3" xfId="0" applyNumberFormat="1" applyFont="1" applyFill="1" applyBorder="1" applyAlignment="1">
      <alignment horizontal="center" vertical="center"/>
    </xf>
    <xf numFmtId="3" fontId="59" fillId="41" borderId="34" xfId="0" applyNumberFormat="1" applyFont="1" applyFill="1" applyBorder="1" applyAlignment="1">
      <alignment horizontal="center" vertical="center"/>
    </xf>
    <xf numFmtId="3" fontId="60" fillId="12" borderId="0" xfId="0" applyNumberFormat="1" applyFont="1" applyFill="1" applyAlignment="1">
      <alignment horizontal="center" vertical="center"/>
    </xf>
    <xf numFmtId="3" fontId="60" fillId="12" borderId="181" xfId="0" applyNumberFormat="1" applyFont="1" applyFill="1" applyBorder="1" applyAlignment="1">
      <alignment horizontal="center" vertical="center"/>
    </xf>
    <xf numFmtId="1" fontId="59" fillId="41" borderId="44" xfId="0" applyNumberFormat="1" applyFont="1" applyFill="1" applyBorder="1" applyAlignment="1">
      <alignment horizontal="center" vertical="center"/>
    </xf>
    <xf numFmtId="1" fontId="59" fillId="0" borderId="44" xfId="0" applyNumberFormat="1" applyFont="1" applyBorder="1" applyAlignment="1">
      <alignment horizontal="center" vertical="center"/>
    </xf>
    <xf numFmtId="0" fontId="65" fillId="0" borderId="0" xfId="29" applyFont="1" applyAlignment="1">
      <alignment horizontal="center" vertical="center"/>
    </xf>
    <xf numFmtId="0" fontId="5" fillId="0" borderId="0" xfId="29"/>
    <xf numFmtId="0" fontId="5" fillId="0" borderId="36" xfId="29" applyBorder="1"/>
    <xf numFmtId="0" fontId="54" fillId="0" borderId="182" xfId="0" applyFont="1" applyBorder="1"/>
    <xf numFmtId="0" fontId="56" fillId="0" borderId="122" xfId="0" applyFont="1" applyBorder="1" applyAlignment="1">
      <alignment horizontal="center" vertical="center"/>
    </xf>
    <xf numFmtId="0" fontId="56" fillId="0" borderId="123" xfId="0" applyFont="1" applyBorder="1" applyAlignment="1">
      <alignment horizontal="center" vertical="center"/>
    </xf>
    <xf numFmtId="0" fontId="54" fillId="0" borderId="183" xfId="0" applyFont="1" applyBorder="1"/>
    <xf numFmtId="0" fontId="54" fillId="0" borderId="121" xfId="0" applyFont="1" applyBorder="1" applyAlignment="1">
      <alignment horizontal="center" vertical="center"/>
    </xf>
    <xf numFmtId="0" fontId="54" fillId="0" borderId="184" xfId="0" applyFont="1" applyBorder="1"/>
    <xf numFmtId="0" fontId="54" fillId="0" borderId="125" xfId="0" applyFont="1" applyBorder="1" applyAlignment="1">
      <alignment horizontal="center" vertical="center"/>
    </xf>
    <xf numFmtId="10" fontId="0" fillId="0" borderId="0" xfId="0" applyNumberFormat="1" applyAlignment="1">
      <alignment horizontal="center" vertical="center"/>
    </xf>
    <xf numFmtId="0" fontId="54" fillId="0" borderId="122" xfId="0" applyFont="1" applyBorder="1" applyAlignment="1">
      <alignment horizontal="center" vertical="center"/>
    </xf>
    <xf numFmtId="0" fontId="54" fillId="0" borderId="121" xfId="0" applyFont="1" applyBorder="1"/>
    <xf numFmtId="0" fontId="56" fillId="0" borderId="46" xfId="0" applyFont="1" applyBorder="1"/>
    <xf numFmtId="9" fontId="23" fillId="0" borderId="0" xfId="16" applyFont="1" applyAlignment="1">
      <alignment horizontal="center" vertical="center"/>
    </xf>
    <xf numFmtId="1" fontId="59" fillId="41" borderId="147" xfId="0" applyNumberFormat="1" applyFont="1" applyFill="1" applyBorder="1" applyAlignment="1">
      <alignment horizontal="center" vertical="center"/>
    </xf>
    <xf numFmtId="1" fontId="59" fillId="41" borderId="2" xfId="0" applyNumberFormat="1" applyFont="1" applyFill="1" applyBorder="1" applyAlignment="1">
      <alignment horizontal="center" vertical="center"/>
    </xf>
    <xf numFmtId="1" fontId="59" fillId="41" borderId="37" xfId="0" applyNumberFormat="1" applyFont="1" applyFill="1" applyBorder="1" applyAlignment="1">
      <alignment horizontal="center" vertical="center"/>
    </xf>
    <xf numFmtId="1" fontId="59" fillId="41" borderId="178" xfId="0" applyNumberFormat="1" applyFont="1" applyFill="1" applyBorder="1" applyAlignment="1">
      <alignment horizontal="center" vertical="center"/>
    </xf>
    <xf numFmtId="3" fontId="0" fillId="0" borderId="46" xfId="0" applyNumberFormat="1" applyBorder="1" applyAlignment="1">
      <alignment horizontal="center" vertical="center"/>
    </xf>
    <xf numFmtId="3" fontId="0" fillId="0" borderId="149" xfId="0" applyNumberFormat="1" applyBorder="1" applyAlignment="1">
      <alignment horizontal="center" vertical="center"/>
    </xf>
    <xf numFmtId="179" fontId="38" fillId="0" borderId="0" xfId="0" applyNumberFormat="1" applyFont="1"/>
    <xf numFmtId="1" fontId="54" fillId="40" borderId="186" xfId="0" applyNumberFormat="1" applyFont="1" applyFill="1" applyBorder="1" applyAlignment="1">
      <alignment horizontal="center" vertical="center"/>
    </xf>
    <xf numFmtId="0" fontId="54" fillId="40" borderId="37" xfId="0" applyFont="1" applyFill="1" applyBorder="1" applyAlignment="1">
      <alignment horizontal="center" vertical="center"/>
    </xf>
    <xf numFmtId="1" fontId="0" fillId="0" borderId="45" xfId="0" applyNumberFormat="1" applyBorder="1" applyAlignment="1">
      <alignment horizontal="center" vertical="center"/>
    </xf>
    <xf numFmtId="3" fontId="68" fillId="0" borderId="158" xfId="0" applyNumberFormat="1" applyFont="1" applyBorder="1" applyAlignment="1">
      <alignment horizontal="center" vertical="center"/>
    </xf>
    <xf numFmtId="2" fontId="0" fillId="24" borderId="62" xfId="0" applyNumberFormat="1" applyFill="1" applyBorder="1" applyAlignment="1">
      <alignment horizontal="center"/>
    </xf>
    <xf numFmtId="178" fontId="0" fillId="24" borderId="23" xfId="0" applyNumberFormat="1" applyFill="1" applyBorder="1" applyAlignment="1">
      <alignment horizontal="center"/>
    </xf>
    <xf numFmtId="10" fontId="0" fillId="8" borderId="23" xfId="25" applyNumberFormat="1" applyFont="1" applyFill="1" applyBorder="1" applyAlignment="1">
      <alignment horizontal="center"/>
    </xf>
    <xf numFmtId="179" fontId="0" fillId="8" borderId="23" xfId="25" applyNumberFormat="1" applyFont="1" applyFill="1" applyBorder="1" applyAlignment="1">
      <alignment horizontal="center"/>
    </xf>
    <xf numFmtId="179" fontId="0" fillId="8" borderId="23" xfId="16" quotePrefix="1" applyNumberFormat="1" applyFont="1" applyFill="1" applyBorder="1" applyAlignment="1">
      <alignment horizontal="center"/>
    </xf>
    <xf numFmtId="180" fontId="0" fillId="24" borderId="23" xfId="0" applyNumberFormat="1" applyFill="1" applyBorder="1" applyAlignment="1">
      <alignment horizontal="center"/>
    </xf>
    <xf numFmtId="180" fontId="0" fillId="24" borderId="23" xfId="16" applyNumberFormat="1" applyFont="1" applyFill="1" applyBorder="1" applyAlignment="1">
      <alignment horizontal="center"/>
    </xf>
    <xf numFmtId="179" fontId="0" fillId="24" borderId="23" xfId="16" applyNumberFormat="1" applyFont="1" applyFill="1" applyBorder="1" applyAlignment="1">
      <alignment horizontal="center"/>
    </xf>
    <xf numFmtId="2" fontId="0" fillId="24" borderId="23" xfId="16" applyNumberFormat="1" applyFont="1" applyFill="1" applyBorder="1" applyAlignment="1">
      <alignment horizontal="center"/>
    </xf>
    <xf numFmtId="179" fontId="0" fillId="8" borderId="23" xfId="16" applyNumberFormat="1" applyFont="1" applyFill="1" applyBorder="1" applyAlignment="1">
      <alignment horizontal="center"/>
    </xf>
    <xf numFmtId="0" fontId="0" fillId="0" borderId="22" xfId="0" quotePrefix="1" applyBorder="1"/>
    <xf numFmtId="10" fontId="0" fillId="8" borderId="23" xfId="16" applyNumberFormat="1" applyFont="1" applyFill="1" applyBorder="1" applyAlignment="1">
      <alignment horizontal="center"/>
    </xf>
    <xf numFmtId="4" fontId="0" fillId="8" borderId="23" xfId="0" applyNumberFormat="1" applyFill="1" applyBorder="1" applyAlignment="1">
      <alignment horizontal="center"/>
    </xf>
    <xf numFmtId="0" fontId="0" fillId="0" borderId="22" xfId="0" applyBorder="1"/>
    <xf numFmtId="0" fontId="0" fillId="0" borderId="58" xfId="0" applyBorder="1" applyAlignment="1">
      <alignment horizontal="center" vertical="center"/>
    </xf>
    <xf numFmtId="186" fontId="0" fillId="0" borderId="0" xfId="0" applyNumberFormat="1" applyAlignment="1">
      <alignment horizontal="center"/>
    </xf>
    <xf numFmtId="1" fontId="59" fillId="0" borderId="147" xfId="0" applyNumberFormat="1" applyFont="1" applyBorder="1" applyAlignment="1">
      <alignment horizontal="center" vertical="center"/>
    </xf>
    <xf numFmtId="1" fontId="59" fillId="0" borderId="2" xfId="0" applyNumberFormat="1" applyFont="1" applyBorder="1" applyAlignment="1">
      <alignment horizontal="center" vertical="center"/>
    </xf>
    <xf numFmtId="1" fontId="59" fillId="0" borderId="178" xfId="0" applyNumberFormat="1" applyFont="1" applyBorder="1" applyAlignment="1">
      <alignment horizontal="center" vertical="center"/>
    </xf>
    <xf numFmtId="1" fontId="8" fillId="0" borderId="180" xfId="0" applyNumberFormat="1" applyFont="1" applyBorder="1" applyAlignment="1">
      <alignment horizontal="center" vertical="center"/>
    </xf>
    <xf numFmtId="10" fontId="70" fillId="35" borderId="116" xfId="26" applyNumberFormat="1" applyFont="1" applyFill="1" applyBorder="1"/>
    <xf numFmtId="185" fontId="8" fillId="0" borderId="116" xfId="26" applyNumberFormat="1" applyBorder="1"/>
    <xf numFmtId="179" fontId="54" fillId="0" borderId="0" xfId="16" applyNumberFormat="1" applyFont="1"/>
    <xf numFmtId="3" fontId="68" fillId="38" borderId="158" xfId="0" quotePrefix="1" applyNumberFormat="1" applyFont="1" applyFill="1" applyBorder="1" applyAlignment="1">
      <alignment horizontal="center" vertical="center"/>
    </xf>
    <xf numFmtId="3" fontId="68" fillId="38" borderId="46" xfId="0" quotePrefix="1" applyNumberFormat="1" applyFont="1" applyFill="1" applyBorder="1" applyAlignment="1">
      <alignment horizontal="center" vertical="center"/>
    </xf>
    <xf numFmtId="3" fontId="68" fillId="38" borderId="44" xfId="0" quotePrefix="1" applyNumberFormat="1" applyFont="1" applyFill="1" applyBorder="1" applyAlignment="1">
      <alignment horizontal="center" vertical="center"/>
    </xf>
    <xf numFmtId="3" fontId="25" fillId="38" borderId="158" xfId="0" applyNumberFormat="1" applyFont="1" applyFill="1" applyBorder="1" applyAlignment="1">
      <alignment horizontal="center" vertical="center"/>
    </xf>
    <xf numFmtId="3" fontId="25" fillId="38" borderId="46" xfId="0" applyNumberFormat="1" applyFont="1" applyFill="1" applyBorder="1" applyAlignment="1">
      <alignment horizontal="center" vertical="center"/>
    </xf>
    <xf numFmtId="3" fontId="25" fillId="38" borderId="44" xfId="0" applyNumberFormat="1" applyFont="1" applyFill="1" applyBorder="1" applyAlignment="1">
      <alignment horizontal="center" vertical="center"/>
    </xf>
    <xf numFmtId="0" fontId="68" fillId="38" borderId="158" xfId="0" applyFont="1" applyFill="1" applyBorder="1" applyAlignment="1">
      <alignment horizontal="center" vertical="center"/>
    </xf>
    <xf numFmtId="0" fontId="68" fillId="38" borderId="46" xfId="0" applyFont="1" applyFill="1" applyBorder="1" applyAlignment="1">
      <alignment horizontal="center" vertical="center"/>
    </xf>
    <xf numFmtId="0" fontId="68" fillId="38" borderId="44" xfId="0" applyFont="1" applyFill="1" applyBorder="1" applyAlignment="1">
      <alignment horizontal="center" vertical="center"/>
    </xf>
    <xf numFmtId="1" fontId="68" fillId="0" borderId="158" xfId="0" applyNumberFormat="1" applyFont="1" applyBorder="1" applyAlignment="1">
      <alignment horizontal="center" vertical="center"/>
    </xf>
    <xf numFmtId="1" fontId="68" fillId="0" borderId="46" xfId="0" quotePrefix="1" applyNumberFormat="1" applyFont="1" applyBorder="1" applyAlignment="1">
      <alignment horizontal="center" vertical="center"/>
    </xf>
    <xf numFmtId="1" fontId="68" fillId="0" borderId="149" xfId="0" quotePrefix="1" applyNumberFormat="1" applyFont="1" applyBorder="1" applyAlignment="1">
      <alignment horizontal="center" vertical="center"/>
    </xf>
    <xf numFmtId="1" fontId="25" fillId="0" borderId="158" xfId="0" applyNumberFormat="1" applyFont="1" applyBorder="1" applyAlignment="1">
      <alignment horizontal="center" vertical="center"/>
    </xf>
    <xf numFmtId="1" fontId="25" fillId="0" borderId="46" xfId="0" applyNumberFormat="1" applyFont="1" applyBorder="1" applyAlignment="1">
      <alignment horizontal="center" vertical="center"/>
    </xf>
    <xf numFmtId="1" fontId="25" fillId="0" borderId="149" xfId="0" applyNumberFormat="1" applyFont="1" applyBorder="1" applyAlignment="1">
      <alignment horizontal="center" vertical="center"/>
    </xf>
    <xf numFmtId="1" fontId="68" fillId="0" borderId="46" xfId="0" applyNumberFormat="1" applyFont="1" applyBorder="1" applyAlignment="1">
      <alignment horizontal="center" vertical="center"/>
    </xf>
    <xf numFmtId="1" fontId="68" fillId="0" borderId="149" xfId="0" applyNumberFormat="1" applyFont="1" applyBorder="1" applyAlignment="1">
      <alignment horizontal="center" vertical="center"/>
    </xf>
    <xf numFmtId="1" fontId="8" fillId="0" borderId="3" xfId="0" applyNumberFormat="1" applyFont="1" applyBorder="1" applyAlignment="1">
      <alignment horizontal="center" vertical="center"/>
    </xf>
    <xf numFmtId="1" fontId="8" fillId="0" borderId="34" xfId="0" applyNumberFormat="1" applyFont="1" applyBorder="1" applyAlignment="1">
      <alignment horizontal="center" vertical="center"/>
    </xf>
    <xf numFmtId="1" fontId="8" fillId="0" borderId="185" xfId="0" applyNumberFormat="1" applyFont="1" applyBorder="1" applyAlignment="1">
      <alignment horizontal="center" vertical="center"/>
    </xf>
    <xf numFmtId="0" fontId="66" fillId="0" borderId="0" xfId="0" applyFont="1" applyAlignment="1">
      <alignment horizontal="center"/>
    </xf>
    <xf numFmtId="1" fontId="66" fillId="0" borderId="0" xfId="0" applyNumberFormat="1" applyFont="1" applyAlignment="1">
      <alignment horizontal="center"/>
    </xf>
    <xf numFmtId="1" fontId="71" fillId="0" borderId="0" xfId="0" applyNumberFormat="1" applyFont="1" applyAlignment="1">
      <alignment horizontal="left"/>
    </xf>
    <xf numFmtId="0" fontId="8" fillId="0" borderId="0" xfId="26" applyAlignment="1">
      <alignment vertical="center" wrapText="1"/>
    </xf>
    <xf numFmtId="3" fontId="52" fillId="34" borderId="118" xfId="5" applyFont="1" applyFill="1" applyBorder="1" applyAlignment="1">
      <alignment horizontal="right" vertical="center" wrapText="1"/>
    </xf>
    <xf numFmtId="4" fontId="8" fillId="34" borderId="118" xfId="7" applyFont="1" applyFill="1" applyBorder="1" applyAlignment="1">
      <alignment horizontal="right" vertical="center" wrapText="1"/>
    </xf>
    <xf numFmtId="4" fontId="32" fillId="0" borderId="116" xfId="7" applyFont="1" applyFill="1" applyBorder="1" applyAlignment="1">
      <alignment horizontal="right" vertical="center" wrapText="1"/>
    </xf>
    <xf numFmtId="0" fontId="8" fillId="0" borderId="116" xfId="10" applyFont="1" applyFill="1" applyBorder="1" applyAlignment="1">
      <alignment horizontal="right" vertical="center" wrapText="1"/>
    </xf>
    <xf numFmtId="0" fontId="20" fillId="0" borderId="0" xfId="8" applyFill="1" applyBorder="1" applyAlignment="1">
      <alignment wrapText="1"/>
    </xf>
    <xf numFmtId="0" fontId="8" fillId="0" borderId="0" xfId="26" applyAlignment="1">
      <alignment wrapText="1"/>
    </xf>
    <xf numFmtId="0" fontId="0" fillId="0" borderId="0" xfId="0" applyAlignment="1">
      <alignment wrapText="1"/>
    </xf>
    <xf numFmtId="9" fontId="0" fillId="8" borderId="23" xfId="16" applyFont="1" applyFill="1" applyBorder="1" applyAlignment="1">
      <alignment horizontal="center"/>
    </xf>
    <xf numFmtId="0" fontId="0" fillId="0" borderId="0" xfId="26" applyFont="1"/>
    <xf numFmtId="2" fontId="8" fillId="0" borderId="0" xfId="26" applyNumberFormat="1"/>
    <xf numFmtId="2" fontId="0" fillId="0" borderId="0" xfId="26" applyNumberFormat="1" applyFont="1"/>
    <xf numFmtId="0" fontId="59" fillId="0" borderId="0" xfId="0" applyFont="1"/>
    <xf numFmtId="0" fontId="59" fillId="0" borderId="0" xfId="0" applyFont="1" applyAlignment="1">
      <alignment horizontal="center"/>
    </xf>
    <xf numFmtId="178" fontId="8" fillId="0" borderId="0" xfId="0" applyNumberFormat="1" applyFont="1"/>
    <xf numFmtId="177" fontId="8" fillId="0" borderId="0" xfId="0" applyNumberFormat="1" applyFont="1"/>
    <xf numFmtId="178" fontId="26" fillId="0" borderId="0" xfId="0" applyNumberFormat="1" applyFont="1"/>
    <xf numFmtId="179" fontId="8" fillId="24" borderId="19" xfId="16" applyNumberFormat="1" applyFont="1" applyFill="1" applyBorder="1" applyAlignment="1">
      <alignment horizontal="center"/>
    </xf>
    <xf numFmtId="184" fontId="34" fillId="24" borderId="103" xfId="0" applyNumberFormat="1" applyFont="1" applyFill="1" applyBorder="1" applyAlignment="1">
      <alignment horizontal="center"/>
    </xf>
    <xf numFmtId="0" fontId="47" fillId="9" borderId="73" xfId="0" applyFont="1" applyFill="1" applyBorder="1" applyAlignment="1">
      <alignment horizontal="center" vertical="center"/>
    </xf>
    <xf numFmtId="0" fontId="47" fillId="31" borderId="73" xfId="0" applyFont="1" applyFill="1" applyBorder="1" applyAlignment="1">
      <alignment horizontal="center" vertical="center"/>
    </xf>
    <xf numFmtId="4" fontId="25" fillId="9" borderId="116" xfId="7" applyFont="1" applyFill="1" applyBorder="1" applyAlignment="1">
      <alignment horizontal="right" vertical="center"/>
    </xf>
    <xf numFmtId="0" fontId="8" fillId="12" borderId="116" xfId="10" applyFont="1" applyFill="1" applyBorder="1" applyAlignment="1">
      <alignment horizontal="right" vertical="center"/>
    </xf>
    <xf numFmtId="0" fontId="47" fillId="5" borderId="143" xfId="0" applyFont="1" applyFill="1" applyBorder="1" applyAlignment="1">
      <alignment horizontal="center"/>
    </xf>
    <xf numFmtId="0" fontId="27" fillId="32" borderId="10" xfId="0" applyFont="1" applyFill="1" applyBorder="1" applyAlignment="1">
      <alignment horizontal="center"/>
    </xf>
    <xf numFmtId="0" fontId="0" fillId="8" borderId="190" xfId="0" applyFill="1" applyBorder="1" applyAlignment="1">
      <alignment vertical="center" wrapText="1"/>
    </xf>
    <xf numFmtId="0" fontId="47" fillId="5" borderId="128" xfId="0" applyFont="1" applyFill="1" applyBorder="1" applyAlignment="1">
      <alignment horizontal="center"/>
    </xf>
    <xf numFmtId="0" fontId="27" fillId="32" borderId="190" xfId="0" applyFont="1" applyFill="1" applyBorder="1" applyAlignment="1">
      <alignment horizontal="center"/>
    </xf>
    <xf numFmtId="0" fontId="0" fillId="8" borderId="190" xfId="0" applyFill="1" applyBorder="1" applyAlignment="1">
      <alignment horizontal="left"/>
    </xf>
    <xf numFmtId="0" fontId="0" fillId="8" borderId="187" xfId="0" applyFill="1" applyBorder="1" applyAlignment="1">
      <alignment horizontal="left"/>
    </xf>
    <xf numFmtId="0" fontId="13" fillId="17" borderId="106" xfId="0" applyFont="1" applyFill="1" applyBorder="1" applyAlignment="1">
      <alignment horizontal="left" vertical="center"/>
    </xf>
    <xf numFmtId="184" fontId="0" fillId="17" borderId="102" xfId="0" applyNumberFormat="1" applyFill="1" applyBorder="1" applyAlignment="1">
      <alignment horizontal="center"/>
    </xf>
    <xf numFmtId="0" fontId="13" fillId="17" borderId="107" xfId="0" applyFont="1" applyFill="1" applyBorder="1" applyAlignment="1">
      <alignment horizontal="left" vertical="center"/>
    </xf>
    <xf numFmtId="9" fontId="0" fillId="17" borderId="103" xfId="16" applyFont="1" applyFill="1" applyBorder="1" applyAlignment="1">
      <alignment horizontal="center"/>
    </xf>
    <xf numFmtId="9" fontId="8" fillId="17" borderId="102" xfId="16" applyFont="1" applyFill="1" applyBorder="1" applyAlignment="1">
      <alignment horizontal="center"/>
    </xf>
    <xf numFmtId="2" fontId="0" fillId="17" borderId="103" xfId="0" applyNumberFormat="1" applyFill="1" applyBorder="1" applyAlignment="1">
      <alignment horizontal="center"/>
    </xf>
    <xf numFmtId="0" fontId="13" fillId="17" borderId="105" xfId="0" applyFont="1" applyFill="1" applyBorder="1" applyAlignment="1">
      <alignment horizontal="left" vertical="center"/>
    </xf>
    <xf numFmtId="2" fontId="0" fillId="17" borderId="101" xfId="0" applyNumberFormat="1" applyFill="1" applyBorder="1" applyAlignment="1">
      <alignment horizontal="center"/>
    </xf>
    <xf numFmtId="2" fontId="8" fillId="17" borderId="103" xfId="0" applyNumberFormat="1" applyFont="1" applyFill="1" applyBorder="1" applyAlignment="1">
      <alignment horizontal="center"/>
    </xf>
    <xf numFmtId="180" fontId="0" fillId="17" borderId="103" xfId="0" applyNumberFormat="1" applyFill="1" applyBorder="1" applyAlignment="1">
      <alignment horizontal="center"/>
    </xf>
    <xf numFmtId="9" fontId="0" fillId="0" borderId="101" xfId="16" applyFont="1" applyFill="1" applyBorder="1" applyAlignment="1">
      <alignment horizontal="center"/>
    </xf>
    <xf numFmtId="0" fontId="13" fillId="0" borderId="107" xfId="0" applyFont="1" applyBorder="1" applyAlignment="1">
      <alignment horizontal="left" vertical="center"/>
    </xf>
    <xf numFmtId="9" fontId="0" fillId="0" borderId="103" xfId="16" applyFont="1" applyFill="1" applyBorder="1" applyAlignment="1">
      <alignment horizontal="center"/>
    </xf>
    <xf numFmtId="2" fontId="0" fillId="0" borderId="101" xfId="0" applyNumberFormat="1" applyBorder="1" applyAlignment="1">
      <alignment horizontal="center"/>
    </xf>
    <xf numFmtId="0" fontId="13" fillId="0" borderId="106" xfId="0" applyFont="1" applyBorder="1" applyAlignment="1">
      <alignment horizontal="left" vertical="center"/>
    </xf>
    <xf numFmtId="2" fontId="0" fillId="0" borderId="103" xfId="0" applyNumberFormat="1" applyBorder="1" applyAlignment="1">
      <alignment horizontal="center"/>
    </xf>
    <xf numFmtId="2" fontId="8" fillId="17" borderId="101" xfId="0" applyNumberFormat="1" applyFont="1" applyFill="1" applyBorder="1" applyAlignment="1">
      <alignment horizontal="center"/>
    </xf>
    <xf numFmtId="2" fontId="0" fillId="17" borderId="102" xfId="0" applyNumberFormat="1" applyFill="1" applyBorder="1" applyAlignment="1">
      <alignment horizontal="center"/>
    </xf>
    <xf numFmtId="0" fontId="14" fillId="17" borderId="107" xfId="0" applyFont="1" applyFill="1" applyBorder="1" applyAlignment="1">
      <alignment horizontal="left" vertical="center"/>
    </xf>
    <xf numFmtId="2" fontId="0" fillId="17" borderId="103" xfId="16" applyNumberFormat="1" applyFont="1" applyFill="1" applyBorder="1" applyAlignment="1">
      <alignment horizontal="center"/>
    </xf>
    <xf numFmtId="0" fontId="13" fillId="0" borderId="109" xfId="0" applyFont="1" applyBorder="1" applyAlignment="1">
      <alignment horizontal="left" vertical="center"/>
    </xf>
    <xf numFmtId="9" fontId="0" fillId="0" borderId="110" xfId="16" applyFont="1" applyFill="1" applyBorder="1" applyAlignment="1">
      <alignment horizontal="center"/>
    </xf>
    <xf numFmtId="10" fontId="8" fillId="0" borderId="102" xfId="16" applyNumberFormat="1" applyFont="1" applyFill="1" applyBorder="1" applyAlignment="1">
      <alignment horizontal="center"/>
    </xf>
    <xf numFmtId="10" fontId="0" fillId="0" borderId="102" xfId="16" applyNumberFormat="1" applyFont="1" applyFill="1" applyBorder="1" applyAlignment="1">
      <alignment horizontal="center"/>
    </xf>
    <xf numFmtId="180" fontId="0" fillId="0" borderId="102" xfId="0" applyNumberFormat="1" applyBorder="1" applyAlignment="1">
      <alignment horizontal="center"/>
    </xf>
    <xf numFmtId="180" fontId="0" fillId="0" borderId="101" xfId="0" applyNumberFormat="1" applyBorder="1" applyAlignment="1">
      <alignment horizontal="center"/>
    </xf>
    <xf numFmtId="2" fontId="0" fillId="0" borderId="102" xfId="0" applyNumberFormat="1" applyBorder="1" applyAlignment="1">
      <alignment horizontal="center"/>
    </xf>
    <xf numFmtId="180" fontId="0" fillId="0" borderId="103" xfId="0" applyNumberFormat="1" applyBorder="1" applyAlignment="1">
      <alignment horizontal="center"/>
    </xf>
    <xf numFmtId="179" fontId="0" fillId="0" borderId="101" xfId="16" applyNumberFormat="1" applyFont="1" applyFill="1" applyBorder="1" applyAlignment="1">
      <alignment horizontal="center"/>
    </xf>
    <xf numFmtId="184" fontId="26" fillId="18" borderId="207" xfId="0" applyNumberFormat="1" applyFont="1" applyFill="1" applyBorder="1" applyAlignment="1">
      <alignment horizontal="center"/>
    </xf>
    <xf numFmtId="184" fontId="26" fillId="18" borderId="208" xfId="0" applyNumberFormat="1" applyFont="1" applyFill="1" applyBorder="1" applyAlignment="1">
      <alignment horizontal="center"/>
    </xf>
    <xf numFmtId="9" fontId="26" fillId="31" borderId="75" xfId="16" applyFont="1" applyFill="1" applyBorder="1" applyAlignment="1">
      <alignment horizontal="center" vertical="center"/>
    </xf>
    <xf numFmtId="9" fontId="26" fillId="18" borderId="207" xfId="16" applyFont="1" applyFill="1" applyBorder="1" applyAlignment="1">
      <alignment horizontal="center"/>
    </xf>
    <xf numFmtId="9" fontId="26" fillId="18" borderId="108" xfId="16" applyFont="1" applyFill="1" applyBorder="1" applyAlignment="1">
      <alignment horizontal="center"/>
    </xf>
    <xf numFmtId="9" fontId="26" fillId="18" borderId="208" xfId="16" applyFont="1" applyFill="1" applyBorder="1" applyAlignment="1">
      <alignment horizontal="center"/>
    </xf>
    <xf numFmtId="0" fontId="26" fillId="31" borderId="75" xfId="0" applyFont="1" applyFill="1" applyBorder="1" applyAlignment="1">
      <alignment horizontal="center" vertical="center"/>
    </xf>
    <xf numFmtId="2" fontId="26" fillId="18" borderId="108" xfId="0" applyNumberFormat="1" applyFont="1" applyFill="1" applyBorder="1" applyAlignment="1">
      <alignment horizontal="center"/>
    </xf>
    <xf numFmtId="2" fontId="26" fillId="18" borderId="208" xfId="0" applyNumberFormat="1" applyFont="1" applyFill="1" applyBorder="1" applyAlignment="1">
      <alignment horizontal="center"/>
    </xf>
    <xf numFmtId="2" fontId="26" fillId="31" borderId="75" xfId="16" applyNumberFormat="1" applyFont="1" applyFill="1" applyBorder="1" applyAlignment="1">
      <alignment horizontal="center" vertical="center"/>
    </xf>
    <xf numFmtId="2" fontId="26" fillId="18" borderId="207" xfId="0" applyNumberFormat="1" applyFont="1" applyFill="1" applyBorder="1" applyAlignment="1">
      <alignment horizontal="center"/>
    </xf>
    <xf numFmtId="10" fontId="26" fillId="31" borderId="75" xfId="0" applyNumberFormat="1" applyFont="1" applyFill="1" applyBorder="1" applyAlignment="1">
      <alignment horizontal="center" vertical="center"/>
    </xf>
    <xf numFmtId="182" fontId="26" fillId="31" borderId="75" xfId="19" applyNumberFormat="1" applyFont="1" applyFill="1" applyBorder="1" applyAlignment="1">
      <alignment horizontal="center" vertical="center"/>
    </xf>
    <xf numFmtId="2" fontId="26" fillId="18" borderId="108" xfId="16" applyNumberFormat="1" applyFont="1" applyFill="1" applyBorder="1" applyAlignment="1">
      <alignment horizontal="center"/>
    </xf>
    <xf numFmtId="0" fontId="26" fillId="31" borderId="75" xfId="0" applyFont="1" applyFill="1" applyBorder="1" applyAlignment="1">
      <alignment horizontal="center"/>
    </xf>
    <xf numFmtId="9" fontId="26" fillId="18" borderId="77" xfId="16" applyFont="1" applyFill="1" applyBorder="1" applyAlignment="1">
      <alignment horizontal="center"/>
    </xf>
    <xf numFmtId="0" fontId="13" fillId="0" borderId="95" xfId="0" applyFont="1" applyBorder="1" applyAlignment="1">
      <alignment horizontal="left"/>
    </xf>
    <xf numFmtId="9" fontId="8" fillId="0" borderId="209" xfId="0" applyNumberFormat="1" applyFont="1" applyBorder="1" applyAlignment="1">
      <alignment horizontal="center"/>
    </xf>
    <xf numFmtId="3" fontId="54" fillId="0" borderId="147" xfId="0" applyNumberFormat="1" applyFont="1" applyBorder="1" applyAlignment="1">
      <alignment horizontal="center" vertical="center"/>
    </xf>
    <xf numFmtId="0" fontId="54" fillId="0" borderId="210" xfId="0" applyFont="1" applyBorder="1"/>
    <xf numFmtId="0" fontId="54" fillId="0" borderId="43" xfId="0" applyFont="1" applyBorder="1"/>
    <xf numFmtId="10" fontId="5" fillId="0" borderId="0" xfId="29" quotePrefix="1" applyNumberFormat="1" applyAlignment="1">
      <alignment horizontal="right"/>
    </xf>
    <xf numFmtId="0" fontId="59" fillId="0" borderId="149" xfId="0" applyFont="1" applyBorder="1" applyAlignment="1">
      <alignment horizontal="center" vertical="center"/>
    </xf>
    <xf numFmtId="3" fontId="59" fillId="40" borderId="149" xfId="0" applyNumberFormat="1" applyFont="1" applyFill="1" applyBorder="1" applyAlignment="1">
      <alignment horizontal="center" vertical="center"/>
    </xf>
    <xf numFmtId="0" fontId="59" fillId="41" borderId="149" xfId="0" applyFont="1" applyFill="1" applyBorder="1" applyAlignment="1">
      <alignment horizontal="center" vertical="center"/>
    </xf>
    <xf numFmtId="3" fontId="59" fillId="40" borderId="149" xfId="0" quotePrefix="1" applyNumberFormat="1" applyFont="1" applyFill="1" applyBorder="1" applyAlignment="1">
      <alignment horizontal="center" vertical="center"/>
    </xf>
    <xf numFmtId="3" fontId="59" fillId="0" borderId="149" xfId="0" applyNumberFormat="1" applyFont="1" applyBorder="1" applyAlignment="1">
      <alignment horizontal="center" vertical="center"/>
    </xf>
    <xf numFmtId="3" fontId="59" fillId="41" borderId="185" xfId="0" applyNumberFormat="1" applyFont="1" applyFill="1" applyBorder="1" applyAlignment="1">
      <alignment horizontal="center" vertical="center"/>
    </xf>
    <xf numFmtId="1" fontId="54" fillId="40" borderId="211" xfId="0" applyNumberFormat="1" applyFont="1" applyFill="1" applyBorder="1" applyAlignment="1">
      <alignment horizontal="center" vertical="center"/>
    </xf>
    <xf numFmtId="1" fontId="54" fillId="40" borderId="180" xfId="0" applyNumberFormat="1" applyFont="1" applyFill="1" applyBorder="1" applyAlignment="1">
      <alignment horizontal="center" vertical="center"/>
    </xf>
    <xf numFmtId="1" fontId="54" fillId="40" borderId="3" xfId="0" applyNumberFormat="1" applyFont="1" applyFill="1" applyBorder="1" applyAlignment="1">
      <alignment horizontal="center" vertical="center"/>
    </xf>
    <xf numFmtId="1" fontId="54" fillId="40" borderId="34" xfId="0" applyNumberFormat="1" applyFont="1" applyFill="1" applyBorder="1" applyAlignment="1">
      <alignment horizontal="center" vertical="center"/>
    </xf>
    <xf numFmtId="1" fontId="0" fillId="0" borderId="180" xfId="0" applyNumberFormat="1" applyBorder="1" applyAlignment="1">
      <alignment horizontal="center" vertical="center"/>
    </xf>
    <xf numFmtId="1" fontId="0" fillId="0" borderId="3" xfId="0" applyNumberFormat="1" applyBorder="1" applyAlignment="1">
      <alignment horizontal="center" vertical="center"/>
    </xf>
    <xf numFmtId="1" fontId="0" fillId="0" borderId="185" xfId="0" applyNumberFormat="1" applyBorder="1" applyAlignment="1">
      <alignment horizontal="center" vertical="center"/>
    </xf>
    <xf numFmtId="1" fontId="0" fillId="0" borderId="35" xfId="0" applyNumberFormat="1" applyBorder="1" applyAlignment="1">
      <alignment horizontal="center" vertical="center"/>
    </xf>
    <xf numFmtId="0" fontId="27" fillId="0" borderId="0" xfId="26" applyFont="1" applyAlignment="1">
      <alignment horizontal="center" vertical="center"/>
    </xf>
    <xf numFmtId="4" fontId="25" fillId="0" borderId="0" xfId="7" applyFont="1" applyFill="1" applyBorder="1">
      <alignment horizontal="right"/>
    </xf>
    <xf numFmtId="0" fontId="47" fillId="31" borderId="66" xfId="0" applyFont="1" applyFill="1" applyBorder="1" applyAlignment="1">
      <alignment horizontal="left" vertical="center"/>
    </xf>
    <xf numFmtId="10" fontId="0" fillId="0" borderId="51" xfId="0" applyNumberFormat="1" applyBorder="1" applyAlignment="1">
      <alignment horizontal="center" vertical="center"/>
    </xf>
    <xf numFmtId="0" fontId="13" fillId="8" borderId="109" xfId="0" applyFont="1" applyFill="1" applyBorder="1" applyAlignment="1">
      <alignment horizontal="left" vertical="center"/>
    </xf>
    <xf numFmtId="10" fontId="0" fillId="8" borderId="110" xfId="16" applyNumberFormat="1" applyFont="1" applyFill="1" applyBorder="1" applyAlignment="1">
      <alignment horizontal="center" vertical="center"/>
    </xf>
    <xf numFmtId="10" fontId="0" fillId="8" borderId="111" xfId="16" applyNumberFormat="1" applyFont="1" applyFill="1" applyBorder="1" applyAlignment="1">
      <alignment horizontal="center" vertical="center"/>
    </xf>
    <xf numFmtId="0" fontId="47" fillId="0" borderId="0" xfId="0" applyFont="1" applyAlignment="1">
      <alignment horizontal="left" vertical="center"/>
    </xf>
    <xf numFmtId="10" fontId="0" fillId="0" borderId="0" xfId="16" applyNumberFormat="1" applyFont="1" applyFill="1" applyBorder="1" applyAlignment="1">
      <alignment horizontal="center" vertical="center"/>
    </xf>
    <xf numFmtId="0" fontId="58" fillId="36" borderId="77" xfId="0" applyFont="1" applyFill="1" applyBorder="1" applyAlignment="1">
      <alignment horizontal="center" vertical="center"/>
    </xf>
    <xf numFmtId="184" fontId="0" fillId="0" borderId="207" xfId="0" applyNumberFormat="1" applyBorder="1" applyAlignment="1">
      <alignment horizontal="center"/>
    </xf>
    <xf numFmtId="184" fontId="0" fillId="17" borderId="208" xfId="0" applyNumberFormat="1" applyFill="1" applyBorder="1" applyAlignment="1">
      <alignment horizontal="center"/>
    </xf>
    <xf numFmtId="0" fontId="0" fillId="31" borderId="75" xfId="0" applyFill="1" applyBorder="1" applyAlignment="1">
      <alignment horizontal="center"/>
    </xf>
    <xf numFmtId="9" fontId="0" fillId="0" borderId="207" xfId="16" applyFont="1" applyFill="1" applyBorder="1" applyAlignment="1">
      <alignment horizontal="center"/>
    </xf>
    <xf numFmtId="9" fontId="0" fillId="17" borderId="108" xfId="16" applyFont="1" applyFill="1" applyBorder="1" applyAlignment="1">
      <alignment horizontal="center"/>
    </xf>
    <xf numFmtId="9" fontId="0" fillId="0" borderId="108" xfId="16" applyFont="1" applyFill="1" applyBorder="1" applyAlignment="1">
      <alignment horizontal="center"/>
    </xf>
    <xf numFmtId="9" fontId="0" fillId="17" borderId="208" xfId="16" applyFont="1" applyFill="1" applyBorder="1" applyAlignment="1">
      <alignment horizontal="center"/>
    </xf>
    <xf numFmtId="2" fontId="0" fillId="0" borderId="207" xfId="0" applyNumberFormat="1" applyBorder="1" applyAlignment="1">
      <alignment horizontal="center"/>
    </xf>
    <xf numFmtId="2" fontId="0" fillId="17" borderId="108" xfId="0" applyNumberFormat="1" applyFill="1" applyBorder="1" applyAlignment="1">
      <alignment horizontal="center"/>
    </xf>
    <xf numFmtId="2" fontId="0" fillId="0" borderId="208" xfId="0" applyNumberFormat="1" applyBorder="1" applyAlignment="1">
      <alignment horizontal="center"/>
    </xf>
    <xf numFmtId="2" fontId="0" fillId="17" borderId="207" xfId="0" applyNumberFormat="1" applyFill="1" applyBorder="1" applyAlignment="1">
      <alignment horizontal="center"/>
    </xf>
    <xf numFmtId="2" fontId="0" fillId="0" borderId="108" xfId="0" applyNumberFormat="1" applyBorder="1" applyAlignment="1">
      <alignment horizontal="center"/>
    </xf>
    <xf numFmtId="2" fontId="0" fillId="17" borderId="208" xfId="0" applyNumberFormat="1" applyFill="1" applyBorder="1" applyAlignment="1">
      <alignment horizontal="center"/>
    </xf>
    <xf numFmtId="180" fontId="0" fillId="0" borderId="207" xfId="0" applyNumberFormat="1" applyBorder="1" applyAlignment="1">
      <alignment horizontal="center"/>
    </xf>
    <xf numFmtId="180" fontId="0" fillId="17" borderId="108" xfId="0" applyNumberFormat="1" applyFill="1" applyBorder="1" applyAlignment="1">
      <alignment horizontal="center"/>
    </xf>
    <xf numFmtId="180" fontId="0" fillId="0" borderId="108" xfId="0" applyNumberFormat="1" applyBorder="1" applyAlignment="1">
      <alignment horizontal="center"/>
    </xf>
    <xf numFmtId="180" fontId="0" fillId="0" borderId="208" xfId="0" applyNumberFormat="1" applyBorder="1" applyAlignment="1">
      <alignment horizontal="center"/>
    </xf>
    <xf numFmtId="179" fontId="0" fillId="0" borderId="207" xfId="16" applyNumberFormat="1" applyFont="1" applyFill="1" applyBorder="1" applyAlignment="1">
      <alignment horizontal="center"/>
    </xf>
    <xf numFmtId="2" fontId="0" fillId="17" borderId="108" xfId="16" applyNumberFormat="1" applyFont="1" applyFill="1" applyBorder="1" applyAlignment="1">
      <alignment horizontal="center"/>
    </xf>
    <xf numFmtId="10" fontId="0" fillId="0" borderId="208" xfId="16" applyNumberFormat="1" applyFont="1" applyFill="1" applyBorder="1" applyAlignment="1">
      <alignment horizontal="center"/>
    </xf>
    <xf numFmtId="10" fontId="0" fillId="17" borderId="108" xfId="16" applyNumberFormat="1" applyFont="1" applyFill="1" applyBorder="1" applyAlignment="1">
      <alignment horizontal="center" vertical="center"/>
    </xf>
    <xf numFmtId="187" fontId="0" fillId="8" borderId="108" xfId="0" applyNumberFormat="1" applyFill="1" applyBorder="1" applyAlignment="1">
      <alignment horizontal="right" vertical="center"/>
    </xf>
    <xf numFmtId="187" fontId="0" fillId="17" borderId="108" xfId="0" applyNumberFormat="1" applyFill="1" applyBorder="1" applyAlignment="1">
      <alignment horizontal="center"/>
    </xf>
    <xf numFmtId="9" fontId="0" fillId="0" borderId="111" xfId="16" applyFont="1" applyFill="1" applyBorder="1" applyAlignment="1">
      <alignment horizontal="center"/>
    </xf>
    <xf numFmtId="0" fontId="73" fillId="36" borderId="75" xfId="0" applyFont="1" applyFill="1" applyBorder="1" applyAlignment="1">
      <alignment horizontal="center" vertical="center" wrapText="1"/>
    </xf>
    <xf numFmtId="0" fontId="27" fillId="5" borderId="215" xfId="26" applyFont="1" applyFill="1" applyBorder="1" applyAlignment="1">
      <alignment horizontal="center" vertical="center"/>
    </xf>
    <xf numFmtId="4" fontId="25" fillId="28" borderId="216" xfId="7" applyFont="1" applyFill="1" applyBorder="1">
      <alignment horizontal="right"/>
    </xf>
    <xf numFmtId="4" fontId="8" fillId="12" borderId="216" xfId="7" applyFont="1" applyFill="1" applyBorder="1">
      <alignment horizontal="right"/>
    </xf>
    <xf numFmtId="4" fontId="32" fillId="9" borderId="217" xfId="7" applyFont="1" applyFill="1" applyBorder="1">
      <alignment horizontal="right"/>
    </xf>
    <xf numFmtId="0" fontId="58" fillId="36" borderId="0" xfId="24" applyFont="1" applyFill="1"/>
    <xf numFmtId="0" fontId="74" fillId="36" borderId="0" xfId="24" applyFont="1" applyFill="1" applyAlignment="1">
      <alignment horizontal="left" vertical="center"/>
    </xf>
    <xf numFmtId="0" fontId="74" fillId="36" borderId="0" xfId="24" applyFont="1" applyFill="1" applyAlignment="1">
      <alignment horizontal="center" vertical="center"/>
    </xf>
    <xf numFmtId="0" fontId="8" fillId="31" borderId="0" xfId="24" applyFill="1"/>
    <xf numFmtId="0" fontId="8" fillId="0" borderId="0" xfId="24"/>
    <xf numFmtId="10" fontId="0" fillId="0" borderId="0" xfId="16" applyNumberFormat="1" applyFont="1" applyAlignment="1">
      <alignment horizontal="left"/>
    </xf>
    <xf numFmtId="0" fontId="13" fillId="0" borderId="0" xfId="24" applyFont="1"/>
    <xf numFmtId="0" fontId="8" fillId="8" borderId="0" xfId="24" applyFill="1"/>
    <xf numFmtId="0" fontId="38" fillId="0" borderId="0" xfId="24" applyFont="1"/>
    <xf numFmtId="10" fontId="8" fillId="8" borderId="0" xfId="24" applyNumberFormat="1" applyFill="1"/>
    <xf numFmtId="0" fontId="8" fillId="0" borderId="0" xfId="24" applyAlignment="1">
      <alignment horizontal="left"/>
    </xf>
    <xf numFmtId="0" fontId="13" fillId="0" borderId="0" xfId="24" applyFont="1" applyAlignment="1">
      <alignment horizontal="center"/>
    </xf>
    <xf numFmtId="10" fontId="75" fillId="0" borderId="0" xfId="24" applyNumberFormat="1" applyFont="1" applyAlignment="1">
      <alignment horizontal="center"/>
    </xf>
    <xf numFmtId="10" fontId="8" fillId="0" borderId="0" xfId="24" applyNumberFormat="1"/>
    <xf numFmtId="179" fontId="0" fillId="0" borderId="0" xfId="16" applyNumberFormat="1" applyFont="1"/>
    <xf numFmtId="0" fontId="75" fillId="0" borderId="0" xfId="24" applyFont="1"/>
    <xf numFmtId="0" fontId="50" fillId="31" borderId="0" xfId="24" applyFont="1" applyFill="1"/>
    <xf numFmtId="179" fontId="38" fillId="0" borderId="0" xfId="24" applyNumberFormat="1" applyFont="1"/>
    <xf numFmtId="0" fontId="0" fillId="7" borderId="0" xfId="0" applyFill="1"/>
    <xf numFmtId="0" fontId="27" fillId="32" borderId="226" xfId="0" applyFont="1" applyFill="1" applyBorder="1" applyAlignment="1">
      <alignment horizontal="center"/>
    </xf>
    <xf numFmtId="0" fontId="13" fillId="0" borderId="226" xfId="0" applyFont="1" applyBorder="1" applyAlignment="1">
      <alignment horizontal="center"/>
    </xf>
    <xf numFmtId="0" fontId="0" fillId="0" borderId="226" xfId="0" applyBorder="1" applyAlignment="1">
      <alignment horizontal="center"/>
    </xf>
    <xf numFmtId="0" fontId="57" fillId="0" borderId="0" xfId="24" applyFont="1" applyAlignment="1">
      <alignment horizontal="center"/>
    </xf>
    <xf numFmtId="0" fontId="8" fillId="24" borderId="0" xfId="0" applyFont="1" applyFill="1" applyAlignment="1">
      <alignment horizontal="center" vertical="center"/>
    </xf>
    <xf numFmtId="188" fontId="76" fillId="46" borderId="0" xfId="16" applyNumberFormat="1" applyFont="1" applyFill="1" applyBorder="1" applyAlignment="1">
      <alignment horizontal="center"/>
    </xf>
    <xf numFmtId="0" fontId="58" fillId="0" borderId="0" xfId="24" applyFont="1"/>
    <xf numFmtId="0" fontId="74" fillId="0" borderId="0" xfId="24" applyFont="1" applyAlignment="1">
      <alignment horizontal="center" vertical="center"/>
    </xf>
    <xf numFmtId="0" fontId="75" fillId="0" borderId="0" xfId="0" applyFont="1" applyAlignment="1">
      <alignment horizontal="center"/>
    </xf>
    <xf numFmtId="0" fontId="8" fillId="8" borderId="0" xfId="24" applyFill="1" applyAlignment="1">
      <alignment horizontal="center" vertical="center"/>
    </xf>
    <xf numFmtId="0" fontId="13" fillId="8" borderId="0" xfId="24" applyFont="1" applyFill="1" applyAlignment="1">
      <alignment horizontal="center" vertical="center"/>
    </xf>
    <xf numFmtId="0" fontId="8" fillId="0" borderId="0" xfId="24" applyAlignment="1">
      <alignment horizontal="center" vertical="center"/>
    </xf>
    <xf numFmtId="0" fontId="78" fillId="5" borderId="116" xfId="4" applyFont="1" applyFill="1" applyBorder="1" applyAlignment="1">
      <alignment horizontal="center" vertical="center"/>
    </xf>
    <xf numFmtId="0" fontId="47" fillId="23" borderId="74" xfId="0" applyFont="1" applyFill="1" applyBorder="1" applyAlignment="1">
      <alignment horizontal="center" vertical="center" wrapText="1"/>
    </xf>
    <xf numFmtId="3" fontId="62" fillId="38" borderId="175" xfId="0" applyNumberFormat="1" applyFont="1" applyFill="1" applyBorder="1" applyAlignment="1">
      <alignment horizontal="center" vertical="center"/>
    </xf>
    <xf numFmtId="3" fontId="1" fillId="43" borderId="44" xfId="30" applyNumberFormat="1" applyFont="1" applyFill="1" applyBorder="1" applyAlignment="1">
      <alignment horizontal="center" vertical="center"/>
    </xf>
    <xf numFmtId="189" fontId="8" fillId="0" borderId="103" xfId="0" applyNumberFormat="1" applyFont="1" applyBorder="1" applyAlignment="1">
      <alignment horizontal="center"/>
    </xf>
    <xf numFmtId="9" fontId="8" fillId="0" borderId="113" xfId="16" applyFont="1" applyBorder="1" applyAlignment="1">
      <alignment horizontal="center" vertical="center"/>
    </xf>
    <xf numFmtId="10" fontId="35" fillId="19" borderId="0" xfId="16" applyNumberFormat="1" applyFont="1" applyFill="1" applyAlignment="1">
      <alignment horizontal="center"/>
    </xf>
    <xf numFmtId="179" fontId="35" fillId="19" borderId="0" xfId="16" applyNumberFormat="1" applyFont="1" applyFill="1" applyAlignment="1">
      <alignment horizontal="center"/>
    </xf>
    <xf numFmtId="10" fontId="35" fillId="19" borderId="0" xfId="0" applyNumberFormat="1" applyFont="1" applyFill="1" applyAlignment="1">
      <alignment horizontal="center"/>
    </xf>
    <xf numFmtId="0" fontId="1" fillId="0" borderId="46" xfId="0" applyFont="1" applyBorder="1"/>
    <xf numFmtId="177" fontId="1" fillId="0" borderId="46" xfId="0" applyNumberFormat="1" applyFont="1" applyBorder="1" applyAlignment="1">
      <alignment horizontal="center"/>
    </xf>
    <xf numFmtId="177" fontId="1" fillId="0" borderId="0" xfId="0" applyNumberFormat="1" applyFont="1" applyAlignment="1">
      <alignment horizontal="center"/>
    </xf>
    <xf numFmtId="3" fontId="4" fillId="43" borderId="158" xfId="30" applyNumberFormat="1" applyFill="1" applyBorder="1" applyAlignment="1">
      <alignment horizontal="center" vertical="center"/>
    </xf>
    <xf numFmtId="184" fontId="8" fillId="24" borderId="19" xfId="0" applyNumberFormat="1" applyFont="1" applyFill="1" applyBorder="1" applyAlignment="1">
      <alignment horizontal="center" vertical="center"/>
    </xf>
    <xf numFmtId="1" fontId="54" fillId="0" borderId="237" xfId="0" applyNumberFormat="1" applyFont="1" applyBorder="1" applyAlignment="1">
      <alignment horizontal="center" vertical="center"/>
    </xf>
    <xf numFmtId="1" fontId="54" fillId="0" borderId="238" xfId="0" applyNumberFormat="1" applyFont="1" applyBorder="1" applyAlignment="1">
      <alignment horizontal="center" vertical="center"/>
    </xf>
    <xf numFmtId="1" fontId="54" fillId="0" borderId="239" xfId="0" applyNumberFormat="1" applyFont="1" applyBorder="1" applyAlignment="1">
      <alignment horizontal="center" vertical="center"/>
    </xf>
    <xf numFmtId="1" fontId="54" fillId="0" borderId="240" xfId="0" applyNumberFormat="1" applyFont="1" applyBorder="1" applyAlignment="1">
      <alignment horizontal="center" vertical="center"/>
    </xf>
    <xf numFmtId="1" fontId="54" fillId="0" borderId="241" xfId="0" applyNumberFormat="1" applyFont="1" applyBorder="1" applyAlignment="1">
      <alignment horizontal="center" vertical="center"/>
    </xf>
    <xf numFmtId="4" fontId="5" fillId="0" borderId="242" xfId="29" applyNumberFormat="1" applyBorder="1" applyAlignment="1">
      <alignment horizontal="center"/>
    </xf>
    <xf numFmtId="4" fontId="5" fillId="0" borderId="243" xfId="29" applyNumberFormat="1" applyBorder="1" applyAlignment="1">
      <alignment horizontal="center"/>
    </xf>
    <xf numFmtId="4" fontId="5" fillId="0" borderId="244" xfId="29" applyNumberFormat="1" applyBorder="1" applyAlignment="1">
      <alignment horizontal="center"/>
    </xf>
    <xf numFmtId="4" fontId="5" fillId="0" borderId="245" xfId="29" applyNumberFormat="1" applyBorder="1" applyAlignment="1">
      <alignment horizontal="center"/>
    </xf>
    <xf numFmtId="4" fontId="5" fillId="0" borderId="246" xfId="29" applyNumberFormat="1" applyBorder="1" applyAlignment="1">
      <alignment horizontal="center"/>
    </xf>
    <xf numFmtId="4" fontId="5" fillId="0" borderId="247" xfId="29" applyNumberFormat="1" applyBorder="1" applyAlignment="1">
      <alignment horizontal="center"/>
    </xf>
    <xf numFmtId="4" fontId="5" fillId="0" borderId="248" xfId="29" applyNumberFormat="1" applyBorder="1" applyAlignment="1">
      <alignment horizontal="center"/>
    </xf>
    <xf numFmtId="4" fontId="5" fillId="0" borderId="249" xfId="29" applyNumberFormat="1" applyBorder="1" applyAlignment="1">
      <alignment horizontal="center"/>
    </xf>
    <xf numFmtId="3" fontId="54" fillId="8" borderId="32" xfId="0" applyNumberFormat="1" applyFont="1" applyFill="1" applyBorder="1" applyAlignment="1">
      <alignment horizontal="center" vertical="center"/>
    </xf>
    <xf numFmtId="4" fontId="5" fillId="0" borderId="1" xfId="29" applyNumberFormat="1" applyBorder="1" applyAlignment="1">
      <alignment horizontal="center"/>
    </xf>
    <xf numFmtId="4" fontId="5" fillId="0" borderId="44" xfId="29" applyNumberFormat="1" applyBorder="1" applyAlignment="1">
      <alignment horizontal="center"/>
    </xf>
    <xf numFmtId="4" fontId="5" fillId="0" borderId="34" xfId="29" applyNumberFormat="1" applyBorder="1" applyAlignment="1">
      <alignment horizontal="center"/>
    </xf>
    <xf numFmtId="3" fontId="5" fillId="0" borderId="242" xfId="29" applyNumberFormat="1" applyBorder="1" applyAlignment="1">
      <alignment horizontal="center"/>
    </xf>
    <xf numFmtId="3" fontId="5" fillId="0" borderId="46" xfId="29" applyNumberFormat="1" applyBorder="1" applyAlignment="1">
      <alignment horizontal="center"/>
    </xf>
    <xf numFmtId="3" fontId="5" fillId="0" borderId="149" xfId="29" applyNumberFormat="1" applyBorder="1" applyAlignment="1">
      <alignment horizontal="center"/>
    </xf>
    <xf numFmtId="3" fontId="5" fillId="0" borderId="45" xfId="29" applyNumberFormat="1" applyBorder="1" applyAlignment="1">
      <alignment horizontal="center"/>
    </xf>
    <xf numFmtId="3" fontId="5" fillId="0" borderId="243" xfId="29" applyNumberFormat="1" applyBorder="1" applyAlignment="1">
      <alignment horizontal="center"/>
    </xf>
    <xf numFmtId="0" fontId="8" fillId="0" borderId="252" xfId="0" quotePrefix="1" applyFont="1" applyBorder="1" applyAlignment="1">
      <alignment horizontal="center" vertical="center"/>
    </xf>
    <xf numFmtId="0" fontId="8" fillId="0" borderId="45" xfId="0" quotePrefix="1" applyFont="1" applyBorder="1" applyAlignment="1">
      <alignment horizontal="center" vertical="center"/>
    </xf>
    <xf numFmtId="1" fontId="59" fillId="41" borderId="3" xfId="0" applyNumberFormat="1" applyFont="1" applyFill="1" applyBorder="1" applyAlignment="1">
      <alignment horizontal="center" vertical="center"/>
    </xf>
    <xf numFmtId="0" fontId="8" fillId="0" borderId="121" xfId="0" quotePrefix="1" applyFont="1" applyBorder="1" applyAlignment="1">
      <alignment horizontal="center" vertical="center"/>
    </xf>
    <xf numFmtId="9" fontId="8" fillId="0" borderId="0" xfId="16"/>
    <xf numFmtId="0" fontId="8" fillId="0" borderId="36" xfId="24" applyBorder="1"/>
    <xf numFmtId="0" fontId="8" fillId="47" borderId="0" xfId="24" applyFill="1"/>
    <xf numFmtId="0" fontId="8" fillId="8" borderId="190" xfId="0" applyFont="1" applyFill="1" applyBorder="1" applyAlignment="1">
      <alignment vertical="center" wrapText="1"/>
    </xf>
    <xf numFmtId="0" fontId="8" fillId="8" borderId="187" xfId="0" applyFont="1" applyFill="1" applyBorder="1" applyAlignment="1">
      <alignment vertical="center" wrapText="1"/>
    </xf>
    <xf numFmtId="3" fontId="8" fillId="0" borderId="0" xfId="24" applyNumberFormat="1"/>
    <xf numFmtId="0" fontId="0" fillId="0" borderId="5" xfId="0" applyBorder="1"/>
    <xf numFmtId="10" fontId="0" fillId="0" borderId="3" xfId="0" applyNumberFormat="1" applyBorder="1"/>
    <xf numFmtId="0" fontId="0" fillId="0" borderId="1" xfId="0" applyBorder="1"/>
    <xf numFmtId="10" fontId="0" fillId="0" borderId="46" xfId="16" applyNumberFormat="1" applyFont="1" applyBorder="1"/>
    <xf numFmtId="0" fontId="13" fillId="17" borderId="1" xfId="0" applyFont="1" applyFill="1" applyBorder="1"/>
    <xf numFmtId="10" fontId="13" fillId="17" borderId="46" xfId="16" applyNumberFormat="1" applyFont="1" applyFill="1" applyBorder="1"/>
    <xf numFmtId="0" fontId="13" fillId="0" borderId="0" xfId="0" applyFont="1" applyAlignment="1">
      <alignment horizontal="left"/>
    </xf>
    <xf numFmtId="10" fontId="13" fillId="0" borderId="0" xfId="16" applyNumberFormat="1" applyFont="1" applyFill="1" applyBorder="1"/>
    <xf numFmtId="0" fontId="0" fillId="17" borderId="46" xfId="0" applyFill="1" applyBorder="1"/>
    <xf numFmtId="0" fontId="0" fillId="17" borderId="46" xfId="0" applyFill="1" applyBorder="1" applyAlignment="1">
      <alignment horizontal="center" vertical="center"/>
    </xf>
    <xf numFmtId="9" fontId="0" fillId="0" borderId="46" xfId="0" applyNumberFormat="1" applyBorder="1"/>
    <xf numFmtId="0" fontId="13" fillId="17" borderId="46" xfId="0" applyFont="1" applyFill="1" applyBorder="1"/>
    <xf numFmtId="9" fontId="13" fillId="0" borderId="46" xfId="0" applyNumberFormat="1" applyFont="1" applyBorder="1"/>
    <xf numFmtId="0" fontId="8" fillId="8" borderId="29" xfId="0" applyFont="1" applyFill="1" applyBorder="1" applyAlignment="1">
      <alignment vertical="center" wrapText="1"/>
    </xf>
    <xf numFmtId="0" fontId="34" fillId="0" borderId="170" xfId="0" applyFont="1" applyBorder="1" applyAlignment="1">
      <alignment horizontal="left" vertical="center" wrapText="1"/>
    </xf>
    <xf numFmtId="9" fontId="13" fillId="12" borderId="74" xfId="0" applyNumberFormat="1" applyFont="1" applyFill="1" applyBorder="1" applyAlignment="1">
      <alignment horizontal="center"/>
    </xf>
    <xf numFmtId="9" fontId="84" fillId="12" borderId="73" xfId="0" applyNumberFormat="1" applyFont="1" applyFill="1" applyBorder="1" applyAlignment="1">
      <alignment horizontal="center"/>
    </xf>
    <xf numFmtId="0" fontId="79" fillId="0" borderId="254" xfId="0" applyFont="1" applyBorder="1" applyAlignment="1">
      <alignment wrapText="1"/>
    </xf>
    <xf numFmtId="0" fontId="79" fillId="0" borderId="255" xfId="0" applyFont="1" applyBorder="1" applyAlignment="1">
      <alignment wrapText="1"/>
    </xf>
    <xf numFmtId="0" fontId="0" fillId="8" borderId="19" xfId="0" applyFill="1" applyBorder="1" applyAlignment="1">
      <alignment horizontal="center" vertical="center" wrapText="1"/>
    </xf>
    <xf numFmtId="0" fontId="0" fillId="8" borderId="253" xfId="0" applyFill="1" applyBorder="1" applyAlignment="1">
      <alignment vertical="center" wrapText="1"/>
    </xf>
    <xf numFmtId="0" fontId="0" fillId="8" borderId="25" xfId="0" applyFill="1" applyBorder="1" applyAlignment="1">
      <alignment horizontal="center" vertical="center" wrapText="1"/>
    </xf>
    <xf numFmtId="0" fontId="0" fillId="8" borderId="19" xfId="0" applyFill="1" applyBorder="1" applyAlignment="1">
      <alignment vertical="center" wrapText="1"/>
    </xf>
    <xf numFmtId="0" fontId="76" fillId="46" borderId="0" xfId="16" applyNumberFormat="1" applyFont="1" applyFill="1" applyBorder="1" applyAlignment="1">
      <alignment horizontal="center"/>
    </xf>
    <xf numFmtId="0" fontId="8" fillId="0" borderId="126" xfId="0" applyFont="1" applyBorder="1" applyAlignment="1">
      <alignment horizontal="center" vertical="center"/>
    </xf>
    <xf numFmtId="9" fontId="75" fillId="0" borderId="0" xfId="16" applyFont="1" applyAlignment="1">
      <alignment horizontal="center"/>
    </xf>
    <xf numFmtId="9" fontId="8" fillId="47" borderId="0" xfId="16" applyFill="1"/>
    <xf numFmtId="0" fontId="8" fillId="0" borderId="0" xfId="24" applyAlignment="1">
      <alignment horizontal="center"/>
    </xf>
    <xf numFmtId="2" fontId="8" fillId="0" borderId="0" xfId="24" applyNumberFormat="1"/>
    <xf numFmtId="9" fontId="8" fillId="0" borderId="0" xfId="16" applyBorder="1"/>
    <xf numFmtId="9" fontId="8" fillId="47" borderId="0" xfId="16" applyFill="1" applyBorder="1"/>
    <xf numFmtId="0" fontId="8" fillId="0" borderId="256" xfId="24" applyBorder="1"/>
    <xf numFmtId="0" fontId="13" fillId="0" borderId="256" xfId="24" applyFont="1" applyBorder="1" applyAlignment="1">
      <alignment horizontal="center"/>
    </xf>
    <xf numFmtId="0" fontId="82" fillId="0" borderId="256" xfId="24" applyFont="1" applyBorder="1" applyAlignment="1">
      <alignment horizontal="center"/>
    </xf>
    <xf numFmtId="0" fontId="8" fillId="0" borderId="256" xfId="24" applyBorder="1" applyAlignment="1">
      <alignment horizontal="center"/>
    </xf>
    <xf numFmtId="0" fontId="8" fillId="0" borderId="257" xfId="24" applyBorder="1"/>
    <xf numFmtId="0" fontId="8" fillId="43" borderId="256" xfId="24" applyFill="1" applyBorder="1" applyAlignment="1">
      <alignment horizontal="center"/>
    </xf>
    <xf numFmtId="10" fontId="8" fillId="43" borderId="0" xfId="24" applyNumberFormat="1" applyFill="1"/>
    <xf numFmtId="0" fontId="82" fillId="43" borderId="256" xfId="24" applyFont="1" applyFill="1" applyBorder="1" applyAlignment="1">
      <alignment horizontal="center"/>
    </xf>
    <xf numFmtId="9" fontId="8" fillId="43" borderId="0" xfId="24" applyNumberFormat="1" applyFill="1"/>
    <xf numFmtId="9" fontId="8" fillId="43" borderId="0" xfId="16" applyFill="1" applyBorder="1"/>
    <xf numFmtId="9" fontId="8" fillId="47" borderId="0" xfId="24" applyNumberFormat="1" applyFill="1"/>
    <xf numFmtId="9" fontId="0" fillId="47" borderId="0" xfId="24" applyNumberFormat="1" applyFont="1" applyFill="1"/>
    <xf numFmtId="9" fontId="0" fillId="47" borderId="0" xfId="16" applyFont="1" applyFill="1"/>
    <xf numFmtId="9" fontId="85" fillId="47" borderId="0" xfId="16" applyFont="1" applyFill="1" applyBorder="1"/>
    <xf numFmtId="9" fontId="85" fillId="47" borderId="0" xfId="16" applyFont="1" applyFill="1"/>
    <xf numFmtId="0" fontId="85" fillId="0" borderId="256" xfId="24" applyFont="1" applyBorder="1" applyAlignment="1">
      <alignment horizontal="center"/>
    </xf>
    <xf numFmtId="9" fontId="13" fillId="0" borderId="0" xfId="24" applyNumberFormat="1" applyFont="1"/>
    <xf numFmtId="0" fontId="8" fillId="0" borderId="258" xfId="24" applyBorder="1"/>
    <xf numFmtId="0" fontId="0" fillId="0" borderId="0" xfId="24" applyFont="1"/>
    <xf numFmtId="0" fontId="0" fillId="0" borderId="256" xfId="24" applyFont="1" applyBorder="1" applyAlignment="1">
      <alignment horizontal="center"/>
    </xf>
    <xf numFmtId="9" fontId="13" fillId="0" borderId="258" xfId="24" applyNumberFormat="1" applyFont="1" applyBorder="1"/>
    <xf numFmtId="9" fontId="86" fillId="47" borderId="258" xfId="16" applyFont="1" applyFill="1" applyBorder="1"/>
    <xf numFmtId="9" fontId="13" fillId="47" borderId="258" xfId="24" applyNumberFormat="1" applyFont="1" applyFill="1" applyBorder="1"/>
    <xf numFmtId="4" fontId="8" fillId="3" borderId="0" xfId="7" applyFont="1" applyBorder="1" applyAlignment="1">
      <alignment horizontal="center" vertical="center"/>
    </xf>
    <xf numFmtId="2" fontId="8" fillId="0" borderId="259" xfId="26" applyNumberFormat="1" applyBorder="1" applyAlignment="1">
      <alignment horizontal="center"/>
    </xf>
    <xf numFmtId="0" fontId="26" fillId="48" borderId="0" xfId="24" applyFont="1" applyFill="1"/>
    <xf numFmtId="0" fontId="27" fillId="48" borderId="0" xfId="24" applyFont="1" applyFill="1"/>
    <xf numFmtId="1" fontId="54" fillId="0" borderId="32" xfId="0" applyNumberFormat="1" applyFont="1" applyBorder="1" applyAlignment="1">
      <alignment horizontal="center" vertical="center"/>
    </xf>
    <xf numFmtId="1" fontId="54" fillId="0" borderId="38" xfId="0" applyNumberFormat="1" applyFont="1" applyBorder="1" applyAlignment="1">
      <alignment horizontal="center" vertical="center"/>
    </xf>
    <xf numFmtId="0" fontId="8" fillId="0" borderId="116" xfId="26" applyBorder="1" applyAlignment="1">
      <alignment horizontal="center"/>
    </xf>
    <xf numFmtId="0" fontId="8" fillId="0" borderId="116" xfId="26" applyBorder="1" applyAlignment="1">
      <alignment horizontal="center" vertical="center"/>
    </xf>
    <xf numFmtId="0" fontId="0" fillId="0" borderId="177" xfId="0" applyBorder="1"/>
    <xf numFmtId="179" fontId="0" fillId="12" borderId="101" xfId="16" applyNumberFormat="1" applyFont="1" applyFill="1" applyBorder="1" applyAlignment="1">
      <alignment horizontal="center"/>
    </xf>
    <xf numFmtId="187" fontId="0" fillId="0" borderId="103" xfId="0" applyNumberFormat="1" applyBorder="1" applyAlignment="1">
      <alignment horizontal="center"/>
    </xf>
    <xf numFmtId="0" fontId="13" fillId="0" borderId="256" xfId="24" applyFont="1" applyBorder="1"/>
    <xf numFmtId="9" fontId="75" fillId="0" borderId="0" xfId="24" applyNumberFormat="1" applyFont="1"/>
    <xf numFmtId="0" fontId="8" fillId="0" borderId="0" xfId="26" applyAlignment="1">
      <alignment horizontal="right"/>
    </xf>
    <xf numFmtId="9" fontId="8" fillId="0" borderId="103" xfId="16" applyFont="1" applyFill="1" applyBorder="1" applyAlignment="1">
      <alignment horizontal="center" vertical="center"/>
    </xf>
    <xf numFmtId="10" fontId="0" fillId="12" borderId="110" xfId="16" applyNumberFormat="1" applyFont="1" applyFill="1" applyBorder="1" applyAlignment="1">
      <alignment horizontal="center" vertical="center"/>
    </xf>
    <xf numFmtId="9" fontId="8" fillId="23" borderId="103" xfId="16" applyFont="1" applyFill="1" applyBorder="1" applyAlignment="1">
      <alignment horizontal="center" vertical="center"/>
    </xf>
    <xf numFmtId="9" fontId="0" fillId="23" borderId="103" xfId="16" applyFont="1" applyFill="1" applyBorder="1" applyAlignment="1">
      <alignment horizontal="center"/>
    </xf>
    <xf numFmtId="9" fontId="8" fillId="12" borderId="102" xfId="16" applyFont="1" applyFill="1" applyBorder="1" applyAlignment="1">
      <alignment horizontal="center"/>
    </xf>
    <xf numFmtId="2" fontId="0" fillId="23" borderId="101" xfId="0" applyNumberFormat="1" applyFill="1" applyBorder="1" applyAlignment="1">
      <alignment horizontal="center"/>
    </xf>
    <xf numFmtId="2" fontId="8" fillId="23" borderId="103" xfId="0" applyNumberFormat="1" applyFont="1" applyFill="1" applyBorder="1" applyAlignment="1">
      <alignment horizontal="center" vertical="center"/>
    </xf>
    <xf numFmtId="180" fontId="8" fillId="12" borderId="101" xfId="0" applyNumberFormat="1" applyFont="1" applyFill="1" applyBorder="1" applyAlignment="1">
      <alignment horizontal="center"/>
    </xf>
    <xf numFmtId="180" fontId="0" fillId="9" borderId="103" xfId="0" applyNumberFormat="1" applyFill="1" applyBorder="1" applyAlignment="1">
      <alignment horizontal="center"/>
    </xf>
    <xf numFmtId="180" fontId="0" fillId="12" borderId="103" xfId="0" applyNumberFormat="1" applyFill="1" applyBorder="1" applyAlignment="1">
      <alignment horizontal="center"/>
    </xf>
    <xf numFmtId="180" fontId="0" fillId="12" borderId="102" xfId="0" applyNumberFormat="1" applyFill="1" applyBorder="1" applyAlignment="1">
      <alignment horizontal="center"/>
    </xf>
    <xf numFmtId="9" fontId="0" fillId="12" borderId="0" xfId="16" applyFont="1" applyFill="1" applyBorder="1" applyAlignment="1">
      <alignment horizontal="center" vertical="center"/>
    </xf>
    <xf numFmtId="185" fontId="8" fillId="0" borderId="116" xfId="26" applyNumberFormat="1" applyBorder="1" applyAlignment="1">
      <alignment horizontal="center"/>
    </xf>
    <xf numFmtId="3" fontId="8" fillId="0" borderId="116" xfId="26" applyNumberFormat="1" applyBorder="1" applyAlignment="1">
      <alignment horizontal="center" vertical="center"/>
    </xf>
    <xf numFmtId="178" fontId="75" fillId="0" borderId="96" xfId="0" applyNumberFormat="1" applyFont="1" applyBorder="1" applyAlignment="1">
      <alignment horizontal="center"/>
    </xf>
    <xf numFmtId="0" fontId="34" fillId="0" borderId="166" xfId="0" applyFont="1" applyBorder="1" applyAlignment="1">
      <alignment horizontal="center" vertical="center" wrapText="1"/>
    </xf>
    <xf numFmtId="0" fontId="34" fillId="0" borderId="167" xfId="0" applyFont="1" applyBorder="1" applyAlignment="1">
      <alignment horizontal="center" vertical="center" wrapText="1"/>
    </xf>
    <xf numFmtId="0" fontId="34" fillId="0" borderId="168" xfId="0" applyFont="1" applyBorder="1" applyAlignment="1">
      <alignment horizontal="left" wrapText="1"/>
    </xf>
    <xf numFmtId="0" fontId="34" fillId="0" borderId="163" xfId="0" applyFont="1" applyBorder="1" applyAlignment="1">
      <alignment horizontal="left" wrapText="1"/>
    </xf>
    <xf numFmtId="0" fontId="34" fillId="0" borderId="164" xfId="0" applyFont="1" applyBorder="1" applyAlignment="1">
      <alignment horizontal="left" wrapText="1"/>
    </xf>
    <xf numFmtId="0" fontId="34" fillId="0" borderId="169" xfId="0" applyFont="1" applyBorder="1" applyAlignment="1">
      <alignment horizontal="left" wrapText="1"/>
    </xf>
    <xf numFmtId="0" fontId="34" fillId="0" borderId="0" xfId="0" applyFont="1" applyAlignment="1">
      <alignment horizontal="left" wrapText="1"/>
    </xf>
    <xf numFmtId="0" fontId="34" fillId="0" borderId="165" xfId="0" applyFont="1" applyBorder="1" applyAlignment="1">
      <alignment horizontal="left" wrapText="1"/>
    </xf>
    <xf numFmtId="0" fontId="27" fillId="9" borderId="73" xfId="0" applyFont="1" applyFill="1" applyBorder="1" applyAlignment="1">
      <alignment horizontal="center" vertical="center"/>
    </xf>
    <xf numFmtId="0" fontId="27" fillId="9" borderId="75" xfId="0" applyFont="1" applyFill="1" applyBorder="1" applyAlignment="1">
      <alignment horizontal="center" vertical="center"/>
    </xf>
    <xf numFmtId="0" fontId="47" fillId="5" borderId="52" xfId="0" applyFont="1" applyFill="1" applyBorder="1" applyAlignment="1">
      <alignment horizontal="center"/>
    </xf>
    <xf numFmtId="0" fontId="47" fillId="5" borderId="62" xfId="0" applyFont="1" applyFill="1" applyBorder="1" applyAlignment="1">
      <alignment horizontal="center"/>
    </xf>
    <xf numFmtId="0" fontId="8" fillId="0" borderId="168" xfId="0" applyFont="1" applyBorder="1" applyAlignment="1">
      <alignment horizontal="left" vertical="center" wrapText="1"/>
    </xf>
    <xf numFmtId="0" fontId="69" fillId="0" borderId="163" xfId="0" applyFont="1" applyBorder="1" applyAlignment="1">
      <alignment horizontal="left" vertical="center"/>
    </xf>
    <xf numFmtId="0" fontId="69" fillId="0" borderId="164" xfId="0" applyFont="1" applyBorder="1" applyAlignment="1">
      <alignment horizontal="left" vertical="center"/>
    </xf>
    <xf numFmtId="0" fontId="69" fillId="0" borderId="169" xfId="0" applyFont="1" applyBorder="1" applyAlignment="1">
      <alignment horizontal="left" vertical="center"/>
    </xf>
    <xf numFmtId="0" fontId="69" fillId="0" borderId="0" xfId="0" applyFont="1" applyAlignment="1">
      <alignment horizontal="left" vertical="center"/>
    </xf>
    <xf numFmtId="0" fontId="69" fillId="0" borderId="165" xfId="0" applyFont="1" applyBorder="1" applyAlignment="1">
      <alignment horizontal="left" vertical="center"/>
    </xf>
    <xf numFmtId="0" fontId="69" fillId="0" borderId="170" xfId="0" applyFont="1" applyBorder="1" applyAlignment="1">
      <alignment horizontal="left" vertical="center"/>
    </xf>
    <xf numFmtId="0" fontId="69" fillId="0" borderId="166" xfId="0" applyFont="1" applyBorder="1" applyAlignment="1">
      <alignment horizontal="left" vertical="center"/>
    </xf>
    <xf numFmtId="0" fontId="69" fillId="0" borderId="167" xfId="0" applyFont="1" applyBorder="1" applyAlignment="1">
      <alignment horizontal="left" vertical="center"/>
    </xf>
    <xf numFmtId="0" fontId="27" fillId="32" borderId="52" xfId="0" applyFont="1" applyFill="1" applyBorder="1" applyAlignment="1">
      <alignment horizontal="center"/>
    </xf>
    <xf numFmtId="0" fontId="0" fillId="0" borderId="227" xfId="0" applyBorder="1" applyAlignment="1">
      <alignment horizontal="left" vertical="center" wrapText="1"/>
    </xf>
    <xf numFmtId="0" fontId="69" fillId="0" borderId="10" xfId="0" applyFont="1" applyBorder="1" applyAlignment="1">
      <alignment horizontal="left" vertical="center"/>
    </xf>
    <xf numFmtId="0" fontId="69" fillId="0" borderId="228" xfId="0" applyFont="1" applyBorder="1" applyAlignment="1">
      <alignment horizontal="left" vertical="center"/>
    </xf>
    <xf numFmtId="0" fontId="63" fillId="8" borderId="52" xfId="0" applyFont="1" applyFill="1" applyBorder="1" applyAlignment="1">
      <alignment horizontal="center"/>
    </xf>
    <xf numFmtId="0" fontId="27" fillId="8" borderId="52" xfId="0" applyFont="1" applyFill="1" applyBorder="1" applyAlignment="1">
      <alignment horizontal="center"/>
    </xf>
    <xf numFmtId="0" fontId="63" fillId="8" borderId="60" xfId="0" applyFont="1" applyFill="1" applyBorder="1" applyAlignment="1">
      <alignment horizontal="center"/>
    </xf>
    <xf numFmtId="0" fontId="27" fillId="8" borderId="60" xfId="0" applyFont="1" applyFill="1" applyBorder="1" applyAlignment="1">
      <alignment horizontal="center"/>
    </xf>
    <xf numFmtId="0" fontId="8" fillId="0" borderId="2" xfId="0" applyFont="1" applyBorder="1" applyAlignment="1">
      <alignment horizontal="left" vertical="top" wrapText="1"/>
    </xf>
    <xf numFmtId="0" fontId="8" fillId="0" borderId="61" xfId="0" applyFont="1" applyBorder="1" applyAlignment="1">
      <alignment horizontal="left" vertical="top" wrapText="1"/>
    </xf>
    <xf numFmtId="0" fontId="0" fillId="0" borderId="229" xfId="0" applyBorder="1" applyAlignment="1">
      <alignment horizontal="left" vertical="top" wrapText="1"/>
    </xf>
    <xf numFmtId="0" fontId="8" fillId="0" borderId="46" xfId="0" applyFont="1" applyBorder="1" applyAlignment="1">
      <alignment horizontal="left" vertical="top" wrapText="1"/>
    </xf>
    <xf numFmtId="0" fontId="8" fillId="0" borderId="59" xfId="0" applyFont="1" applyBorder="1" applyAlignment="1">
      <alignment horizontal="left" vertical="top" wrapText="1"/>
    </xf>
    <xf numFmtId="0" fontId="0" fillId="0" borderId="230" xfId="0" applyBorder="1" applyAlignment="1">
      <alignment horizontal="left" vertical="top" wrapText="1"/>
    </xf>
    <xf numFmtId="0" fontId="0" fillId="0" borderId="231" xfId="0" applyBorder="1" applyAlignment="1">
      <alignment horizontal="left" vertical="top" wrapText="1"/>
    </xf>
    <xf numFmtId="0" fontId="0" fillId="0" borderId="232" xfId="0" applyBorder="1" applyAlignment="1">
      <alignment horizontal="left" vertical="top" wrapText="1"/>
    </xf>
    <xf numFmtId="0" fontId="47" fillId="5" borderId="226" xfId="0" applyFont="1" applyFill="1" applyBorder="1" applyAlignment="1">
      <alignment horizontal="center"/>
    </xf>
    <xf numFmtId="0" fontId="47" fillId="5" borderId="187" xfId="0" applyFont="1" applyFill="1" applyBorder="1" applyAlignment="1">
      <alignment horizontal="center"/>
    </xf>
    <xf numFmtId="0" fontId="47" fillId="5" borderId="127" xfId="0" applyFont="1" applyFill="1" applyBorder="1" applyAlignment="1">
      <alignment horizontal="center"/>
    </xf>
    <xf numFmtId="0" fontId="47" fillId="5" borderId="33" xfId="0" applyFont="1" applyFill="1" applyBorder="1" applyAlignment="1">
      <alignment horizontal="center"/>
    </xf>
    <xf numFmtId="0" fontId="47" fillId="5" borderId="27" xfId="0" applyFont="1" applyFill="1" applyBorder="1" applyAlignment="1">
      <alignment horizontal="center"/>
    </xf>
    <xf numFmtId="0" fontId="47" fillId="5" borderId="28" xfId="0" applyFont="1" applyFill="1" applyBorder="1" applyAlignment="1">
      <alignment horizontal="center"/>
    </xf>
    <xf numFmtId="0" fontId="0" fillId="8" borderId="203" xfId="0" applyFill="1" applyBorder="1" applyAlignment="1">
      <alignment horizontal="center"/>
    </xf>
    <xf numFmtId="0" fontId="0" fillId="8" borderId="204" xfId="0" applyFill="1" applyBorder="1" applyAlignment="1">
      <alignment horizontal="center"/>
    </xf>
    <xf numFmtId="0" fontId="0" fillId="8" borderId="205" xfId="0" applyFill="1" applyBorder="1" applyAlignment="1">
      <alignment horizontal="center"/>
    </xf>
    <xf numFmtId="0" fontId="0" fillId="8" borderId="200" xfId="0" applyFill="1" applyBorder="1" applyAlignment="1">
      <alignment horizontal="center"/>
    </xf>
    <xf numFmtId="0" fontId="0" fillId="8" borderId="201" xfId="0" applyFill="1" applyBorder="1" applyAlignment="1">
      <alignment horizontal="center"/>
    </xf>
    <xf numFmtId="0" fontId="0" fillId="8" borderId="202" xfId="0" applyFill="1" applyBorder="1" applyAlignment="1">
      <alignment horizontal="center"/>
    </xf>
    <xf numFmtId="0" fontId="8" fillId="0" borderId="19" xfId="0" applyFont="1" applyBorder="1" applyAlignment="1">
      <alignment horizontal="left" vertical="center"/>
    </xf>
    <xf numFmtId="0" fontId="8" fillId="0" borderId="19" xfId="0" applyFont="1" applyBorder="1" applyAlignment="1">
      <alignment horizontal="left"/>
    </xf>
    <xf numFmtId="0" fontId="47" fillId="5" borderId="133" xfId="0" applyFont="1" applyFill="1" applyBorder="1" applyAlignment="1">
      <alignment horizontal="center"/>
    </xf>
    <xf numFmtId="0" fontId="47" fillId="5" borderId="188" xfId="0" applyFont="1" applyFill="1" applyBorder="1" applyAlignment="1">
      <alignment horizontal="center"/>
    </xf>
    <xf numFmtId="0" fontId="47" fillId="5" borderId="189" xfId="0" applyFont="1" applyFill="1" applyBorder="1" applyAlignment="1">
      <alignment horizontal="center"/>
    </xf>
    <xf numFmtId="0" fontId="47" fillId="5" borderId="10" xfId="0" applyFont="1" applyFill="1" applyBorder="1" applyAlignment="1">
      <alignment horizontal="center"/>
    </xf>
    <xf numFmtId="0" fontId="47" fillId="5" borderId="0" xfId="0" applyFont="1" applyFill="1" applyAlignment="1">
      <alignment horizontal="center"/>
    </xf>
    <xf numFmtId="0" fontId="47" fillId="5" borderId="128" xfId="0" applyFont="1" applyFill="1" applyBorder="1" applyAlignment="1">
      <alignment horizontal="center"/>
    </xf>
    <xf numFmtId="0" fontId="27" fillId="32" borderId="143" xfId="0" applyFont="1" applyFill="1" applyBorder="1" applyAlignment="1">
      <alignment horizontal="center"/>
    </xf>
    <xf numFmtId="0" fontId="27" fillId="32" borderId="127" xfId="0" applyFont="1" applyFill="1" applyBorder="1" applyAlignment="1">
      <alignment horizontal="center"/>
    </xf>
    <xf numFmtId="0" fontId="27" fillId="32" borderId="195" xfId="0" applyFont="1" applyFill="1" applyBorder="1" applyAlignment="1">
      <alignment horizontal="center"/>
    </xf>
    <xf numFmtId="0" fontId="27" fillId="32" borderId="130" xfId="0" applyFont="1" applyFill="1" applyBorder="1" applyAlignment="1">
      <alignment horizontal="center"/>
    </xf>
    <xf numFmtId="0" fontId="27" fillId="32" borderId="144" xfId="0" applyFont="1" applyFill="1" applyBorder="1" applyAlignment="1">
      <alignment horizontal="center"/>
    </xf>
    <xf numFmtId="0" fontId="27" fillId="32" borderId="154" xfId="0" applyFont="1" applyFill="1" applyBorder="1" applyAlignment="1">
      <alignment horizontal="center"/>
    </xf>
    <xf numFmtId="0" fontId="46" fillId="18" borderId="10" xfId="0" applyFont="1" applyFill="1" applyBorder="1" applyAlignment="1">
      <alignment horizontal="center"/>
    </xf>
    <xf numFmtId="0" fontId="46" fillId="18" borderId="0" xfId="0" applyFont="1" applyFill="1" applyAlignment="1">
      <alignment horizontal="center"/>
    </xf>
    <xf numFmtId="0" fontId="46" fillId="18" borderId="12" xfId="0" applyFont="1" applyFill="1" applyBorder="1" applyAlignment="1">
      <alignment horizontal="center"/>
    </xf>
    <xf numFmtId="0" fontId="34" fillId="8" borderId="191" xfId="0" applyFont="1" applyFill="1" applyBorder="1" applyAlignment="1">
      <alignment horizontal="center" vertical="center" wrapText="1"/>
    </xf>
    <xf numFmtId="0" fontId="0" fillId="8" borderId="192" xfId="0" applyFill="1" applyBorder="1" applyAlignment="1">
      <alignment horizontal="center" vertical="center" wrapText="1"/>
    </xf>
    <xf numFmtId="0" fontId="0" fillId="8" borderId="193" xfId="0" applyFill="1" applyBorder="1" applyAlignment="1">
      <alignment horizontal="center" vertical="center" wrapText="1"/>
    </xf>
    <xf numFmtId="0" fontId="27" fillId="32" borderId="62" xfId="0" applyFont="1" applyFill="1" applyBorder="1" applyAlignment="1">
      <alignment horizontal="center"/>
    </xf>
    <xf numFmtId="0" fontId="9" fillId="8" borderId="132" xfId="0" applyFont="1" applyFill="1" applyBorder="1" applyAlignment="1">
      <alignment horizontal="center" vertical="center" wrapText="1"/>
    </xf>
    <xf numFmtId="0" fontId="9" fillId="8" borderId="129" xfId="0" applyFont="1" applyFill="1" applyBorder="1" applyAlignment="1">
      <alignment horizontal="center" vertical="center" wrapText="1"/>
    </xf>
    <xf numFmtId="179" fontId="45" fillId="12" borderId="133" xfId="16" applyNumberFormat="1" applyFont="1" applyFill="1" applyBorder="1" applyAlignment="1">
      <alignment horizontal="center" vertical="center"/>
    </xf>
    <xf numFmtId="179" fontId="45" fillId="12" borderId="153" xfId="16" applyNumberFormat="1" applyFont="1" applyFill="1" applyBorder="1" applyAlignment="1">
      <alignment horizontal="center" vertical="center"/>
    </xf>
    <xf numFmtId="179" fontId="45" fillId="12" borderId="130" xfId="16" applyNumberFormat="1" applyFont="1" applyFill="1" applyBorder="1" applyAlignment="1">
      <alignment horizontal="center" vertical="center"/>
    </xf>
    <xf numFmtId="179" fontId="45" fillId="12" borderId="154" xfId="16" applyNumberFormat="1" applyFont="1" applyFill="1" applyBorder="1" applyAlignment="1">
      <alignment horizontal="center" vertical="center"/>
    </xf>
    <xf numFmtId="179" fontId="45" fillId="12" borderId="131" xfId="16" applyNumberFormat="1" applyFont="1" applyFill="1" applyBorder="1" applyAlignment="1">
      <alignment horizontal="center" vertical="center"/>
    </xf>
    <xf numFmtId="179" fontId="45" fillId="12" borderId="128" xfId="16" applyNumberFormat="1" applyFont="1" applyFill="1" applyBorder="1" applyAlignment="1">
      <alignment horizontal="center" vertical="center"/>
    </xf>
    <xf numFmtId="179" fontId="9" fillId="0" borderId="132" xfId="16" applyNumberFormat="1" applyFont="1" applyBorder="1" applyAlignment="1">
      <alignment horizontal="center" vertical="center" wrapText="1"/>
    </xf>
    <xf numFmtId="179" fontId="9" fillId="0" borderId="236" xfId="16" applyNumberFormat="1" applyFont="1" applyBorder="1" applyAlignment="1">
      <alignment horizontal="center" vertical="center" wrapText="1"/>
    </xf>
    <xf numFmtId="179" fontId="9" fillId="0" borderId="129" xfId="16" applyNumberFormat="1" applyFont="1" applyBorder="1" applyAlignment="1">
      <alignment horizontal="center" vertical="center" wrapText="1"/>
    </xf>
    <xf numFmtId="179" fontId="9" fillId="0" borderId="234" xfId="16" applyNumberFormat="1" applyFont="1" applyBorder="1" applyAlignment="1">
      <alignment horizontal="center" vertical="center" wrapText="1"/>
    </xf>
    <xf numFmtId="9" fontId="45" fillId="12" borderId="235" xfId="16" applyFont="1" applyFill="1" applyBorder="1" applyAlignment="1">
      <alignment horizontal="center" vertical="center"/>
    </xf>
    <xf numFmtId="9" fontId="45" fillId="12" borderId="206" xfId="16" applyFont="1" applyFill="1" applyBorder="1" applyAlignment="1">
      <alignment horizontal="center" vertical="center"/>
    </xf>
    <xf numFmtId="0" fontId="47" fillId="5" borderId="22" xfId="0" applyFont="1" applyFill="1" applyBorder="1" applyAlignment="1">
      <alignment horizontal="center"/>
    </xf>
    <xf numFmtId="0" fontId="47" fillId="5" borderId="19" xfId="0" applyFont="1" applyFill="1" applyBorder="1" applyAlignment="1">
      <alignment horizontal="center"/>
    </xf>
    <xf numFmtId="178" fontId="9" fillId="12" borderId="153" xfId="0" applyNumberFormat="1" applyFont="1" applyFill="1" applyBorder="1" applyAlignment="1">
      <alignment horizontal="center" vertical="center"/>
    </xf>
    <xf numFmtId="178" fontId="9" fillId="12" borderId="128" xfId="0" applyNumberFormat="1" applyFont="1" applyFill="1" applyBorder="1" applyAlignment="1">
      <alignment horizontal="center" vertical="center"/>
    </xf>
    <xf numFmtId="178" fontId="9" fillId="12" borderId="154" xfId="0" applyNumberFormat="1" applyFont="1" applyFill="1" applyBorder="1" applyAlignment="1">
      <alignment horizontal="center" vertical="center"/>
    </xf>
    <xf numFmtId="0" fontId="13" fillId="0" borderId="24" xfId="0" applyFont="1" applyBorder="1" applyAlignment="1">
      <alignment horizontal="center"/>
    </xf>
    <xf numFmtId="0" fontId="13" fillId="0" borderId="25" xfId="0" applyFont="1" applyBorder="1" applyAlignment="1">
      <alignment horizontal="center"/>
    </xf>
    <xf numFmtId="0" fontId="8" fillId="8" borderId="26" xfId="0" applyFont="1" applyFill="1" applyBorder="1" applyAlignment="1">
      <alignment horizontal="left" vertical="center"/>
    </xf>
    <xf numFmtId="0" fontId="8" fillId="8" borderId="25" xfId="0" applyFont="1" applyFill="1" applyBorder="1" applyAlignment="1">
      <alignment horizontal="left" vertical="center"/>
    </xf>
    <xf numFmtId="9" fontId="13" fillId="8" borderId="26" xfId="16" applyFont="1" applyFill="1" applyBorder="1" applyAlignment="1">
      <alignment horizontal="left"/>
    </xf>
    <xf numFmtId="9" fontId="13" fillId="8" borderId="25" xfId="16" applyFont="1" applyFill="1" applyBorder="1" applyAlignment="1">
      <alignment horizontal="left"/>
    </xf>
    <xf numFmtId="0" fontId="9" fillId="12" borderId="0" xfId="0" applyFont="1" applyFill="1" applyAlignment="1">
      <alignment horizontal="center" vertical="center" wrapText="1"/>
    </xf>
    <xf numFmtId="0" fontId="9" fillId="12" borderId="144" xfId="0" applyFont="1" applyFill="1" applyBorder="1" applyAlignment="1">
      <alignment horizontal="center" vertical="center" wrapText="1"/>
    </xf>
    <xf numFmtId="0" fontId="34" fillId="8" borderId="130" xfId="0" applyFont="1" applyFill="1" applyBorder="1" applyAlignment="1">
      <alignment horizontal="center" vertical="center" wrapText="1"/>
    </xf>
    <xf numFmtId="0" fontId="34" fillId="8" borderId="144" xfId="0" applyFont="1" applyFill="1" applyBorder="1" applyAlignment="1">
      <alignment horizontal="center" vertical="center" wrapText="1"/>
    </xf>
    <xf numFmtId="0" fontId="34" fillId="8" borderId="154" xfId="0" applyFont="1" applyFill="1" applyBorder="1" applyAlignment="1">
      <alignment horizontal="center" vertical="center" wrapText="1"/>
    </xf>
    <xf numFmtId="0" fontId="0" fillId="8" borderId="197" xfId="0" applyFill="1" applyBorder="1" applyAlignment="1">
      <alignment horizontal="center" vertical="center" wrapText="1"/>
    </xf>
    <xf numFmtId="0" fontId="0" fillId="8" borderId="198" xfId="0" applyFill="1" applyBorder="1" applyAlignment="1">
      <alignment horizontal="center" vertical="center" wrapText="1"/>
    </xf>
    <xf numFmtId="0" fontId="0" fillId="8" borderId="199" xfId="0" applyFill="1" applyBorder="1" applyAlignment="1">
      <alignment horizontal="center" vertical="center" wrapText="1"/>
    </xf>
    <xf numFmtId="0" fontId="21" fillId="0" borderId="22" xfId="0" applyFont="1" applyBorder="1" applyAlignment="1">
      <alignment horizontal="center" vertical="center" wrapText="1"/>
    </xf>
    <xf numFmtId="0" fontId="21" fillId="0" borderId="26" xfId="0" applyFont="1" applyBorder="1" applyAlignment="1">
      <alignment horizontal="center" vertical="center" wrapText="1"/>
    </xf>
    <xf numFmtId="0" fontId="47" fillId="5" borderId="42" xfId="0" applyFont="1" applyFill="1" applyBorder="1" applyAlignment="1">
      <alignment horizontal="center"/>
    </xf>
    <xf numFmtId="0" fontId="8" fillId="8" borderId="26" xfId="0" applyFont="1" applyFill="1" applyBorder="1" applyAlignment="1">
      <alignment horizontal="center" vertical="center" wrapText="1"/>
    </xf>
    <xf numFmtId="0" fontId="8" fillId="8" borderId="24" xfId="0" applyFont="1" applyFill="1" applyBorder="1" applyAlignment="1">
      <alignment horizontal="center" vertical="center" wrapText="1"/>
    </xf>
    <xf numFmtId="0" fontId="8" fillId="8" borderId="251" xfId="0" applyFont="1" applyFill="1" applyBorder="1" applyAlignment="1">
      <alignment horizontal="center" vertical="center" wrapText="1"/>
    </xf>
    <xf numFmtId="0" fontId="34" fillId="8" borderId="26" xfId="0" applyFont="1" applyFill="1" applyBorder="1" applyAlignment="1">
      <alignment horizontal="center" vertical="center" wrapText="1"/>
    </xf>
    <xf numFmtId="0" fontId="34" fillId="8" borderId="24" xfId="0" applyFont="1" applyFill="1" applyBorder="1" applyAlignment="1">
      <alignment horizontal="center" vertical="center" wrapText="1"/>
    </xf>
    <xf numFmtId="0" fontId="34" fillId="8" borderId="251" xfId="0" applyFont="1" applyFill="1" applyBorder="1" applyAlignment="1">
      <alignment horizontal="center" vertical="center" wrapText="1"/>
    </xf>
    <xf numFmtId="0" fontId="83" fillId="8" borderId="26" xfId="0" applyFont="1" applyFill="1" applyBorder="1" applyAlignment="1">
      <alignment horizontal="center" vertical="center" wrapText="1"/>
    </xf>
    <xf numFmtId="0" fontId="9" fillId="0" borderId="55" xfId="0" applyFont="1" applyBorder="1" applyAlignment="1">
      <alignment horizontal="center" vertical="center"/>
    </xf>
    <xf numFmtId="0" fontId="9" fillId="0" borderId="18" xfId="0" applyFont="1" applyBorder="1" applyAlignment="1">
      <alignment horizontal="center" vertical="center"/>
    </xf>
    <xf numFmtId="0" fontId="9" fillId="0" borderId="56" xfId="0" applyFont="1" applyBorder="1" applyAlignment="1">
      <alignment horizontal="center" vertical="center"/>
    </xf>
    <xf numFmtId="0" fontId="27" fillId="32" borderId="33" xfId="0" applyFont="1" applyFill="1" applyBorder="1" applyAlignment="1">
      <alignment horizontal="center"/>
    </xf>
    <xf numFmtId="0" fontId="27" fillId="32" borderId="27" xfId="0" applyFont="1" applyFill="1" applyBorder="1" applyAlignment="1">
      <alignment horizontal="center"/>
    </xf>
    <xf numFmtId="0" fontId="27" fillId="32" borderId="26" xfId="0" applyFont="1" applyFill="1" applyBorder="1" applyAlignment="1">
      <alignment horizontal="center"/>
    </xf>
    <xf numFmtId="0" fontId="27" fillId="32" borderId="24" xfId="0" applyFont="1" applyFill="1" applyBorder="1" applyAlignment="1">
      <alignment horizontal="center"/>
    </xf>
    <xf numFmtId="14" fontId="13" fillId="0" borderId="26" xfId="0" applyNumberFormat="1" applyFont="1" applyBorder="1" applyAlignment="1">
      <alignment horizontal="center"/>
    </xf>
    <xf numFmtId="14" fontId="13" fillId="0" borderId="25" xfId="0" applyNumberFormat="1" applyFont="1" applyBorder="1" applyAlignment="1">
      <alignment horizontal="center"/>
    </xf>
    <xf numFmtId="0" fontId="8" fillId="0" borderId="19" xfId="0" quotePrefix="1" applyFont="1" applyBorder="1" applyAlignment="1">
      <alignment horizontal="left"/>
    </xf>
    <xf numFmtId="0" fontId="67" fillId="8" borderId="19" xfId="0" applyFont="1" applyFill="1" applyBorder="1" applyAlignment="1">
      <alignment horizontal="center" vertical="center" wrapText="1"/>
    </xf>
    <xf numFmtId="0" fontId="67" fillId="8" borderId="26" xfId="0" applyFont="1" applyFill="1" applyBorder="1" applyAlignment="1">
      <alignment horizontal="center" vertical="center" wrapText="1"/>
    </xf>
    <xf numFmtId="0" fontId="47" fillId="31" borderId="29" xfId="0" applyFont="1" applyFill="1" applyBorder="1" applyAlignment="1">
      <alignment horizontal="center" vertical="center" wrapText="1"/>
    </xf>
    <xf numFmtId="0" fontId="47" fillId="31" borderId="53" xfId="0" applyFont="1" applyFill="1" applyBorder="1" applyAlignment="1">
      <alignment horizontal="center" vertical="center" wrapText="1"/>
    </xf>
    <xf numFmtId="0" fontId="47" fillId="5" borderId="47" xfId="0" applyFont="1" applyFill="1" applyBorder="1" applyAlignment="1">
      <alignment horizontal="center"/>
    </xf>
    <xf numFmtId="0" fontId="47" fillId="5" borderId="48" xfId="0" applyFont="1" applyFill="1" applyBorder="1" applyAlignment="1">
      <alignment horizontal="center"/>
    </xf>
    <xf numFmtId="0" fontId="47" fillId="5" borderId="49" xfId="0" applyFont="1" applyFill="1" applyBorder="1" applyAlignment="1">
      <alignment horizontal="center"/>
    </xf>
    <xf numFmtId="0" fontId="27" fillId="32" borderId="251" xfId="0" applyFont="1" applyFill="1" applyBorder="1" applyAlignment="1">
      <alignment horizontal="center"/>
    </xf>
    <xf numFmtId="9" fontId="45" fillId="12" borderId="196" xfId="16" applyFont="1" applyFill="1" applyBorder="1" applyAlignment="1">
      <alignment horizontal="center" vertical="center"/>
    </xf>
    <xf numFmtId="0" fontId="47" fillId="23" borderId="260" xfId="0" applyFont="1" applyFill="1" applyBorder="1" applyAlignment="1">
      <alignment horizontal="center" vertical="center" wrapText="1"/>
    </xf>
    <xf numFmtId="0" fontId="47" fillId="23" borderId="233" xfId="0" applyFont="1" applyFill="1" applyBorder="1" applyAlignment="1">
      <alignment horizontal="center" vertical="center" wrapText="1"/>
    </xf>
    <xf numFmtId="0" fontId="47" fillId="31" borderId="226" xfId="0" applyFont="1" applyFill="1" applyBorder="1" applyAlignment="1">
      <alignment horizontal="center"/>
    </xf>
    <xf numFmtId="0" fontId="47" fillId="31" borderId="52" xfId="0" applyFont="1" applyFill="1" applyBorder="1" applyAlignment="1">
      <alignment horizontal="center"/>
    </xf>
    <xf numFmtId="0" fontId="13" fillId="0" borderId="133" xfId="0" applyFont="1" applyBorder="1" applyAlignment="1">
      <alignment horizontal="center" vertical="center" wrapText="1"/>
    </xf>
    <xf numFmtId="0" fontId="13" fillId="0" borderId="188" xfId="0" applyFont="1" applyBorder="1" applyAlignment="1">
      <alignment horizontal="center" vertical="center" wrapText="1"/>
    </xf>
    <xf numFmtId="0" fontId="13" fillId="0" borderId="189" xfId="0" applyFont="1" applyBorder="1" applyAlignment="1">
      <alignment horizontal="center" vertical="center" wrapText="1"/>
    </xf>
    <xf numFmtId="0" fontId="13" fillId="0" borderId="131" xfId="0" applyFont="1" applyBorder="1" applyAlignment="1">
      <alignment horizontal="center" vertical="center" wrapText="1"/>
    </xf>
    <xf numFmtId="0" fontId="13" fillId="0" borderId="0" xfId="0" applyFont="1" applyAlignment="1">
      <alignment horizontal="center" vertical="center" wrapText="1"/>
    </xf>
    <xf numFmtId="0" fontId="13" fillId="0" borderId="12" xfId="0" applyFont="1" applyBorder="1" applyAlignment="1">
      <alignment horizontal="center" vertical="center" wrapText="1"/>
    </xf>
    <xf numFmtId="0" fontId="13" fillId="0" borderId="130" xfId="0" applyFont="1" applyBorder="1" applyAlignment="1">
      <alignment horizontal="center" vertical="center" wrapText="1"/>
    </xf>
    <xf numFmtId="0" fontId="13" fillId="0" borderId="144" xfId="0" applyFont="1" applyBorder="1" applyAlignment="1">
      <alignment horizontal="center" vertical="center" wrapText="1"/>
    </xf>
    <xf numFmtId="0" fontId="13" fillId="0" borderId="194" xfId="0" applyFont="1" applyBorder="1" applyAlignment="1">
      <alignment horizontal="center" vertical="center" wrapText="1"/>
    </xf>
    <xf numFmtId="0" fontId="47" fillId="5" borderId="144" xfId="0" applyFont="1" applyFill="1" applyBorder="1" applyAlignment="1">
      <alignment horizontal="center"/>
    </xf>
    <xf numFmtId="0" fontId="47" fillId="5" borderId="194" xfId="0" applyFont="1" applyFill="1" applyBorder="1" applyAlignment="1">
      <alignment horizontal="center"/>
    </xf>
    <xf numFmtId="0" fontId="8" fillId="0" borderId="63" xfId="0" applyFont="1" applyBorder="1" applyAlignment="1">
      <alignment horizontal="left"/>
    </xf>
    <xf numFmtId="0" fontId="8" fillId="0" borderId="64" xfId="0" applyFont="1" applyBorder="1" applyAlignment="1">
      <alignment horizontal="left"/>
    </xf>
    <xf numFmtId="0" fontId="8" fillId="0" borderId="63" xfId="0" applyFont="1" applyBorder="1" applyAlignment="1">
      <alignment horizontal="left" indent="1"/>
    </xf>
    <xf numFmtId="0" fontId="8" fillId="0" borderId="64" xfId="0" applyFont="1" applyBorder="1" applyAlignment="1">
      <alignment horizontal="left" indent="1"/>
    </xf>
    <xf numFmtId="0" fontId="13" fillId="0" borderId="63" xfId="0" applyFont="1" applyBorder="1" applyAlignment="1">
      <alignment horizontal="left"/>
    </xf>
    <xf numFmtId="0" fontId="13" fillId="0" borderId="64" xfId="0" applyFont="1" applyBorder="1" applyAlignment="1">
      <alignment horizontal="left"/>
    </xf>
    <xf numFmtId="0" fontId="0" fillId="0" borderId="63" xfId="0" applyBorder="1" applyAlignment="1">
      <alignment horizontal="left"/>
    </xf>
    <xf numFmtId="0" fontId="0" fillId="0" borderId="64" xfId="0" applyBorder="1" applyAlignment="1">
      <alignment horizontal="left"/>
    </xf>
    <xf numFmtId="0" fontId="8" fillId="16" borderId="63" xfId="0" applyFont="1" applyFill="1" applyBorder="1" applyAlignment="1">
      <alignment horizontal="left"/>
    </xf>
    <xf numFmtId="0" fontId="8" fillId="16" borderId="64" xfId="0" applyFont="1" applyFill="1" applyBorder="1" applyAlignment="1">
      <alignment horizontal="left"/>
    </xf>
    <xf numFmtId="0" fontId="27" fillId="32" borderId="226" xfId="0" applyFont="1" applyFill="1" applyBorder="1" applyAlignment="1">
      <alignment horizontal="center"/>
    </xf>
    <xf numFmtId="0" fontId="34" fillId="0" borderId="227" xfId="0" applyFont="1" applyBorder="1" applyAlignment="1">
      <alignment horizontal="left" vertical="center" wrapText="1"/>
    </xf>
    <xf numFmtId="0" fontId="34" fillId="0" borderId="163" xfId="0" applyFont="1" applyBorder="1" applyAlignment="1">
      <alignment horizontal="left" vertical="center"/>
    </xf>
    <xf numFmtId="0" fontId="34" fillId="0" borderId="164" xfId="0" applyFont="1" applyBorder="1" applyAlignment="1">
      <alignment horizontal="left" vertical="center"/>
    </xf>
    <xf numFmtId="0" fontId="34" fillId="0" borderId="10" xfId="0" applyFont="1" applyBorder="1" applyAlignment="1">
      <alignment horizontal="left" vertical="center"/>
    </xf>
    <xf numFmtId="0" fontId="34" fillId="0" borderId="0" xfId="0" applyFont="1" applyAlignment="1">
      <alignment horizontal="left" vertical="center"/>
    </xf>
    <xf numFmtId="0" fontId="34" fillId="0" borderId="165" xfId="0" applyFont="1" applyBorder="1" applyAlignment="1">
      <alignment horizontal="left" vertical="center"/>
    </xf>
    <xf numFmtId="0" fontId="34" fillId="0" borderId="228" xfId="0" applyFont="1" applyBorder="1" applyAlignment="1">
      <alignment horizontal="left" vertical="center"/>
    </xf>
    <xf numFmtId="0" fontId="34" fillId="0" borderId="166" xfId="0" applyFont="1" applyBorder="1" applyAlignment="1">
      <alignment horizontal="left" vertical="center"/>
    </xf>
    <xf numFmtId="0" fontId="34" fillId="0" borderId="167" xfId="0" applyFont="1" applyBorder="1" applyAlignment="1">
      <alignment horizontal="left" vertical="center"/>
    </xf>
    <xf numFmtId="0" fontId="91" fillId="0" borderId="50" xfId="0" applyFont="1" applyBorder="1" applyAlignment="1">
      <alignment horizontal="left" vertical="top" wrapText="1"/>
    </xf>
    <xf numFmtId="0" fontId="0" fillId="0" borderId="0" xfId="0" applyAlignment="1">
      <alignment horizontal="left" vertical="top" wrapText="1"/>
    </xf>
    <xf numFmtId="0" fontId="0" fillId="0" borderId="51" xfId="0" applyBorder="1" applyAlignment="1">
      <alignment horizontal="left" vertical="top" wrapText="1"/>
    </xf>
    <xf numFmtId="0" fontId="0" fillId="0" borderId="50" xfId="0" applyBorder="1" applyAlignment="1">
      <alignment horizontal="left" vertical="top" wrapText="1"/>
    </xf>
    <xf numFmtId="0" fontId="13" fillId="0" borderId="86" xfId="0" applyFont="1" applyBorder="1" applyAlignment="1">
      <alignment horizontal="center"/>
    </xf>
    <xf numFmtId="0" fontId="13" fillId="0" borderId="88" xfId="0" applyFont="1" applyBorder="1" applyAlignment="1">
      <alignment horizontal="center"/>
    </xf>
    <xf numFmtId="0" fontId="13" fillId="0" borderId="87" xfId="0" applyFont="1" applyBorder="1" applyAlignment="1">
      <alignment horizontal="center"/>
    </xf>
    <xf numFmtId="0" fontId="31" fillId="5" borderId="73" xfId="0" applyFont="1" applyFill="1" applyBorder="1" applyAlignment="1">
      <alignment horizontal="center" vertical="center"/>
    </xf>
    <xf numFmtId="0" fontId="31" fillId="5" borderId="74" xfId="0" applyFont="1" applyFill="1" applyBorder="1" applyAlignment="1">
      <alignment horizontal="center" vertical="center"/>
    </xf>
    <xf numFmtId="0" fontId="31" fillId="5" borderId="77" xfId="0" applyFont="1" applyFill="1" applyBorder="1" applyAlignment="1">
      <alignment horizontal="center" vertical="center"/>
    </xf>
    <xf numFmtId="0" fontId="13" fillId="0" borderId="83" xfId="0" applyFont="1" applyBorder="1" applyAlignment="1">
      <alignment horizontal="center"/>
    </xf>
    <xf numFmtId="0" fontId="13" fillId="0" borderId="85" xfId="0" applyFont="1" applyBorder="1" applyAlignment="1">
      <alignment horizontal="center"/>
    </xf>
    <xf numFmtId="0" fontId="13" fillId="0" borderId="84" xfId="0" applyFont="1" applyBorder="1" applyAlignment="1">
      <alignment horizontal="center"/>
    </xf>
    <xf numFmtId="10" fontId="13" fillId="0" borderId="83" xfId="16" applyNumberFormat="1" applyFont="1" applyBorder="1" applyAlignment="1">
      <alignment horizontal="center"/>
    </xf>
    <xf numFmtId="10" fontId="13" fillId="0" borderId="85" xfId="16" applyNumberFormat="1" applyFont="1" applyBorder="1" applyAlignment="1">
      <alignment horizontal="center"/>
    </xf>
    <xf numFmtId="10" fontId="13" fillId="0" borderId="84" xfId="16" applyNumberFormat="1" applyFont="1" applyBorder="1" applyAlignment="1">
      <alignment horizontal="center"/>
    </xf>
    <xf numFmtId="0" fontId="13" fillId="14" borderId="73" xfId="0" applyFont="1" applyFill="1" applyBorder="1" applyAlignment="1">
      <alignment horizontal="center"/>
    </xf>
    <xf numFmtId="0" fontId="13" fillId="14" borderId="74" xfId="0" applyFont="1" applyFill="1" applyBorder="1" applyAlignment="1">
      <alignment horizontal="center"/>
    </xf>
    <xf numFmtId="0" fontId="13" fillId="14" borderId="75" xfId="0" applyFont="1" applyFill="1" applyBorder="1" applyAlignment="1">
      <alignment horizontal="center"/>
    </xf>
    <xf numFmtId="0" fontId="13" fillId="24" borderId="78" xfId="0" applyFont="1" applyFill="1" applyBorder="1" applyAlignment="1">
      <alignment horizontal="center"/>
    </xf>
    <xf numFmtId="0" fontId="13" fillId="24" borderId="79" xfId="0" applyFont="1" applyFill="1" applyBorder="1" applyAlignment="1">
      <alignment horizontal="center"/>
    </xf>
    <xf numFmtId="0" fontId="10" fillId="0" borderId="83" xfId="11" applyBorder="1" applyAlignment="1" applyProtection="1">
      <alignment horizontal="center"/>
    </xf>
    <xf numFmtId="0" fontId="10" fillId="0" borderId="84" xfId="11" applyBorder="1" applyAlignment="1" applyProtection="1">
      <alignment horizontal="center"/>
    </xf>
    <xf numFmtId="0" fontId="31" fillId="5" borderId="73" xfId="0" applyFont="1" applyFill="1" applyBorder="1" applyAlignment="1">
      <alignment horizontal="center"/>
    </xf>
    <xf numFmtId="0" fontId="31" fillId="5" borderId="74" xfId="0" applyFont="1" applyFill="1" applyBorder="1" applyAlignment="1">
      <alignment horizontal="center"/>
    </xf>
    <xf numFmtId="0" fontId="31" fillId="5" borderId="75" xfId="0" applyFont="1" applyFill="1" applyBorder="1" applyAlignment="1">
      <alignment horizontal="center"/>
    </xf>
    <xf numFmtId="0" fontId="0" fillId="0" borderId="83" xfId="0" applyBorder="1" applyAlignment="1">
      <alignment horizontal="center" vertical="center"/>
    </xf>
    <xf numFmtId="0" fontId="0" fillId="0" borderId="84" xfId="0" applyBorder="1" applyAlignment="1">
      <alignment horizontal="center" vertical="center"/>
    </xf>
    <xf numFmtId="0" fontId="13" fillId="24" borderId="80" xfId="0" applyFont="1" applyFill="1" applyBorder="1" applyAlignment="1">
      <alignment horizontal="center"/>
    </xf>
    <xf numFmtId="0" fontId="13" fillId="24" borderId="81" xfId="0" applyFont="1" applyFill="1" applyBorder="1" applyAlignment="1">
      <alignment horizontal="center"/>
    </xf>
    <xf numFmtId="0" fontId="13" fillId="24" borderId="82" xfId="0" applyFont="1" applyFill="1" applyBorder="1" applyAlignment="1">
      <alignment horizontal="center"/>
    </xf>
    <xf numFmtId="10" fontId="13" fillId="0" borderId="86" xfId="16" applyNumberFormat="1" applyFont="1" applyBorder="1" applyAlignment="1">
      <alignment horizontal="center"/>
    </xf>
    <xf numFmtId="10" fontId="13" fillId="0" borderId="88" xfId="16" applyNumberFormat="1" applyFont="1" applyBorder="1" applyAlignment="1">
      <alignment horizontal="center"/>
    </xf>
    <xf numFmtId="10" fontId="13" fillId="0" borderId="87" xfId="16" applyNumberFormat="1" applyFont="1" applyBorder="1" applyAlignment="1">
      <alignment horizontal="center"/>
    </xf>
    <xf numFmtId="0" fontId="9" fillId="0" borderId="73" xfId="0" applyFont="1" applyBorder="1" applyAlignment="1">
      <alignment horizontal="center" vertical="center"/>
    </xf>
    <xf numFmtId="0" fontId="9" fillId="0" borderId="75" xfId="0" applyFont="1" applyBorder="1" applyAlignment="1">
      <alignment horizontal="center" vertical="center"/>
    </xf>
    <xf numFmtId="0" fontId="0" fillId="0" borderId="86" xfId="0" applyBorder="1" applyAlignment="1">
      <alignment horizontal="center" vertical="center"/>
    </xf>
    <xf numFmtId="0" fontId="0" fillId="0" borderId="87" xfId="0" applyBorder="1" applyAlignment="1">
      <alignment horizontal="center" vertical="center"/>
    </xf>
    <xf numFmtId="0" fontId="44" fillId="0" borderId="83" xfId="0" applyFont="1" applyBorder="1" applyAlignment="1">
      <alignment horizontal="center"/>
    </xf>
    <xf numFmtId="0" fontId="44" fillId="0" borderId="84" xfId="0" applyFont="1" applyBorder="1" applyAlignment="1">
      <alignment horizontal="center"/>
    </xf>
    <xf numFmtId="0" fontId="8" fillId="0" borderId="83" xfId="0" applyFont="1" applyBorder="1" applyAlignment="1">
      <alignment horizontal="center" wrapText="1"/>
    </xf>
    <xf numFmtId="0" fontId="8" fillId="0" borderId="85" xfId="0" applyFont="1" applyBorder="1" applyAlignment="1">
      <alignment horizontal="center" wrapText="1"/>
    </xf>
    <xf numFmtId="0" fontId="8" fillId="0" borderId="84" xfId="0" applyFont="1" applyBorder="1" applyAlignment="1">
      <alignment horizontal="center" wrapText="1"/>
    </xf>
    <xf numFmtId="0" fontId="31" fillId="5" borderId="50" xfId="0" applyFont="1" applyFill="1" applyBorder="1" applyAlignment="1">
      <alignment horizontal="center"/>
    </xf>
    <xf numFmtId="0" fontId="31" fillId="5" borderId="0" xfId="0" applyFont="1" applyFill="1" applyAlignment="1">
      <alignment horizontal="center"/>
    </xf>
    <xf numFmtId="0" fontId="31" fillId="5" borderId="51" xfId="0" applyFont="1" applyFill="1" applyBorder="1" applyAlignment="1">
      <alignment horizontal="center"/>
    </xf>
    <xf numFmtId="0" fontId="46" fillId="5" borderId="0" xfId="0" applyFont="1" applyFill="1" applyAlignment="1">
      <alignment horizontal="center"/>
    </xf>
    <xf numFmtId="0" fontId="31" fillId="18" borderId="50" xfId="0" applyFont="1" applyFill="1" applyBorder="1" applyAlignment="1">
      <alignment horizontal="center"/>
    </xf>
    <xf numFmtId="0" fontId="31" fillId="18" borderId="0" xfId="0" applyFont="1" applyFill="1" applyAlignment="1">
      <alignment horizontal="center"/>
    </xf>
    <xf numFmtId="0" fontId="46" fillId="5" borderId="68" xfId="0" applyFont="1" applyFill="1" applyBorder="1" applyAlignment="1">
      <alignment horizontal="center"/>
    </xf>
    <xf numFmtId="0" fontId="46" fillId="5" borderId="69" xfId="0" applyFont="1" applyFill="1" applyBorder="1" applyAlignment="1">
      <alignment horizontal="center"/>
    </xf>
    <xf numFmtId="0" fontId="8" fillId="0" borderId="99" xfId="0" applyFont="1" applyBorder="1" applyAlignment="1">
      <alignment horizontal="center" vertical="center" wrapText="1"/>
    </xf>
    <xf numFmtId="0" fontId="0" fillId="0" borderId="40" xfId="0" applyBorder="1" applyAlignment="1">
      <alignment horizontal="center" vertical="center" wrapText="1"/>
    </xf>
    <xf numFmtId="0" fontId="34" fillId="0" borderId="99" xfId="0" applyFont="1" applyBorder="1" applyAlignment="1">
      <alignment horizontal="center" vertical="center" wrapText="1"/>
    </xf>
    <xf numFmtId="0" fontId="0" fillId="0" borderId="100" xfId="0" applyBorder="1" applyAlignment="1">
      <alignment horizontal="center" vertical="center" wrapText="1"/>
    </xf>
    <xf numFmtId="0" fontId="0" fillId="0" borderId="72" xfId="0" applyBorder="1" applyAlignment="1">
      <alignment horizontal="center" vertical="center" wrapText="1"/>
    </xf>
    <xf numFmtId="0" fontId="31" fillId="5" borderId="68" xfId="0" applyFont="1" applyFill="1" applyBorder="1" applyAlignment="1">
      <alignment horizontal="center"/>
    </xf>
    <xf numFmtId="0" fontId="31" fillId="5" borderId="69" xfId="0" applyFont="1" applyFill="1" applyBorder="1" applyAlignment="1">
      <alignment horizontal="center"/>
    </xf>
    <xf numFmtId="0" fontId="46" fillId="5" borderId="74" xfId="0" applyFont="1" applyFill="1" applyBorder="1" applyAlignment="1">
      <alignment horizontal="center"/>
    </xf>
    <xf numFmtId="0" fontId="46" fillId="5" borderId="75" xfId="0" applyFont="1" applyFill="1" applyBorder="1" applyAlignment="1">
      <alignment horizontal="center"/>
    </xf>
    <xf numFmtId="0" fontId="8" fillId="39" borderId="221" xfId="0" applyFont="1" applyFill="1" applyBorder="1" applyAlignment="1">
      <alignment horizontal="center" vertical="center" wrapText="1"/>
    </xf>
    <xf numFmtId="0" fontId="72" fillId="0" borderId="65" xfId="0" applyFont="1" applyBorder="1" applyAlignment="1">
      <alignment horizontal="center" vertical="center" wrapText="1"/>
    </xf>
    <xf numFmtId="0" fontId="72" fillId="0" borderId="222" xfId="0" applyFont="1" applyBorder="1" applyAlignment="1">
      <alignment horizontal="center" vertical="center" wrapText="1"/>
    </xf>
    <xf numFmtId="0" fontId="27" fillId="5" borderId="218" xfId="26" applyFont="1" applyFill="1" applyBorder="1" applyAlignment="1">
      <alignment horizontal="center" vertical="center"/>
    </xf>
    <xf numFmtId="0" fontId="27" fillId="5" borderId="219" xfId="26" applyFont="1" applyFill="1" applyBorder="1" applyAlignment="1">
      <alignment horizontal="center" vertical="center"/>
    </xf>
    <xf numFmtId="0" fontId="27" fillId="5" borderId="220" xfId="26" applyFont="1" applyFill="1" applyBorder="1" applyAlignment="1">
      <alignment horizontal="center" vertical="center"/>
    </xf>
    <xf numFmtId="0" fontId="8" fillId="45" borderId="221" xfId="0" applyFont="1" applyFill="1" applyBorder="1" applyAlignment="1">
      <alignment horizontal="center" vertical="center" wrapText="1"/>
    </xf>
    <xf numFmtId="0" fontId="8" fillId="44" borderId="221" xfId="0" applyFont="1" applyFill="1" applyBorder="1" applyAlignment="1">
      <alignment horizontal="center" vertical="center" wrapText="1"/>
    </xf>
    <xf numFmtId="0" fontId="8" fillId="44" borderId="223" xfId="0" applyFont="1" applyFill="1" applyBorder="1" applyAlignment="1">
      <alignment horizontal="center" vertical="center" wrapText="1"/>
    </xf>
    <xf numFmtId="0" fontId="72" fillId="0" borderId="224" xfId="0" applyFont="1" applyBorder="1" applyAlignment="1">
      <alignment horizontal="center" vertical="center" wrapText="1"/>
    </xf>
    <xf numFmtId="0" fontId="72" fillId="0" borderId="225" xfId="0" applyFont="1" applyBorder="1" applyAlignment="1">
      <alignment horizontal="center" vertical="center" wrapText="1"/>
    </xf>
    <xf numFmtId="0" fontId="88" fillId="0" borderId="114" xfId="0" applyFont="1" applyBorder="1" applyAlignment="1">
      <alignment horizontal="center" vertical="center" wrapText="1"/>
    </xf>
    <xf numFmtId="0" fontId="89" fillId="0" borderId="115" xfId="0" applyFont="1" applyBorder="1" applyAlignment="1">
      <alignment horizontal="center" vertical="center" wrapText="1"/>
    </xf>
    <xf numFmtId="0" fontId="50" fillId="5" borderId="65" xfId="0" applyFont="1" applyFill="1" applyBorder="1" applyAlignment="1">
      <alignment horizontal="center"/>
    </xf>
    <xf numFmtId="2" fontId="0" fillId="0" borderId="0" xfId="26" applyNumberFormat="1" applyFont="1" applyAlignment="1">
      <alignment horizontal="center"/>
    </xf>
    <xf numFmtId="0" fontId="16" fillId="18" borderId="116" xfId="1" applyFill="1" applyBorder="1" applyAlignment="1">
      <alignment horizontal="center" vertical="center" readingOrder="1"/>
    </xf>
    <xf numFmtId="0" fontId="53" fillId="18" borderId="116" xfId="26" applyFont="1" applyFill="1" applyBorder="1" applyAlignment="1">
      <alignment horizontal="center"/>
    </xf>
    <xf numFmtId="0" fontId="0" fillId="0" borderId="0" xfId="26" applyFont="1" applyAlignment="1">
      <alignment horizontal="center"/>
    </xf>
    <xf numFmtId="0" fontId="27" fillId="5" borderId="139" xfId="26" applyFont="1" applyFill="1" applyBorder="1" applyAlignment="1">
      <alignment horizontal="center" vertical="center"/>
    </xf>
    <xf numFmtId="0" fontId="27" fillId="5" borderId="30" xfId="26" applyFont="1" applyFill="1" applyBorder="1" applyAlignment="1">
      <alignment horizontal="center" vertical="center"/>
    </xf>
    <xf numFmtId="0" fontId="27" fillId="5" borderId="31" xfId="26" applyFont="1" applyFill="1" applyBorder="1" applyAlignment="1">
      <alignment horizontal="center" vertical="center"/>
    </xf>
    <xf numFmtId="0" fontId="29" fillId="0" borderId="140" xfId="26" applyFont="1" applyBorder="1" applyAlignment="1">
      <alignment horizontal="center" vertical="center" wrapText="1"/>
    </xf>
    <xf numFmtId="0" fontId="29" fillId="0" borderId="141" xfId="26" applyFont="1" applyBorder="1" applyAlignment="1">
      <alignment horizontal="center" vertical="center" wrapText="1"/>
    </xf>
    <xf numFmtId="0" fontId="29" fillId="0" borderId="142" xfId="26" applyFont="1" applyBorder="1" applyAlignment="1">
      <alignment horizontal="center" vertical="center" wrapText="1"/>
    </xf>
    <xf numFmtId="0" fontId="8" fillId="39" borderId="212" xfId="0" applyFont="1" applyFill="1" applyBorder="1" applyAlignment="1">
      <alignment horizontal="center"/>
    </xf>
    <xf numFmtId="0" fontId="8" fillId="39" borderId="213" xfId="0" applyFont="1" applyFill="1" applyBorder="1" applyAlignment="1">
      <alignment horizontal="center"/>
    </xf>
    <xf numFmtId="0" fontId="8" fillId="39" borderId="181" xfId="0" applyFont="1" applyFill="1" applyBorder="1" applyAlignment="1">
      <alignment horizontal="center"/>
    </xf>
    <xf numFmtId="0" fontId="65" fillId="0" borderId="3" xfId="29" applyFont="1" applyBorder="1" applyAlignment="1">
      <alignment horizontal="center" vertical="center"/>
    </xf>
    <xf numFmtId="0" fontId="65" fillId="0" borderId="2" xfId="29" applyFont="1" applyBorder="1" applyAlignment="1">
      <alignment horizontal="center" vertical="center"/>
    </xf>
    <xf numFmtId="0" fontId="55" fillId="36" borderId="0" xfId="0" applyFont="1" applyFill="1" applyAlignment="1">
      <alignment horizontal="left" vertical="center"/>
    </xf>
    <xf numFmtId="0" fontId="55" fillId="36" borderId="144" xfId="0" applyFont="1" applyFill="1" applyBorder="1" applyAlignment="1">
      <alignment horizontal="left" vertical="center"/>
    </xf>
    <xf numFmtId="0" fontId="56" fillId="0" borderId="3" xfId="0" applyFont="1" applyBorder="1" applyAlignment="1">
      <alignment horizontal="center" vertical="center"/>
    </xf>
    <xf numFmtId="0" fontId="56" fillId="0" borderId="4" xfId="0" applyFont="1" applyBorder="1" applyAlignment="1">
      <alignment horizontal="center" vertical="center"/>
    </xf>
    <xf numFmtId="0" fontId="56" fillId="0" borderId="2" xfId="0" applyFont="1" applyBorder="1" applyAlignment="1">
      <alignment horizontal="center" vertical="center"/>
    </xf>
    <xf numFmtId="0" fontId="56" fillId="0" borderId="132" xfId="0" applyFont="1" applyBorder="1" applyAlignment="1">
      <alignment horizontal="center" vertical="center" wrapText="1"/>
    </xf>
    <xf numFmtId="0" fontId="56" fillId="0" borderId="129" xfId="0" applyFont="1" applyBorder="1" applyAlignment="1">
      <alignment horizontal="center" vertical="center" wrapText="1"/>
    </xf>
    <xf numFmtId="0" fontId="61" fillId="28" borderId="131" xfId="0" applyFont="1" applyFill="1" applyBorder="1" applyAlignment="1">
      <alignment horizontal="center"/>
    </xf>
    <xf numFmtId="0" fontId="61" fillId="28" borderId="0" xfId="0" applyFont="1" applyFill="1" applyAlignment="1">
      <alignment horizontal="center"/>
    </xf>
    <xf numFmtId="0" fontId="61" fillId="28" borderId="143" xfId="0" applyFont="1" applyFill="1" applyBorder="1" applyAlignment="1">
      <alignment horizontal="center"/>
    </xf>
    <xf numFmtId="0" fontId="61" fillId="28" borderId="127" xfId="0" applyFont="1" applyFill="1" applyBorder="1" applyAlignment="1">
      <alignment horizontal="center"/>
    </xf>
    <xf numFmtId="0" fontId="61" fillId="28" borderId="195" xfId="0" applyFont="1" applyFill="1" applyBorder="1" applyAlignment="1">
      <alignment horizontal="center"/>
    </xf>
    <xf numFmtId="0" fontId="54" fillId="12" borderId="212" xfId="0" applyFont="1" applyFill="1" applyBorder="1" applyAlignment="1">
      <alignment horizontal="center"/>
    </xf>
    <xf numFmtId="0" fontId="54" fillId="12" borderId="213" xfId="0" applyFont="1" applyFill="1" applyBorder="1" applyAlignment="1">
      <alignment horizontal="center"/>
    </xf>
    <xf numFmtId="0" fontId="54" fillId="12" borderId="250" xfId="0" applyFont="1" applyFill="1" applyBorder="1" applyAlignment="1">
      <alignment horizontal="center"/>
    </xf>
    <xf numFmtId="0" fontId="54" fillId="12" borderId="41" xfId="0" applyFont="1" applyFill="1" applyBorder="1" applyAlignment="1">
      <alignment horizontal="center"/>
    </xf>
    <xf numFmtId="0" fontId="54" fillId="39" borderId="212" xfId="0" applyFont="1" applyFill="1" applyBorder="1" applyAlignment="1">
      <alignment horizontal="center"/>
    </xf>
    <xf numFmtId="0" fontId="54" fillId="39" borderId="213" xfId="0" applyFont="1" applyFill="1" applyBorder="1" applyAlignment="1">
      <alignment horizontal="center"/>
    </xf>
    <xf numFmtId="0" fontId="54" fillId="39" borderId="160" xfId="0" applyFont="1" applyFill="1" applyBorder="1" applyAlignment="1">
      <alignment horizontal="center"/>
    </xf>
    <xf numFmtId="0" fontId="54" fillId="39" borderId="152" xfId="0" applyFont="1" applyFill="1" applyBorder="1" applyAlignment="1">
      <alignment horizontal="center"/>
    </xf>
    <xf numFmtId="0" fontId="56" fillId="0" borderId="129" xfId="0" applyFont="1" applyBorder="1" applyAlignment="1">
      <alignment horizontal="center" vertical="center"/>
    </xf>
    <xf numFmtId="0" fontId="56" fillId="0" borderId="132" xfId="0" applyFont="1" applyBorder="1" applyAlignment="1">
      <alignment horizontal="center" vertical="center"/>
    </xf>
    <xf numFmtId="0" fontId="56" fillId="0" borderId="214" xfId="0" applyFont="1" applyBorder="1" applyAlignment="1">
      <alignment horizontal="center" vertical="center"/>
    </xf>
    <xf numFmtId="0" fontId="56" fillId="0" borderId="171" xfId="0" applyFont="1" applyBorder="1" applyAlignment="1">
      <alignment horizontal="center" vertical="center"/>
    </xf>
    <xf numFmtId="0" fontId="56" fillId="0" borderId="121" xfId="0" applyFont="1" applyBorder="1" applyAlignment="1">
      <alignment horizontal="center" vertical="center"/>
    </xf>
    <xf numFmtId="179" fontId="8" fillId="0" borderId="44" xfId="16" applyNumberFormat="1" applyFont="1" applyBorder="1" applyAlignment="1">
      <alignment horizontal="center"/>
    </xf>
    <xf numFmtId="179" fontId="0" fillId="0" borderId="45" xfId="16" applyNumberFormat="1" applyFont="1" applyBorder="1" applyAlignment="1">
      <alignment horizontal="center"/>
    </xf>
    <xf numFmtId="179" fontId="0" fillId="0" borderId="44" xfId="16" applyNumberFormat="1" applyFont="1" applyBorder="1" applyAlignment="1">
      <alignment horizontal="center"/>
    </xf>
    <xf numFmtId="0" fontId="0" fillId="17" borderId="46" xfId="0" applyFill="1" applyBorder="1" applyAlignment="1">
      <alignment horizontal="center"/>
    </xf>
    <xf numFmtId="9" fontId="0" fillId="0" borderId="46" xfId="0" applyNumberFormat="1" applyBorder="1" applyAlignment="1">
      <alignment horizontal="center"/>
    </xf>
    <xf numFmtId="0" fontId="0" fillId="0" borderId="46" xfId="0" applyBorder="1" applyAlignment="1">
      <alignment horizontal="center"/>
    </xf>
    <xf numFmtId="10" fontId="8" fillId="0" borderId="46" xfId="0" applyNumberFormat="1" applyFont="1" applyBorder="1" applyAlignment="1">
      <alignment horizontal="center"/>
    </xf>
    <xf numFmtId="0" fontId="13" fillId="17" borderId="44" xfId="0" applyFont="1" applyFill="1" applyBorder="1" applyAlignment="1">
      <alignment horizontal="left"/>
    </xf>
    <xf numFmtId="0" fontId="13" fillId="17" borderId="1" xfId="0" applyFont="1" applyFill="1" applyBorder="1" applyAlignment="1">
      <alignment horizontal="left"/>
    </xf>
    <xf numFmtId="0" fontId="13" fillId="0" borderId="0" xfId="0" applyFont="1" applyAlignment="1">
      <alignment horizontal="center"/>
    </xf>
    <xf numFmtId="0" fontId="0" fillId="0" borderId="34" xfId="0" applyBorder="1" applyAlignment="1">
      <alignment horizontal="left"/>
    </xf>
    <xf numFmtId="0" fontId="0" fillId="0" borderId="5" xfId="0" applyBorder="1" applyAlignment="1">
      <alignment horizontal="left"/>
    </xf>
    <xf numFmtId="0" fontId="0" fillId="0" borderId="44" xfId="0" applyBorder="1" applyAlignment="1">
      <alignment horizontal="left"/>
    </xf>
    <xf numFmtId="0" fontId="0" fillId="0" borderId="1" xfId="0" applyBorder="1" applyAlignment="1">
      <alignment horizontal="left"/>
    </xf>
    <xf numFmtId="0" fontId="8" fillId="0" borderId="44" xfId="0" applyFont="1" applyBorder="1" applyAlignment="1">
      <alignment horizontal="left"/>
    </xf>
    <xf numFmtId="10" fontId="13" fillId="0" borderId="46" xfId="0" applyNumberFormat="1" applyFont="1" applyBorder="1" applyAlignment="1">
      <alignment horizontal="center"/>
    </xf>
    <xf numFmtId="0" fontId="13" fillId="0" borderId="46" xfId="0" applyFont="1" applyBorder="1" applyAlignment="1">
      <alignment horizontal="center"/>
    </xf>
    <xf numFmtId="179" fontId="8" fillId="0" borderId="45" xfId="16" applyNumberFormat="1" applyFont="1" applyBorder="1" applyAlignment="1">
      <alignment horizontal="center"/>
    </xf>
    <xf numFmtId="0" fontId="77" fillId="7" borderId="0" xfId="0" applyFont="1" applyFill="1" applyAlignment="1">
      <alignment horizontal="center"/>
    </xf>
    <xf numFmtId="0" fontId="43" fillId="0" borderId="0" xfId="0" applyFont="1" applyAlignment="1">
      <alignment horizontal="center"/>
    </xf>
    <xf numFmtId="0" fontId="9" fillId="0" borderId="0" xfId="0" applyFont="1" applyAlignment="1">
      <alignment horizontal="center"/>
    </xf>
    <xf numFmtId="0" fontId="39" fillId="0" borderId="0" xfId="0" applyFont="1" applyAlignment="1">
      <alignment horizontal="center"/>
    </xf>
    <xf numFmtId="0" fontId="13" fillId="0" borderId="3" xfId="0" applyFont="1" applyBorder="1" applyAlignment="1">
      <alignment horizontal="center"/>
    </xf>
    <xf numFmtId="0" fontId="13" fillId="0" borderId="2" xfId="0" applyFont="1" applyBorder="1" applyAlignment="1">
      <alignment horizontal="center"/>
    </xf>
    <xf numFmtId="0" fontId="13" fillId="0" borderId="34" xfId="0" applyFont="1" applyBorder="1" applyAlignment="1">
      <alignment horizontal="center"/>
    </xf>
    <xf numFmtId="0" fontId="13" fillId="0" borderId="5" xfId="0" applyFont="1" applyBorder="1" applyAlignment="1">
      <alignment horizontal="center"/>
    </xf>
    <xf numFmtId="0" fontId="13" fillId="0" borderId="35" xfId="0" applyFont="1" applyBorder="1" applyAlignment="1">
      <alignment horizontal="center"/>
    </xf>
    <xf numFmtId="0" fontId="35" fillId="19" borderId="0" xfId="0" applyFont="1" applyFill="1" applyAlignment="1">
      <alignment horizontal="center"/>
    </xf>
    <xf numFmtId="4" fontId="35" fillId="19" borderId="0" xfId="0" applyNumberFormat="1" applyFont="1" applyFill="1" applyAlignment="1">
      <alignment horizontal="center"/>
    </xf>
    <xf numFmtId="0" fontId="35" fillId="0" borderId="0" xfId="0" applyFont="1" applyAlignment="1">
      <alignment horizontal="center"/>
    </xf>
    <xf numFmtId="0" fontId="23" fillId="0" borderId="0" xfId="0" applyFont="1" applyAlignment="1">
      <alignment horizontal="center"/>
    </xf>
    <xf numFmtId="0" fontId="0" fillId="0" borderId="10" xfId="0" applyBorder="1" applyAlignment="1"/>
  </cellXfs>
  <cellStyles count="34">
    <cellStyle name="blp_title_header_row_left" xfId="1" xr:uid="{00000000-0005-0000-0000-000000000000}"/>
    <cellStyle name="fa_column_header_bottom_left 2" xfId="2" xr:uid="{00000000-0005-0000-0000-000001000000}"/>
    <cellStyle name="fa_column_header_top 2" xfId="3" xr:uid="{00000000-0005-0000-0000-000002000000}"/>
    <cellStyle name="fa_column_header_top_left 2" xfId="4" xr:uid="{00000000-0005-0000-0000-000003000000}"/>
    <cellStyle name="fa_data_bold_0_grouped" xfId="5" xr:uid="{00000000-0005-0000-0000-000004000000}"/>
    <cellStyle name="fa_data_standard_1_grouped" xfId="6" xr:uid="{00000000-0005-0000-0000-000005000000}"/>
    <cellStyle name="fa_data_standard_2_grouped" xfId="7" xr:uid="{00000000-0005-0000-0000-000006000000}"/>
    <cellStyle name="fa_footer_italic" xfId="8" xr:uid="{00000000-0005-0000-0000-000007000000}"/>
    <cellStyle name="fa_row_header_bold 2" xfId="9" xr:uid="{00000000-0005-0000-0000-000008000000}"/>
    <cellStyle name="fa_row_header_standard 2" xfId="10" xr:uid="{00000000-0005-0000-0000-000009000000}"/>
    <cellStyle name="Moneda 2" xfId="12" xr:uid="{00000000-0005-0000-0000-00000B000000}"/>
    <cellStyle name="Moneda 2 2" xfId="13" xr:uid="{00000000-0005-0000-0000-00000C000000}"/>
    <cellStyle name="Normal 2" xfId="14" xr:uid="{00000000-0005-0000-0000-00000E000000}"/>
    <cellStyle name="Normal 2 2" xfId="15" xr:uid="{00000000-0005-0000-0000-00000F000000}"/>
    <cellStyle name="Normal 2 3" xfId="20" xr:uid="{00000000-0005-0000-0000-000010000000}"/>
    <cellStyle name="Normal 2 3 2" xfId="27" xr:uid="{6A4611F8-31D7-4EA6-B27B-70EB4E34E8FD}"/>
    <cellStyle name="Normal 2 4" xfId="21" xr:uid="{DBC68614-B0BC-4348-8A0D-C96562B201CF}"/>
    <cellStyle name="Normal 3" xfId="24" xr:uid="{371B90F0-6B8E-40BF-8358-D28B574437C9}"/>
    <cellStyle name="Normal 3 2" xfId="26" xr:uid="{41BD78A2-6B23-4ADD-839D-9D86F14E11A2}"/>
    <cellStyle name="Normal 3 3" xfId="29" xr:uid="{4CBFF9A4-05AD-4A91-8AF0-FA0B5B39E2EC}"/>
    <cellStyle name="Normal 5" xfId="30" xr:uid="{E3BE1569-E214-4855-8BF5-B868B88B5743}"/>
    <cellStyle name="Normal 9" xfId="33" xr:uid="{CACD4D4E-2C7F-4816-9692-26D0FDD559DC}"/>
    <cellStyle name="Porcentaje 2" xfId="17" xr:uid="{00000000-0005-0000-0000-000012000000}"/>
    <cellStyle name="Porcentaje 2 2" xfId="18" xr:uid="{00000000-0005-0000-0000-000013000000}"/>
    <cellStyle name="Porcentaje 2 2 2" xfId="25" xr:uid="{924DB8B0-6B9C-4A78-9CB6-7EC8F42C7C6B}"/>
    <cellStyle name="Porcentaje 2 3" xfId="23" xr:uid="{1FF2580F-E450-433A-8AB5-6E1CABCA8FC9}"/>
    <cellStyle name="Porcentaje 2 4" xfId="28" xr:uid="{3D812F63-E4F6-4F6D-A613-EF79E76ACE35}"/>
    <cellStyle name="Porcentaje 3" xfId="19" xr:uid="{00000000-0005-0000-0000-000014000000}"/>
    <cellStyle name="Porcentaje 3 2" xfId="22" xr:uid="{59E732CE-B697-4AF7-8CEE-0C42EB60E78B}"/>
    <cellStyle name="Porcentaje 4 2" xfId="32" xr:uid="{C6A0E8B8-33DC-4334-89A4-99FF669E5EA8}"/>
    <cellStyle name="Porcentaje 5" xfId="31" xr:uid="{F07CEC0B-CE59-4BBC-A0C7-9B77A84167BF}"/>
    <cellStyle name="百分比" xfId="16" builtinId="5"/>
    <cellStyle name="常规" xfId="0" builtinId="0"/>
    <cellStyle name="超链接" xfId="11" builtinId="8"/>
  </cellStyles>
  <dxfs count="34">
    <dxf>
      <fill>
        <patternFill>
          <bgColor rgb="FF00B050"/>
        </patternFill>
      </fill>
    </dxf>
    <dxf>
      <fill>
        <patternFill>
          <bgColor rgb="FFFF0000"/>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ill>
        <patternFill patternType="solid">
          <bgColor rgb="FF00B050"/>
        </patternFill>
      </fill>
    </dxf>
    <dxf>
      <fill>
        <patternFill patternType="solid">
          <bgColor rgb="FFFF0000"/>
        </patternFill>
      </fill>
    </dxf>
    <dxf>
      <fill>
        <patternFill patternType="solid">
          <bgColor rgb="FF00B050"/>
        </patternFill>
      </fill>
    </dxf>
    <dxf>
      <fill>
        <patternFill patternType="solid">
          <bgColor rgb="FFFF0000"/>
        </patternFill>
      </fill>
    </dxf>
    <dxf>
      <font>
        <color theme="0" tint="-0.499984740745262"/>
      </font>
      <fill>
        <patternFill>
          <bgColor theme="0" tint="-0.499984740745262"/>
        </patternFill>
      </fill>
    </dxf>
  </dxfs>
  <tableStyles count="1" defaultTableStyle="TableStyleMedium9" defaultPivotStyle="PivotStyleLight16">
    <tableStyle name="Invisible" pivot="0" table="0" count="0" xr9:uid="{7B8256E5-5961-45BC-8E74-75040304E975}"/>
  </tableStyles>
  <colors>
    <mruColors>
      <color rgb="FFC5D9F1"/>
      <color rgb="FF1B7087"/>
      <color rgb="FF1F497D"/>
      <color rgb="FF3174C5"/>
      <color rgb="FF63CB97"/>
      <color rgb="FFFF3399"/>
      <color rgb="FFE838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ichStyles" Target="richData/richStyles.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Structure" Target="richData/rdrichvaluestructure.xml"/><Relationship Id="rId25" Type="http://schemas.openxmlformats.org/officeDocument/2006/relationships/customXml" Target="../customXml/item2.xml"/><Relationship Id="rId2" Type="http://schemas.openxmlformats.org/officeDocument/2006/relationships/worksheet" Target="worksheets/sheet2.xml"/><Relationship Id="rId16" Type="http://schemas.microsoft.com/office/2017/06/relationships/rdRichValue" Target="richData/rdrichvalue.xml"/><Relationship Id="rId20" Type="http://schemas.microsoft.com/office/2017/06/relationships/rdSupportingPropertyBag" Target="richData/rdsupporting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17/06/relationships/rdSupportingPropertyBagStructure" Target="richData/rdsupportingpropertybag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Regions</a:t>
            </a:r>
            <a:r>
              <a:rPr lang="pt-PT" baseline="0"/>
              <a:t> 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3-532A-494D-9DB6-BB02CB70E2B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532A-494D-9DB6-BB02CB70E2B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7-532A-494D-9DB6-BB02CB70E2B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9-532A-494D-9DB6-BB02CB70E2B6}"/>
              </c:ext>
            </c:extLst>
          </c:dPt>
          <c:cat>
            <c:strRef>
              <c:extLst>
                <c:ext xmlns:c15="http://schemas.microsoft.com/office/drawing/2012/chart" uri="{02D57815-91ED-43cb-92C2-25804820EDAC}">
                  <c15:fullRef>
                    <c15:sqref>Segments!$C$4:$C$8</c15:sqref>
                  </c15:fullRef>
                </c:ext>
              </c:extLst>
              <c:f>Segments!$C$5:$C$8</c:f>
              <c:strCache>
                <c:ptCount val="4"/>
                <c:pt idx="0">
                  <c:v>United States and Canada (UCAN)</c:v>
                </c:pt>
                <c:pt idx="1">
                  <c:v>Europe, Middle East and Africa (EMEA)</c:v>
                </c:pt>
                <c:pt idx="2">
                  <c:v>Latin America (LATAM)</c:v>
                </c:pt>
                <c:pt idx="3">
                  <c:v>Asia-Pacific (APAC)</c:v>
                </c:pt>
              </c:strCache>
            </c:strRef>
          </c:cat>
          <c:val>
            <c:numRef>
              <c:extLst>
                <c:ext xmlns:c15="http://schemas.microsoft.com/office/drawing/2012/chart" uri="{02D57815-91ED-43cb-92C2-25804820EDAC}">
                  <c15:fullRef>
                    <c15:sqref>Segments!$D$4:$D$8</c15:sqref>
                  </c15:fullRef>
                </c:ext>
              </c:extLst>
              <c:f>Segments!$D$5:$D$8</c:f>
              <c:numCache>
                <c:formatCode>"$"#,##0</c:formatCode>
                <c:ptCount val="4"/>
                <c:pt idx="0">
                  <c:v>14957</c:v>
                </c:pt>
                <c:pt idx="1">
                  <c:v>10556</c:v>
                </c:pt>
                <c:pt idx="2">
                  <c:v>4446</c:v>
                </c:pt>
                <c:pt idx="3">
                  <c:v>3764</c:v>
                </c:pt>
              </c:numCache>
            </c:numRef>
          </c:val>
          <c:extLst>
            <c:ext xmlns:c15="http://schemas.microsoft.com/office/drawing/2012/chart" uri="{02D57815-91ED-43cb-92C2-25804820EDAC}">
              <c15:categoryFilterExceptions>
                <c15:categoryFilterException>
                  <c15:sqref>Segments!$D$4</c15:sqref>
                  <c15:spPr xmlns:c15="http://schemas.microsoft.com/office/drawing/2012/chart">
                    <a:solidFill>
                      <a:schemeClr val="accent1"/>
                    </a:solidFill>
                    <a:ln w="19050">
                      <a:solidFill>
                        <a:schemeClr val="lt1"/>
                      </a:solidFill>
                    </a:ln>
                    <a:effectLst/>
                  </c15:spPr>
                  <c15:bubble3D val="0"/>
                </c15:categoryFilterException>
              </c15:categoryFilterExceptions>
            </c:ext>
            <c:ext xmlns:c16="http://schemas.microsoft.com/office/drawing/2014/chart" uri="{C3380CC4-5D6E-409C-BE32-E72D297353CC}">
              <c16:uniqueId val="{00000000-8819-4966-B9AC-17F8E337D84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Peers!$C$7</c:f>
              <c:strCache>
                <c:ptCount val="1"/>
                <c:pt idx="0">
                  <c:v>NETFLIX, INC. (XNAS:NFLX)</c:v>
                </c:pt>
              </c:strCache>
            </c:strRef>
          </c:tx>
          <c:spPr>
            <a:ln w="25400" cap="rnd">
              <a:noFill/>
              <a:round/>
            </a:ln>
            <a:effectLst/>
          </c:spPr>
          <c:marker>
            <c:symbol val="circle"/>
            <c:size val="5"/>
            <c:spPr>
              <a:solidFill>
                <a:schemeClr val="accent1"/>
              </a:solidFill>
              <a:ln w="9525">
                <a:solidFill>
                  <a:schemeClr val="accent1"/>
                </a:solidFill>
              </a:ln>
              <a:effectLst/>
            </c:spPr>
          </c:marker>
          <c:xVal>
            <c:numRef>
              <c:f>Peers!$C$20</c:f>
              <c:numCache>
                <c:formatCode>0.00</c:formatCode>
                <c:ptCount val="1"/>
                <c:pt idx="0">
                  <c:v>0.43862136942482671</c:v>
                </c:pt>
              </c:numCache>
            </c:numRef>
          </c:xVal>
          <c:yVal>
            <c:numRef>
              <c:f>Peers!$C$36</c:f>
              <c:numCache>
                <c:formatCode>0.0</c:formatCode>
                <c:ptCount val="1"/>
                <c:pt idx="0">
                  <c:v>16.703385877033519</c:v>
                </c:pt>
              </c:numCache>
            </c:numRef>
          </c:yVal>
          <c:smooth val="0"/>
          <c:extLst>
            <c:ext xmlns:c16="http://schemas.microsoft.com/office/drawing/2014/chart" uri="{C3380CC4-5D6E-409C-BE32-E72D297353CC}">
              <c16:uniqueId val="{00000001-B547-4DF9-892F-3129917FB3B3}"/>
            </c:ext>
          </c:extLst>
        </c:ser>
        <c:ser>
          <c:idx val="1"/>
          <c:order val="1"/>
          <c:tx>
            <c:strRef>
              <c:f>Peers!$D$7</c:f>
              <c:strCache>
                <c:ptCount val="1"/>
                <c:pt idx="0">
                  <c:v>THE WALT DISNEY COMPANY (XNYS:DIS)</c:v>
                </c:pt>
              </c:strCache>
            </c:strRef>
          </c:tx>
          <c:spPr>
            <a:ln w="25400" cap="rnd">
              <a:noFill/>
              <a:round/>
            </a:ln>
            <a:effectLst/>
          </c:spPr>
          <c:marker>
            <c:symbol val="circle"/>
            <c:size val="5"/>
            <c:spPr>
              <a:solidFill>
                <a:schemeClr val="accent2"/>
              </a:solidFill>
              <a:ln w="9525">
                <a:solidFill>
                  <a:schemeClr val="accent2"/>
                </a:solidFill>
              </a:ln>
              <a:effectLst/>
            </c:spPr>
          </c:marker>
          <c:xVal>
            <c:numRef>
              <c:f>Peers!$D$20</c:f>
              <c:numCache>
                <c:formatCode>0.00</c:formatCode>
                <c:ptCount val="1"/>
                <c:pt idx="0">
                  <c:v>2.7036868801574685</c:v>
                </c:pt>
              </c:numCache>
            </c:numRef>
          </c:xVal>
          <c:yVal>
            <c:numRef>
              <c:f>Peers!$D$36</c:f>
              <c:numCache>
                <c:formatCode>0.0</c:formatCode>
                <c:ptCount val="1"/>
                <c:pt idx="0">
                  <c:v>16.535222528578998</c:v>
                </c:pt>
              </c:numCache>
            </c:numRef>
          </c:yVal>
          <c:smooth val="0"/>
          <c:extLst>
            <c:ext xmlns:c16="http://schemas.microsoft.com/office/drawing/2014/chart" uri="{C3380CC4-5D6E-409C-BE32-E72D297353CC}">
              <c16:uniqueId val="{00000002-B547-4DF9-892F-3129917FB3B3}"/>
            </c:ext>
          </c:extLst>
        </c:ser>
        <c:ser>
          <c:idx val="2"/>
          <c:order val="2"/>
          <c:tx>
            <c:strRef>
              <c:f>Peers!$E$7</c:f>
              <c:strCache>
                <c:ptCount val="1"/>
                <c:pt idx="0">
                  <c:v>WARNER BROS. DISCOVERY, INC. (XNAS:WBD)</c:v>
                </c:pt>
              </c:strCache>
            </c:strRef>
          </c:tx>
          <c:spPr>
            <a:ln w="25400" cap="rnd">
              <a:noFill/>
              <a:round/>
            </a:ln>
            <a:effectLst/>
          </c:spPr>
          <c:marker>
            <c:symbol val="circle"/>
            <c:size val="5"/>
            <c:spPr>
              <a:solidFill>
                <a:schemeClr val="accent3"/>
              </a:solidFill>
              <a:ln w="9525">
                <a:solidFill>
                  <a:schemeClr val="accent3"/>
                </a:solidFill>
              </a:ln>
              <a:effectLst/>
            </c:spPr>
          </c:marker>
          <c:xVal>
            <c:numRef>
              <c:f>Peers!$E$20</c:f>
              <c:numCache>
                <c:formatCode>0.00</c:formatCode>
                <c:ptCount val="1"/>
                <c:pt idx="0">
                  <c:v>1.7833862386551615</c:v>
                </c:pt>
              </c:numCache>
            </c:numRef>
          </c:xVal>
          <c:yVal>
            <c:numRef>
              <c:f>Peers!$E$36</c:f>
              <c:numCache>
                <c:formatCode>0.0</c:formatCode>
                <c:ptCount val="1"/>
                <c:pt idx="0">
                  <c:v>2.7913575383377296</c:v>
                </c:pt>
              </c:numCache>
            </c:numRef>
          </c:yVal>
          <c:smooth val="0"/>
          <c:extLst>
            <c:ext xmlns:c16="http://schemas.microsoft.com/office/drawing/2014/chart" uri="{C3380CC4-5D6E-409C-BE32-E72D297353CC}">
              <c16:uniqueId val="{00000003-B547-4DF9-892F-3129917FB3B3}"/>
            </c:ext>
          </c:extLst>
        </c:ser>
        <c:ser>
          <c:idx val="3"/>
          <c:order val="3"/>
          <c:tx>
            <c:strRef>
              <c:f>Peers!$F$7</c:f>
              <c:strCache>
                <c:ptCount val="1"/>
                <c:pt idx="0">
                  <c:v>AMAZON.COM, INC. (XNAS:AMZN)</c:v>
                </c:pt>
              </c:strCache>
            </c:strRef>
          </c:tx>
          <c:spPr>
            <a:ln w="25400" cap="rnd">
              <a:noFill/>
              <a:round/>
            </a:ln>
            <a:effectLst/>
          </c:spPr>
          <c:marker>
            <c:symbol val="circle"/>
            <c:size val="5"/>
            <c:spPr>
              <a:solidFill>
                <a:schemeClr val="accent4"/>
              </a:solidFill>
              <a:ln w="9525">
                <a:solidFill>
                  <a:schemeClr val="accent4"/>
                </a:solidFill>
              </a:ln>
              <a:effectLst/>
            </c:spPr>
          </c:marker>
          <c:xVal>
            <c:numRef>
              <c:f>Peers!$F$20</c:f>
              <c:numCache>
                <c:formatCode>0.00</c:formatCode>
                <c:ptCount val="1"/>
                <c:pt idx="0">
                  <c:v>0.54619583454508847</c:v>
                </c:pt>
              </c:numCache>
            </c:numRef>
          </c:xVal>
          <c:yVal>
            <c:numRef>
              <c:f>Peers!$F$36</c:f>
              <c:numCache>
                <c:formatCode>0.0</c:formatCode>
                <c:ptCount val="1"/>
                <c:pt idx="0">
                  <c:v>25.093607940538245</c:v>
                </c:pt>
              </c:numCache>
            </c:numRef>
          </c:yVal>
          <c:smooth val="0"/>
          <c:extLst>
            <c:ext xmlns:c16="http://schemas.microsoft.com/office/drawing/2014/chart" uri="{C3380CC4-5D6E-409C-BE32-E72D297353CC}">
              <c16:uniqueId val="{00000004-B547-4DF9-892F-3129917FB3B3}"/>
            </c:ext>
          </c:extLst>
        </c:ser>
        <c:ser>
          <c:idx val="4"/>
          <c:order val="4"/>
          <c:tx>
            <c:strRef>
              <c:f>Peers!$G$7</c:f>
              <c:strCache>
                <c:ptCount val="1"/>
                <c:pt idx="0">
                  <c:v>APPLE INC. (XNAS:AAPL)</c:v>
                </c:pt>
              </c:strCache>
            </c:strRef>
          </c:tx>
          <c:spPr>
            <a:ln w="25400" cap="rnd">
              <a:noFill/>
              <a:round/>
            </a:ln>
            <a:effectLst/>
          </c:spPr>
          <c:marker>
            <c:symbol val="circle"/>
            <c:size val="5"/>
            <c:spPr>
              <a:solidFill>
                <a:schemeClr val="accent5"/>
              </a:solidFill>
              <a:ln w="9525">
                <a:solidFill>
                  <a:schemeClr val="accent5"/>
                </a:solidFill>
              </a:ln>
              <a:effectLst/>
            </c:spPr>
          </c:marker>
          <c:xVal>
            <c:numRef>
              <c:f>Peers!$G$20</c:f>
              <c:numCache>
                <c:formatCode>0.00</c:formatCode>
                <c:ptCount val="1"/>
                <c:pt idx="0">
                  <c:v>0.37109764229043207</c:v>
                </c:pt>
              </c:numCache>
            </c:numRef>
          </c:xVal>
          <c:yVal>
            <c:numRef>
              <c:f>Peers!$G$36</c:f>
              <c:numCache>
                <c:formatCode>0.0</c:formatCode>
                <c:ptCount val="1"/>
                <c:pt idx="0">
                  <c:v>25.753290591187994</c:v>
                </c:pt>
              </c:numCache>
            </c:numRef>
          </c:yVal>
          <c:smooth val="0"/>
          <c:extLst>
            <c:ext xmlns:c16="http://schemas.microsoft.com/office/drawing/2014/chart" uri="{C3380CC4-5D6E-409C-BE32-E72D297353CC}">
              <c16:uniqueId val="{00000005-B547-4DF9-892F-3129917FB3B3}"/>
            </c:ext>
          </c:extLst>
        </c:ser>
        <c:ser>
          <c:idx val="5"/>
          <c:order val="5"/>
          <c:tx>
            <c:strRef>
              <c:f>Peers!#REF!</c:f>
              <c:strCache>
                <c:ptCount val="1"/>
                <c:pt idx="0">
                  <c:v>#REF!</c:v>
                </c:pt>
              </c:strCache>
            </c:strRef>
          </c:tx>
          <c:spPr>
            <a:ln w="25400" cap="rnd">
              <a:noFill/>
              <a:round/>
            </a:ln>
            <a:effectLst/>
          </c:spPr>
          <c:marker>
            <c:symbol val="circle"/>
            <c:size val="5"/>
            <c:spPr>
              <a:solidFill>
                <a:schemeClr val="accent6"/>
              </a:solidFill>
              <a:ln w="9525">
                <a:solidFill>
                  <a:schemeClr val="accent6"/>
                </a:solidFill>
              </a:ln>
              <a:effectLst/>
            </c:spPr>
          </c:marker>
          <c:xVal>
            <c:strRef>
              <c:f>Peers!#REF!</c:f>
              <c:strCache>
                <c:ptCount val="1"/>
                <c:pt idx="0">
                  <c:v>#REF!</c:v>
                </c:pt>
              </c:strCache>
            </c:strRef>
          </c:xVal>
          <c:yVal>
            <c:numRef>
              <c:f>Peers!#REF!</c:f>
              <c:numCache>
                <c:formatCode>General</c:formatCode>
                <c:ptCount val="1"/>
                <c:pt idx="0">
                  <c:v>1</c:v>
                </c:pt>
              </c:numCache>
            </c:numRef>
          </c:yVal>
          <c:smooth val="0"/>
          <c:extLst>
            <c:ext xmlns:c16="http://schemas.microsoft.com/office/drawing/2014/chart" uri="{C3380CC4-5D6E-409C-BE32-E72D297353CC}">
              <c16:uniqueId val="{00000006-B547-4DF9-892F-3129917FB3B3}"/>
            </c:ext>
          </c:extLst>
        </c:ser>
        <c:dLbls>
          <c:showLegendKey val="0"/>
          <c:showVal val="0"/>
          <c:showCatName val="0"/>
          <c:showSerName val="0"/>
          <c:showPercent val="0"/>
          <c:showBubbleSize val="0"/>
        </c:dLbls>
        <c:axId val="1571673951"/>
        <c:axId val="1289766175"/>
      </c:scatterChart>
      <c:valAx>
        <c:axId val="1571673951"/>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sz="1100" b="0" i="0" baseline="0">
                    <a:effectLst/>
                  </a:rPr>
                  <a:t> </a:t>
                </a:r>
                <a:r>
                  <a:rPr lang="en-US" sz="1200" b="0" i="0" baseline="0">
                    <a:effectLst/>
                  </a:rPr>
                  <a:t>NET DEBT /EBITDA</a:t>
                </a:r>
                <a:endParaRPr lang="en-US" sz="1200">
                  <a:effectLst/>
                </a:endParaRPr>
              </a:p>
            </c:rich>
          </c:tx>
          <c:layout>
            <c:manualLayout>
              <c:xMode val="edge"/>
              <c:yMode val="edge"/>
              <c:x val="0.27899032096554843"/>
              <c:y val="0.87705040037424031"/>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766175"/>
        <c:crosses val="autoZero"/>
        <c:crossBetween val="midCat"/>
      </c:valAx>
      <c:valAx>
        <c:axId val="12897661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0" i="0" baseline="0">
                    <a:effectLst/>
                  </a:rPr>
                  <a:t>EV/ EBITDA</a:t>
                </a:r>
                <a:endParaRPr lang="en-US" sz="1200">
                  <a:effectLst/>
                </a:endParaRPr>
              </a:p>
            </c:rich>
          </c:tx>
          <c:layout>
            <c:manualLayout>
              <c:xMode val="edge"/>
              <c:yMode val="edge"/>
              <c:x val="3.903843505466108E-4"/>
              <c:y val="0.32867517282330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673951"/>
        <c:crosses val="autoZero"/>
        <c:crossBetween val="midCat"/>
      </c:valAx>
      <c:spPr>
        <a:noFill/>
        <a:ln>
          <a:noFill/>
        </a:ln>
        <a:effectLst/>
      </c:spPr>
    </c:plotArea>
    <c:legend>
      <c:legendPos val="r"/>
      <c:layout>
        <c:manualLayout>
          <c:xMode val="edge"/>
          <c:yMode val="edge"/>
          <c:x val="0.79514918527433731"/>
          <c:y val="0.20740538534966782"/>
          <c:w val="0.20485076537264754"/>
          <c:h val="0.623929187627932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802946717757032"/>
          <c:y val="2.4865326922638195E-2"/>
          <c:w val="0.49083244745561727"/>
          <c:h val="0.82049946672598273"/>
        </c:manualLayout>
      </c:layout>
      <c:scatterChart>
        <c:scatterStyle val="lineMarker"/>
        <c:varyColors val="0"/>
        <c:ser>
          <c:idx val="0"/>
          <c:order val="0"/>
          <c:tx>
            <c:strRef>
              <c:f>Peers!$C$7</c:f>
              <c:strCache>
                <c:ptCount val="1"/>
                <c:pt idx="0">
                  <c:v>NETFLIX, INC. (XNAS:NFLX)</c:v>
                </c:pt>
              </c:strCache>
            </c:strRef>
          </c:tx>
          <c:spPr>
            <a:ln w="25400" cap="rnd">
              <a:noFill/>
              <a:round/>
            </a:ln>
            <a:effectLst/>
          </c:spPr>
          <c:marker>
            <c:symbol val="circle"/>
            <c:size val="5"/>
            <c:spPr>
              <a:solidFill>
                <a:schemeClr val="accent1"/>
              </a:solidFill>
              <a:ln w="9525">
                <a:solidFill>
                  <a:schemeClr val="accent1"/>
                </a:solidFill>
              </a:ln>
              <a:effectLst/>
            </c:spPr>
          </c:marker>
          <c:xVal>
            <c:numRef>
              <c:f>Peers!$C$43</c:f>
              <c:numCache>
                <c:formatCode>0%</c:formatCode>
                <c:ptCount val="1"/>
                <c:pt idx="0">
                  <c:v>1.7882866001158393</c:v>
                </c:pt>
              </c:numCache>
            </c:numRef>
          </c:xVal>
          <c:yVal>
            <c:numRef>
              <c:f>Peers!$C$48</c:f>
              <c:numCache>
                <c:formatCode>0%</c:formatCode>
                <c:ptCount val="1"/>
                <c:pt idx="0">
                  <c:v>1.9971158996333076</c:v>
                </c:pt>
              </c:numCache>
            </c:numRef>
          </c:yVal>
          <c:smooth val="0"/>
          <c:extLst>
            <c:ext xmlns:c16="http://schemas.microsoft.com/office/drawing/2014/chart" uri="{C3380CC4-5D6E-409C-BE32-E72D297353CC}">
              <c16:uniqueId val="{00000000-A0AB-4E28-9E73-D8DF3D5B0514}"/>
            </c:ext>
          </c:extLst>
        </c:ser>
        <c:ser>
          <c:idx val="1"/>
          <c:order val="1"/>
          <c:tx>
            <c:strRef>
              <c:f>Peers!$D$7</c:f>
              <c:strCache>
                <c:ptCount val="1"/>
                <c:pt idx="0">
                  <c:v>THE WALT DISNEY COMPANY (XNYS:DIS)</c:v>
                </c:pt>
              </c:strCache>
            </c:strRef>
          </c:tx>
          <c:spPr>
            <a:ln w="25400" cap="rnd">
              <a:noFill/>
              <a:round/>
            </a:ln>
            <a:effectLst/>
          </c:spPr>
          <c:marker>
            <c:symbol val="circle"/>
            <c:size val="5"/>
            <c:spPr>
              <a:solidFill>
                <a:schemeClr val="accent2"/>
              </a:solidFill>
              <a:ln w="9525">
                <a:solidFill>
                  <a:schemeClr val="accent2"/>
                </a:solidFill>
              </a:ln>
              <a:effectLst/>
            </c:spPr>
          </c:marker>
          <c:xVal>
            <c:numRef>
              <c:f>Peers!$D$43</c:f>
              <c:numCache>
                <c:formatCode>0%</c:formatCode>
                <c:ptCount val="1"/>
                <c:pt idx="0">
                  <c:v>-9.6600000000000005E-2</c:v>
                </c:pt>
              </c:numCache>
            </c:numRef>
          </c:xVal>
          <c:yVal>
            <c:numRef>
              <c:f>Peers!$D$48</c:f>
              <c:numCache>
                <c:formatCode>0.00%</c:formatCode>
                <c:ptCount val="1"/>
                <c:pt idx="0">
                  <c:v>2.4</c:v>
                </c:pt>
              </c:numCache>
            </c:numRef>
          </c:yVal>
          <c:smooth val="0"/>
          <c:extLst>
            <c:ext xmlns:c16="http://schemas.microsoft.com/office/drawing/2014/chart" uri="{C3380CC4-5D6E-409C-BE32-E72D297353CC}">
              <c16:uniqueId val="{00000001-A0AB-4E28-9E73-D8DF3D5B0514}"/>
            </c:ext>
          </c:extLst>
        </c:ser>
        <c:ser>
          <c:idx val="2"/>
          <c:order val="2"/>
          <c:tx>
            <c:strRef>
              <c:f>Peers!$E$7</c:f>
              <c:strCache>
                <c:ptCount val="1"/>
                <c:pt idx="0">
                  <c:v>WARNER BROS. DISCOVERY, INC. (XNAS:WBD)</c:v>
                </c:pt>
              </c:strCache>
            </c:strRef>
          </c:tx>
          <c:spPr>
            <a:ln w="25400" cap="rnd">
              <a:noFill/>
              <a:round/>
            </a:ln>
            <a:effectLst/>
          </c:spPr>
          <c:marker>
            <c:symbol val="circle"/>
            <c:size val="5"/>
            <c:spPr>
              <a:solidFill>
                <a:schemeClr val="accent3"/>
              </a:solidFill>
              <a:ln w="9525">
                <a:solidFill>
                  <a:schemeClr val="accent3"/>
                </a:solidFill>
              </a:ln>
              <a:effectLst/>
            </c:spPr>
          </c:marker>
          <c:xVal>
            <c:numRef>
              <c:f>Peers!$E$43</c:f>
              <c:numCache>
                <c:formatCode>0%</c:formatCode>
                <c:ptCount val="1"/>
                <c:pt idx="0">
                  <c:v>-0.63</c:v>
                </c:pt>
              </c:numCache>
            </c:numRef>
          </c:xVal>
          <c:yVal>
            <c:numRef>
              <c:f>Peers!$E$48</c:f>
              <c:numCache>
                <c:formatCode>0.00%</c:formatCode>
                <c:ptCount val="1"/>
                <c:pt idx="0">
                  <c:v>-4.2411000000000003</c:v>
                </c:pt>
              </c:numCache>
            </c:numRef>
          </c:yVal>
          <c:smooth val="0"/>
          <c:extLst>
            <c:ext xmlns:c16="http://schemas.microsoft.com/office/drawing/2014/chart" uri="{C3380CC4-5D6E-409C-BE32-E72D297353CC}">
              <c16:uniqueId val="{00000002-A0AB-4E28-9E73-D8DF3D5B0514}"/>
            </c:ext>
          </c:extLst>
        </c:ser>
        <c:ser>
          <c:idx val="3"/>
          <c:order val="3"/>
          <c:tx>
            <c:strRef>
              <c:f>Peers!$F$7</c:f>
              <c:strCache>
                <c:ptCount val="1"/>
                <c:pt idx="0">
                  <c:v>AMAZON.COM, INC. (XNAS:AMZN)</c:v>
                </c:pt>
              </c:strCache>
            </c:strRef>
          </c:tx>
          <c:spPr>
            <a:ln w="25400" cap="rnd">
              <a:noFill/>
              <a:round/>
            </a:ln>
            <a:effectLst/>
          </c:spPr>
          <c:marker>
            <c:symbol val="circle"/>
            <c:size val="5"/>
            <c:spPr>
              <a:solidFill>
                <a:schemeClr val="accent4"/>
              </a:solidFill>
              <a:ln w="9525">
                <a:solidFill>
                  <a:schemeClr val="accent4"/>
                </a:solidFill>
              </a:ln>
              <a:effectLst/>
            </c:spPr>
          </c:marker>
          <c:xVal>
            <c:numRef>
              <c:f>Peers!$F$43</c:f>
              <c:numCache>
                <c:formatCode>0%</c:formatCode>
                <c:ptCount val="1"/>
                <c:pt idx="0">
                  <c:v>-7.0000000000000007E-2</c:v>
                </c:pt>
              </c:numCache>
            </c:numRef>
          </c:xVal>
          <c:yVal>
            <c:numRef>
              <c:f>Peers!$F$48</c:f>
              <c:numCache>
                <c:formatCode>0.00%</c:formatCode>
                <c:ptCount val="1"/>
                <c:pt idx="0">
                  <c:v>11.66</c:v>
                </c:pt>
              </c:numCache>
            </c:numRef>
          </c:yVal>
          <c:smooth val="0"/>
          <c:extLst>
            <c:ext xmlns:c16="http://schemas.microsoft.com/office/drawing/2014/chart" uri="{C3380CC4-5D6E-409C-BE32-E72D297353CC}">
              <c16:uniqueId val="{00000003-A0AB-4E28-9E73-D8DF3D5B0514}"/>
            </c:ext>
          </c:extLst>
        </c:ser>
        <c:ser>
          <c:idx val="5"/>
          <c:order val="4"/>
          <c:tx>
            <c:strRef>
              <c:f>Peers!$G$7</c:f>
              <c:strCache>
                <c:ptCount val="1"/>
                <c:pt idx="0">
                  <c:v>APPLE INC. (XNAS:AAPL)</c:v>
                </c:pt>
              </c:strCache>
            </c:strRef>
          </c:tx>
          <c:spPr>
            <a:ln w="25400" cap="rnd">
              <a:noFill/>
              <a:round/>
            </a:ln>
            <a:effectLst/>
          </c:spPr>
          <c:marker>
            <c:symbol val="circle"/>
            <c:size val="5"/>
            <c:spPr>
              <a:solidFill>
                <a:schemeClr val="accent6"/>
              </a:solidFill>
              <a:ln w="9525">
                <a:solidFill>
                  <a:schemeClr val="accent6"/>
                </a:solidFill>
              </a:ln>
              <a:effectLst/>
            </c:spPr>
          </c:marker>
          <c:xVal>
            <c:numRef>
              <c:f>Peers!$G$43</c:f>
              <c:numCache>
                <c:formatCode>0%</c:formatCode>
                <c:ptCount val="1"/>
                <c:pt idx="0">
                  <c:v>0.44</c:v>
                </c:pt>
              </c:numCache>
            </c:numRef>
          </c:xVal>
          <c:yVal>
            <c:numRef>
              <c:f>Peers!$G$48</c:f>
              <c:numCache>
                <c:formatCode>0.00%</c:formatCode>
                <c:ptCount val="1"/>
                <c:pt idx="0">
                  <c:v>0.38429999999999997</c:v>
                </c:pt>
              </c:numCache>
            </c:numRef>
          </c:yVal>
          <c:smooth val="0"/>
          <c:extLst>
            <c:ext xmlns:c16="http://schemas.microsoft.com/office/drawing/2014/chart" uri="{C3380CC4-5D6E-409C-BE32-E72D297353CC}">
              <c16:uniqueId val="{00000005-A0AB-4E28-9E73-D8DF3D5B0514}"/>
            </c:ext>
          </c:extLst>
        </c:ser>
        <c:ser>
          <c:idx val="6"/>
          <c:order val="5"/>
          <c:tx>
            <c:strRef>
              <c:f>Peers!#REF!</c:f>
              <c:strCache>
                <c:ptCount val="1"/>
                <c:pt idx="0">
                  <c:v>#REF!</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strRef>
              <c:f>Peers!#REF!</c:f>
              <c:strCache>
                <c:ptCount val="1"/>
                <c:pt idx="0">
                  <c:v>#REF!</c:v>
                </c:pt>
              </c:strCache>
            </c:strRef>
          </c:xVal>
          <c:yVal>
            <c:numRef>
              <c:f>Peers!#REF!</c:f>
              <c:numCache>
                <c:formatCode>General</c:formatCode>
                <c:ptCount val="1"/>
                <c:pt idx="0">
                  <c:v>1</c:v>
                </c:pt>
              </c:numCache>
            </c:numRef>
          </c:yVal>
          <c:smooth val="0"/>
          <c:extLst>
            <c:ext xmlns:c16="http://schemas.microsoft.com/office/drawing/2014/chart" uri="{C3380CC4-5D6E-409C-BE32-E72D297353CC}">
              <c16:uniqueId val="{00000006-A0AB-4E28-9E73-D8DF3D5B0514}"/>
            </c:ext>
          </c:extLst>
        </c:ser>
        <c:dLbls>
          <c:showLegendKey val="0"/>
          <c:showVal val="0"/>
          <c:showCatName val="0"/>
          <c:showSerName val="0"/>
          <c:showPercent val="0"/>
          <c:showBubbleSize val="0"/>
        </c:dLbls>
        <c:axId val="581212960"/>
        <c:axId val="581217120"/>
      </c:scatterChart>
      <c:valAx>
        <c:axId val="5812129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0" i="0" u="none" strike="noStrike" baseline="0">
                    <a:effectLst/>
                  </a:rPr>
                  <a:t>3 YEAR STOCK PERFORMANCE</a:t>
                </a:r>
                <a:endParaRPr lang="en-US" sz="1200"/>
              </a:p>
            </c:rich>
          </c:tx>
          <c:layout>
            <c:manualLayout>
              <c:xMode val="edge"/>
              <c:yMode val="edge"/>
              <c:x val="0.24749537255061102"/>
              <c:y val="0.9208239807152025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217120"/>
        <c:crosses val="autoZero"/>
        <c:crossBetween val="midCat"/>
      </c:valAx>
      <c:valAx>
        <c:axId val="5812171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0" i="0" u="none" strike="noStrike" baseline="0">
                    <a:effectLst/>
                  </a:rPr>
                  <a:t>OPERATING CASH FLOW 3Y PERFORMANCE </a:t>
                </a:r>
                <a:endParaRPr lang="en-US" sz="1200"/>
              </a:p>
            </c:rich>
          </c:tx>
          <c:layout>
            <c:manualLayout>
              <c:xMode val="edge"/>
              <c:yMode val="edge"/>
              <c:x val="3.9522524081838629E-2"/>
              <c:y val="0.1858295277689095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212960"/>
        <c:crosses val="autoZero"/>
        <c:crossBetween val="midCat"/>
      </c:valAx>
      <c:spPr>
        <a:noFill/>
        <a:ln>
          <a:solidFill>
            <a:schemeClr val="bg1"/>
          </a:solidFill>
        </a:ln>
        <a:effectLst/>
      </c:spPr>
    </c:plotArea>
    <c:legend>
      <c:legendPos val="r"/>
      <c:layout>
        <c:manualLayout>
          <c:xMode val="edge"/>
          <c:yMode val="edge"/>
          <c:x val="0.66338611016469518"/>
          <c:y val="1.9603137731995977E-2"/>
          <c:w val="0.17018842544974519"/>
          <c:h val="0.672204855823381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CO2 Emissions Total (Tonnes)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ESG!$L$4:$P$4</c:f>
              <c:strCache>
                <c:ptCount val="5"/>
                <c:pt idx="0">
                  <c:v>NETFLIX, INC. (XNAS:NFLX)</c:v>
                </c:pt>
                <c:pt idx="1">
                  <c:v>THE WALT DISNEY COMPANY (XNYS:DIS)</c:v>
                </c:pt>
                <c:pt idx="2">
                  <c:v>WARNER BROS. DISCOVERY, INC. (XNAS:WBD)</c:v>
                </c:pt>
                <c:pt idx="3">
                  <c:v>AMAZON.COM, INC. (XNAS:AMZN)</c:v>
                </c:pt>
                <c:pt idx="4">
                  <c:v>APPLE INC. (XNAS:AAPL)</c:v>
                </c:pt>
              </c:strCache>
            </c:strRef>
          </c:cat>
          <c:val>
            <c:numRef>
              <c:f>ESG!$L$12:$P$12</c:f>
              <c:numCache>
                <c:formatCode>General</c:formatCode>
                <c:ptCount val="5"/>
                <c:pt idx="0">
                  <c:v>1146221</c:v>
                </c:pt>
                <c:pt idx="1">
                  <c:v>6700000</c:v>
                </c:pt>
                <c:pt idx="2">
                  <c:v>2702000</c:v>
                </c:pt>
                <c:pt idx="3">
                  <c:v>71540000</c:v>
                </c:pt>
                <c:pt idx="4">
                  <c:v>20600000</c:v>
                </c:pt>
              </c:numCache>
            </c:numRef>
          </c:val>
          <c:extLst>
            <c:ext xmlns:c16="http://schemas.microsoft.com/office/drawing/2014/chart" uri="{C3380CC4-5D6E-409C-BE32-E72D297353CC}">
              <c16:uniqueId val="{00000000-B52E-394A-ADE6-0A6DDFAAD37A}"/>
            </c:ext>
          </c:extLst>
        </c:ser>
        <c:dLbls>
          <c:showLegendKey val="0"/>
          <c:showVal val="0"/>
          <c:showCatName val="0"/>
          <c:showSerName val="0"/>
          <c:showPercent val="0"/>
          <c:showBubbleSize val="0"/>
        </c:dLbls>
        <c:gapWidth val="219"/>
        <c:overlap val="-27"/>
        <c:axId val="984254095"/>
        <c:axId val="984374463"/>
      </c:barChart>
      <c:catAx>
        <c:axId val="984254095"/>
        <c:scaling>
          <c:orientation val="minMax"/>
        </c:scaling>
        <c:delete val="0"/>
        <c:axPos val="b"/>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4374463"/>
        <c:crosses val="autoZero"/>
        <c:auto val="0"/>
        <c:lblAlgn val="ctr"/>
        <c:lblOffset val="100"/>
        <c:noMultiLvlLbl val="0"/>
      </c:catAx>
      <c:valAx>
        <c:axId val="984374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42540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g"/><Relationship Id="rId7" Type="http://schemas.openxmlformats.org/officeDocument/2006/relationships/image" Target="../media/image7.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6.jpg"/><Relationship Id="rId11" Type="http://schemas.openxmlformats.org/officeDocument/2006/relationships/image" Target="../media/image11.jp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jpeg"/><Relationship Id="rId9" Type="http://schemas.openxmlformats.org/officeDocument/2006/relationships/image" Target="../media/image9.jpg"/></Relationships>
</file>

<file path=xl/drawings/_rels/drawing3.xml.rels><?xml version="1.0" encoding="UTF-8" standalone="yes"?>
<Relationships xmlns="http://schemas.openxmlformats.org/package/2006/relationships"><Relationship Id="rId3" Type="http://schemas.openxmlformats.org/officeDocument/2006/relationships/image" Target="../media/image12.png"/><Relationship Id="rId7" Type="http://schemas.openxmlformats.org/officeDocument/2006/relationships/image" Target="../media/image16.jpg"/><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image" Target="../media/image15.jpg"/><Relationship Id="rId5" Type="http://schemas.openxmlformats.org/officeDocument/2006/relationships/image" Target="../media/image14.png"/><Relationship Id="rId4" Type="http://schemas.openxmlformats.org/officeDocument/2006/relationships/image" Target="../media/image13.png"/></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png"/><Relationship Id="rId5" Type="http://schemas.openxmlformats.org/officeDocument/2006/relationships/image" Target="../media/image21.png"/><Relationship Id="rId4"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dr:twoCellAnchor editAs="oneCell">
    <xdr:from>
      <xdr:col>13</xdr:col>
      <xdr:colOff>0</xdr:colOff>
      <xdr:row>15</xdr:row>
      <xdr:rowOff>0</xdr:rowOff>
    </xdr:from>
    <xdr:to>
      <xdr:col>13</xdr:col>
      <xdr:colOff>304800</xdr:colOff>
      <xdr:row>15</xdr:row>
      <xdr:rowOff>325623</xdr:rowOff>
    </xdr:to>
    <xdr:sp macro="" textlink="">
      <xdr:nvSpPr>
        <xdr:cNvPr id="2096" name="AutoShape 48" descr="Resultado de imagen para heidelbergcement">
          <a:extLst>
            <a:ext uri="{FF2B5EF4-FFF2-40B4-BE49-F238E27FC236}">
              <a16:creationId xmlns:a16="http://schemas.microsoft.com/office/drawing/2014/main" id="{EBAF9DAF-18D3-4875-8FFF-AEB741FF11AC}"/>
            </a:ext>
          </a:extLst>
        </xdr:cNvPr>
        <xdr:cNvSpPr>
          <a:spLocks noChangeAspect="1" noChangeArrowheads="1"/>
        </xdr:cNvSpPr>
      </xdr:nvSpPr>
      <xdr:spPr bwMode="auto">
        <a:xfrm>
          <a:off x="15001875" y="80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15</xdr:row>
      <xdr:rowOff>0</xdr:rowOff>
    </xdr:from>
    <xdr:to>
      <xdr:col>13</xdr:col>
      <xdr:colOff>304800</xdr:colOff>
      <xdr:row>15</xdr:row>
      <xdr:rowOff>325623</xdr:rowOff>
    </xdr:to>
    <xdr:sp macro="" textlink="">
      <xdr:nvSpPr>
        <xdr:cNvPr id="2097" name="AutoShape 49" descr="Resultado de imagen para heidelbergcement">
          <a:extLst>
            <a:ext uri="{FF2B5EF4-FFF2-40B4-BE49-F238E27FC236}">
              <a16:creationId xmlns:a16="http://schemas.microsoft.com/office/drawing/2014/main" id="{1AED6D21-AC79-48CB-9928-5DBD43CA26F1}"/>
            </a:ext>
          </a:extLst>
        </xdr:cNvPr>
        <xdr:cNvSpPr>
          <a:spLocks noChangeAspect="1" noChangeArrowheads="1"/>
        </xdr:cNvSpPr>
      </xdr:nvSpPr>
      <xdr:spPr bwMode="auto">
        <a:xfrm>
          <a:off x="15001875" y="80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15</xdr:row>
      <xdr:rowOff>0</xdr:rowOff>
    </xdr:from>
    <xdr:to>
      <xdr:col>13</xdr:col>
      <xdr:colOff>304800</xdr:colOff>
      <xdr:row>15</xdr:row>
      <xdr:rowOff>325623</xdr:rowOff>
    </xdr:to>
    <xdr:sp macro="" textlink="">
      <xdr:nvSpPr>
        <xdr:cNvPr id="9" name="AutoShape 48" descr="Resultado de imagen para heidelbergcement">
          <a:extLst>
            <a:ext uri="{FF2B5EF4-FFF2-40B4-BE49-F238E27FC236}">
              <a16:creationId xmlns:a16="http://schemas.microsoft.com/office/drawing/2014/main" id="{7A971572-AE46-4C4C-8556-A1DC5E24C990}"/>
            </a:ext>
          </a:extLst>
        </xdr:cNvPr>
        <xdr:cNvSpPr>
          <a:spLocks noChangeAspect="1" noChangeArrowheads="1"/>
        </xdr:cNvSpPr>
      </xdr:nvSpPr>
      <xdr:spPr bwMode="auto">
        <a:xfrm>
          <a:off x="18110200" y="1358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2</xdr:row>
      <xdr:rowOff>0</xdr:rowOff>
    </xdr:from>
    <xdr:to>
      <xdr:col>13</xdr:col>
      <xdr:colOff>304800</xdr:colOff>
      <xdr:row>2</xdr:row>
      <xdr:rowOff>304800</xdr:rowOff>
    </xdr:to>
    <xdr:sp macro="" textlink="">
      <xdr:nvSpPr>
        <xdr:cNvPr id="11" name="AutoShape 51" descr="Resultado de imagen para heidelbergcement">
          <a:extLst>
            <a:ext uri="{FF2B5EF4-FFF2-40B4-BE49-F238E27FC236}">
              <a16:creationId xmlns:a16="http://schemas.microsoft.com/office/drawing/2014/main" id="{9C93AAA3-5F34-E84C-A119-511471E42284}"/>
            </a:ext>
          </a:extLst>
        </xdr:cNvPr>
        <xdr:cNvSpPr>
          <a:spLocks noChangeAspect="1" noChangeArrowheads="1"/>
        </xdr:cNvSpPr>
      </xdr:nvSpPr>
      <xdr:spPr bwMode="auto">
        <a:xfrm>
          <a:off x="18110200" y="31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2</xdr:row>
      <xdr:rowOff>0</xdr:rowOff>
    </xdr:from>
    <xdr:to>
      <xdr:col>13</xdr:col>
      <xdr:colOff>304800</xdr:colOff>
      <xdr:row>2</xdr:row>
      <xdr:rowOff>304800</xdr:rowOff>
    </xdr:to>
    <xdr:sp macro="" textlink="">
      <xdr:nvSpPr>
        <xdr:cNvPr id="12" name="AutoShape 52" descr="Resultado de imagen para heidelbergcement">
          <a:extLst>
            <a:ext uri="{FF2B5EF4-FFF2-40B4-BE49-F238E27FC236}">
              <a16:creationId xmlns:a16="http://schemas.microsoft.com/office/drawing/2014/main" id="{D38869C9-D998-A047-96C8-5B849EBEA94D}"/>
            </a:ext>
          </a:extLst>
        </xdr:cNvPr>
        <xdr:cNvSpPr>
          <a:spLocks noChangeAspect="1" noChangeArrowheads="1"/>
        </xdr:cNvSpPr>
      </xdr:nvSpPr>
      <xdr:spPr bwMode="auto">
        <a:xfrm>
          <a:off x="18110200" y="31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xdr:row>
      <xdr:rowOff>95250</xdr:rowOff>
    </xdr:from>
    <xdr:to>
      <xdr:col>2</xdr:col>
      <xdr:colOff>1543050</xdr:colOff>
      <xdr:row>13</xdr:row>
      <xdr:rowOff>209550</xdr:rowOff>
    </xdr:to>
    <xdr:pic>
      <xdr:nvPicPr>
        <xdr:cNvPr id="3" name="Imagem 2">
          <a:extLst>
            <a:ext uri="{FF2B5EF4-FFF2-40B4-BE49-F238E27FC236}">
              <a16:creationId xmlns:a16="http://schemas.microsoft.com/office/drawing/2014/main" id="{6EB9FDE1-A7F8-1A15-48BE-1197AA983206}"/>
            </a:ext>
            <a:ext uri="{147F2762-F138-4A5C-976F-8EAC2B608ADB}">
              <a16:predDERef xmlns:a16="http://schemas.microsoft.com/office/drawing/2014/main" pred="{D38869C9-D998-A047-96C8-5B849EBEA94D}"/>
            </a:ext>
          </a:extLst>
        </xdr:cNvPr>
        <xdr:cNvPicPr>
          <a:picLocks noChangeAspect="1"/>
        </xdr:cNvPicPr>
      </xdr:nvPicPr>
      <xdr:blipFill>
        <a:blip xmlns:r="http://schemas.openxmlformats.org/officeDocument/2006/relationships" r:embed="rId1"/>
        <a:stretch>
          <a:fillRect/>
        </a:stretch>
      </xdr:blipFill>
      <xdr:spPr>
        <a:xfrm>
          <a:off x="28575" y="1314450"/>
          <a:ext cx="2952750" cy="3038475"/>
        </a:xfrm>
        <a:prstGeom prst="rect">
          <a:avLst/>
        </a:prstGeom>
      </xdr:spPr>
    </xdr:pic>
    <xdr:clientData/>
  </xdr:twoCellAnchor>
  <xdr:twoCellAnchor editAs="oneCell">
    <xdr:from>
      <xdr:col>6</xdr:col>
      <xdr:colOff>0</xdr:colOff>
      <xdr:row>81</xdr:row>
      <xdr:rowOff>190500</xdr:rowOff>
    </xdr:from>
    <xdr:to>
      <xdr:col>13</xdr:col>
      <xdr:colOff>0</xdr:colOff>
      <xdr:row>106</xdr:row>
      <xdr:rowOff>0</xdr:rowOff>
    </xdr:to>
    <xdr:pic>
      <xdr:nvPicPr>
        <xdr:cNvPr id="4" name="Picture 3">
          <a:extLst>
            <a:ext uri="{FF2B5EF4-FFF2-40B4-BE49-F238E27FC236}">
              <a16:creationId xmlns:a16="http://schemas.microsoft.com/office/drawing/2014/main" id="{B3988648-01F4-4237-3EF8-B15D146AF1B8}"/>
            </a:ext>
            <a:ext uri="{147F2762-F138-4A5C-976F-8EAC2B608ADB}">
              <a16:predDERef xmlns:a16="http://schemas.microsoft.com/office/drawing/2014/main" pred="{6EB9FDE1-A7F8-1A15-48BE-1197AA983206}"/>
            </a:ext>
          </a:extLst>
        </xdr:cNvPr>
        <xdr:cNvPicPr>
          <a:picLocks noChangeAspect="1"/>
        </xdr:cNvPicPr>
      </xdr:nvPicPr>
      <xdr:blipFill>
        <a:blip xmlns:r="http://schemas.openxmlformats.org/officeDocument/2006/relationships" r:embed="rId2"/>
        <a:stretch>
          <a:fillRect/>
        </a:stretch>
      </xdr:blipFill>
      <xdr:spPr>
        <a:xfrm>
          <a:off x="7629525" y="18630900"/>
          <a:ext cx="9077325" cy="38957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19050</xdr:colOff>
      <xdr:row>26</xdr:row>
      <xdr:rowOff>76200</xdr:rowOff>
    </xdr:from>
    <xdr:to>
      <xdr:col>11</xdr:col>
      <xdr:colOff>666750</xdr:colOff>
      <xdr:row>32</xdr:row>
      <xdr:rowOff>666750</xdr:rowOff>
    </xdr:to>
    <xdr:graphicFrame macro="">
      <xdr:nvGraphicFramePr>
        <xdr:cNvPr id="7" name="Chart 4">
          <a:extLst>
            <a:ext uri="{FF2B5EF4-FFF2-40B4-BE49-F238E27FC236}">
              <a16:creationId xmlns:a16="http://schemas.microsoft.com/office/drawing/2014/main" id="{9E23D189-C3B7-523A-69E6-128398296259}"/>
            </a:ext>
            <a:ext uri="{147F2762-F138-4A5C-976F-8EAC2B608ADB}">
              <a16:predDERef xmlns:a16="http://schemas.microsoft.com/office/drawing/2014/main" pred="{2D8AEC4D-5853-421C-8616-2A1885050A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704850</xdr:colOff>
      <xdr:row>25</xdr:row>
      <xdr:rowOff>247650</xdr:rowOff>
    </xdr:from>
    <xdr:to>
      <xdr:col>11</xdr:col>
      <xdr:colOff>714375</xdr:colOff>
      <xdr:row>33</xdr:row>
      <xdr:rowOff>0</xdr:rowOff>
    </xdr:to>
    <xdr:cxnSp macro="">
      <xdr:nvCxnSpPr>
        <xdr:cNvPr id="9" name="Straight Connector 1">
          <a:extLst>
            <a:ext uri="{FF2B5EF4-FFF2-40B4-BE49-F238E27FC236}">
              <a16:creationId xmlns:a16="http://schemas.microsoft.com/office/drawing/2014/main" id="{2D9F9EFF-8C8B-4839-A102-86B66E9BDF73}"/>
            </a:ext>
            <a:ext uri="{147F2762-F138-4A5C-976F-8EAC2B608ADB}">
              <a16:predDERef xmlns:a16="http://schemas.microsoft.com/office/drawing/2014/main" pred="{1471EB7D-83EE-43B1-6F3B-DAB93ADF05E3}"/>
            </a:ext>
          </a:extLst>
        </xdr:cNvPr>
        <xdr:cNvCxnSpPr>
          <a:cxnSpLocks/>
        </xdr:cNvCxnSpPr>
      </xdr:nvCxnSpPr>
      <xdr:spPr bwMode="auto">
        <a:xfrm>
          <a:off x="12144375" y="4324350"/>
          <a:ext cx="9525" cy="2886075"/>
        </a:xfrm>
        <a:prstGeom prst="line">
          <a:avLst/>
        </a:prstGeom>
        <a:ln w="12700">
          <a:solidFill>
            <a:srgbClr val="1F497D"/>
          </a:solidFill>
          <a:headEnd type="non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219075</xdr:colOff>
      <xdr:row>44</xdr:row>
      <xdr:rowOff>28575</xdr:rowOff>
    </xdr:from>
    <xdr:to>
      <xdr:col>15</xdr:col>
      <xdr:colOff>742950</xdr:colOff>
      <xdr:row>46</xdr:row>
      <xdr:rowOff>114300</xdr:rowOff>
    </xdr:to>
    <xdr:sp macro="" textlink="">
      <xdr:nvSpPr>
        <xdr:cNvPr id="8" name="Rectangle 9">
          <a:extLst>
            <a:ext uri="{FF2B5EF4-FFF2-40B4-BE49-F238E27FC236}">
              <a16:creationId xmlns:a16="http://schemas.microsoft.com/office/drawing/2014/main" id="{9EA941B6-F7AA-AE8B-792C-EC306EB6FD73}"/>
            </a:ext>
            <a:ext uri="{147F2762-F138-4A5C-976F-8EAC2B608ADB}">
              <a16:predDERef xmlns:a16="http://schemas.microsoft.com/office/drawing/2014/main" pred="{2D9F9EFF-8C8B-4839-A102-86B66E9BDF73}"/>
            </a:ext>
          </a:extLst>
        </xdr:cNvPr>
        <xdr:cNvSpPr/>
      </xdr:nvSpPr>
      <xdr:spPr bwMode="auto">
        <a:xfrm>
          <a:off x="13944600" y="9248775"/>
          <a:ext cx="1285875" cy="409575"/>
        </a:xfrm>
        <a:prstGeom prst="rect">
          <a:avLst/>
        </a:prstGeom>
        <a:solidFill>
          <a:srgbClr val="FFFFFF"/>
        </a:solidFill>
        <a:ln w="9525" cap="flat" cmpd="sng" algn="ctr">
          <a:solidFill>
            <a:schemeClr val="bg1"/>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a:p>
      </xdr:txBody>
    </xdr:sp>
    <xdr:clientData/>
  </xdr:twoCellAnchor>
  <xdr:twoCellAnchor>
    <xdr:from>
      <xdr:col>34</xdr:col>
      <xdr:colOff>19050</xdr:colOff>
      <xdr:row>56</xdr:row>
      <xdr:rowOff>47625</xdr:rowOff>
    </xdr:from>
    <xdr:to>
      <xdr:col>35</xdr:col>
      <xdr:colOff>209550</xdr:colOff>
      <xdr:row>62</xdr:row>
      <xdr:rowOff>28575</xdr:rowOff>
    </xdr:to>
    <xdr:sp macro="" textlink="">
      <xdr:nvSpPr>
        <xdr:cNvPr id="87" name="Rectangle 17">
          <a:extLst>
            <a:ext uri="{FF2B5EF4-FFF2-40B4-BE49-F238E27FC236}">
              <a16:creationId xmlns:a16="http://schemas.microsoft.com/office/drawing/2014/main" id="{373BA1AE-84F4-1EA4-7F90-6E6AE589AB0D}"/>
            </a:ext>
            <a:ext uri="{147F2762-F138-4A5C-976F-8EAC2B608ADB}">
              <a16:predDERef xmlns:a16="http://schemas.microsoft.com/office/drawing/2014/main" pred="{795168BE-2BCC-E14D-F42E-6CD34F49FE73}"/>
            </a:ext>
          </a:extLst>
        </xdr:cNvPr>
        <xdr:cNvSpPr/>
      </xdr:nvSpPr>
      <xdr:spPr bwMode="auto">
        <a:xfrm>
          <a:off x="29794200" y="10391775"/>
          <a:ext cx="952500" cy="952500"/>
        </a:xfrm>
        <a:prstGeom prst="rect">
          <a:avLst/>
        </a:prstGeom>
        <a:solidFill>
          <a:srgbClr val="FFFFFF"/>
        </a:solidFill>
        <a:ln w="9525"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lang="en-US"/>
        </a:p>
      </xdr:txBody>
    </xdr:sp>
    <xdr:clientData/>
  </xdr:twoCellAnchor>
  <xdr:twoCellAnchor>
    <xdr:from>
      <xdr:col>8</xdr:col>
      <xdr:colOff>155960</xdr:colOff>
      <xdr:row>26</xdr:row>
      <xdr:rowOff>38615</xdr:rowOff>
    </xdr:from>
    <xdr:to>
      <xdr:col>16</xdr:col>
      <xdr:colOff>0</xdr:colOff>
      <xdr:row>33</xdr:row>
      <xdr:rowOff>429</xdr:rowOff>
    </xdr:to>
    <xdr:graphicFrame macro="">
      <xdr:nvGraphicFramePr>
        <xdr:cNvPr id="2" name="Gráfico 1">
          <a:extLst>
            <a:ext uri="{FF2B5EF4-FFF2-40B4-BE49-F238E27FC236}">
              <a16:creationId xmlns:a16="http://schemas.microsoft.com/office/drawing/2014/main" id="{684076D1-A2E7-7CF9-423F-CF88DAA7DB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64943</xdr:colOff>
      <xdr:row>2</xdr:row>
      <xdr:rowOff>43294</xdr:rowOff>
    </xdr:from>
    <xdr:to>
      <xdr:col>20</xdr:col>
      <xdr:colOff>52693</xdr:colOff>
      <xdr:row>15</xdr:row>
      <xdr:rowOff>238122</xdr:rowOff>
    </xdr:to>
    <xdr:pic>
      <xdr:nvPicPr>
        <xdr:cNvPr id="10" name="Imagem 3">
          <a:extLst>
            <a:ext uri="{FF2B5EF4-FFF2-40B4-BE49-F238E27FC236}">
              <a16:creationId xmlns:a16="http://schemas.microsoft.com/office/drawing/2014/main" id="{5BDAC43F-7E13-B95B-3A0A-22C561E4B06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406271" y="400482"/>
          <a:ext cx="4110291" cy="2204009"/>
        </a:xfrm>
        <a:prstGeom prst="rect">
          <a:avLst/>
        </a:prstGeom>
      </xdr:spPr>
    </xdr:pic>
    <xdr:clientData/>
  </xdr:twoCellAnchor>
  <xdr:twoCellAnchor editAs="oneCell">
    <xdr:from>
      <xdr:col>21</xdr:col>
      <xdr:colOff>779316</xdr:colOff>
      <xdr:row>2</xdr:row>
      <xdr:rowOff>151534</xdr:rowOff>
    </xdr:from>
    <xdr:to>
      <xdr:col>25</xdr:col>
      <xdr:colOff>177570</xdr:colOff>
      <xdr:row>25</xdr:row>
      <xdr:rowOff>150668</xdr:rowOff>
    </xdr:to>
    <xdr:pic>
      <xdr:nvPicPr>
        <xdr:cNvPr id="16" name="Imagem 5">
          <a:extLst>
            <a:ext uri="{FF2B5EF4-FFF2-40B4-BE49-F238E27FC236}">
              <a16:creationId xmlns:a16="http://schemas.microsoft.com/office/drawing/2014/main" id="{4E5873E1-21F1-2A27-86A8-D3A1EE2301B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2102330" y="497898"/>
          <a:ext cx="2465304" cy="3723409"/>
        </a:xfrm>
        <a:prstGeom prst="rect">
          <a:avLst/>
        </a:prstGeom>
      </xdr:spPr>
    </xdr:pic>
    <xdr:clientData/>
  </xdr:twoCellAnchor>
  <xdr:twoCellAnchor editAs="oneCell">
    <xdr:from>
      <xdr:col>10</xdr:col>
      <xdr:colOff>22412</xdr:colOff>
      <xdr:row>34</xdr:row>
      <xdr:rowOff>11205</xdr:rowOff>
    </xdr:from>
    <xdr:to>
      <xdr:col>16</xdr:col>
      <xdr:colOff>605118</xdr:colOff>
      <xdr:row>57</xdr:row>
      <xdr:rowOff>104025</xdr:rowOff>
    </xdr:to>
    <xdr:pic>
      <xdr:nvPicPr>
        <xdr:cNvPr id="13" name="Picture 12">
          <a:extLst>
            <a:ext uri="{FF2B5EF4-FFF2-40B4-BE49-F238E27FC236}">
              <a16:creationId xmlns:a16="http://schemas.microsoft.com/office/drawing/2014/main" id="{6B5D7B75-32FF-E57B-4D7B-BE59DDAEF629}"/>
            </a:ext>
          </a:extLst>
        </xdr:cNvPr>
        <xdr:cNvPicPr>
          <a:picLocks noChangeAspect="1"/>
        </xdr:cNvPicPr>
      </xdr:nvPicPr>
      <xdr:blipFill>
        <a:blip xmlns:r="http://schemas.openxmlformats.org/officeDocument/2006/relationships" r:embed="rId5"/>
        <a:stretch>
          <a:fillRect/>
        </a:stretch>
      </xdr:blipFill>
      <xdr:spPr>
        <a:xfrm>
          <a:off x="10701618" y="7429499"/>
          <a:ext cx="5154706" cy="4283820"/>
        </a:xfrm>
        <a:prstGeom prst="rect">
          <a:avLst/>
        </a:prstGeom>
      </xdr:spPr>
    </xdr:pic>
    <xdr:clientData/>
  </xdr:twoCellAnchor>
  <xdr:twoCellAnchor editAs="oneCell">
    <xdr:from>
      <xdr:col>20</xdr:col>
      <xdr:colOff>259771</xdr:colOff>
      <xdr:row>2</xdr:row>
      <xdr:rowOff>86590</xdr:rowOff>
    </xdr:from>
    <xdr:to>
      <xdr:col>23</xdr:col>
      <xdr:colOff>216387</xdr:colOff>
      <xdr:row>22</xdr:row>
      <xdr:rowOff>74412</xdr:rowOff>
    </xdr:to>
    <xdr:pic>
      <xdr:nvPicPr>
        <xdr:cNvPr id="19" name="Imagem 13">
          <a:extLst>
            <a:ext uri="{FF2B5EF4-FFF2-40B4-BE49-F238E27FC236}">
              <a16:creationId xmlns:a16="http://schemas.microsoft.com/office/drawing/2014/main" id="{35E874B5-7598-E425-8327-8EBACA4305B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0723640" y="443778"/>
          <a:ext cx="2412278" cy="3247159"/>
        </a:xfrm>
        <a:prstGeom prst="rect">
          <a:avLst/>
        </a:prstGeom>
      </xdr:spPr>
    </xdr:pic>
    <xdr:clientData/>
  </xdr:twoCellAnchor>
  <xdr:twoCellAnchor editAs="oneCell">
    <xdr:from>
      <xdr:col>16</xdr:col>
      <xdr:colOff>43295</xdr:colOff>
      <xdr:row>15</xdr:row>
      <xdr:rowOff>228101</xdr:rowOff>
    </xdr:from>
    <xdr:to>
      <xdr:col>17</xdr:col>
      <xdr:colOff>638001</xdr:colOff>
      <xdr:row>29</xdr:row>
      <xdr:rowOff>174156</xdr:rowOff>
    </xdr:to>
    <xdr:pic>
      <xdr:nvPicPr>
        <xdr:cNvPr id="25" name="Imagem 16">
          <a:extLst>
            <a:ext uri="{FF2B5EF4-FFF2-40B4-BE49-F238E27FC236}">
              <a16:creationId xmlns:a16="http://schemas.microsoft.com/office/drawing/2014/main" id="{51664E63-FFFA-6FE1-63E7-2AD5C63C6CF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6384623" y="2594470"/>
          <a:ext cx="2261581" cy="3235155"/>
        </a:xfrm>
        <a:prstGeom prst="rect">
          <a:avLst/>
        </a:prstGeom>
      </xdr:spPr>
    </xdr:pic>
    <xdr:clientData/>
  </xdr:twoCellAnchor>
  <xdr:twoCellAnchor editAs="oneCell">
    <xdr:from>
      <xdr:col>17</xdr:col>
      <xdr:colOff>566101</xdr:colOff>
      <xdr:row>2</xdr:row>
      <xdr:rowOff>151533</xdr:rowOff>
    </xdr:from>
    <xdr:to>
      <xdr:col>20</xdr:col>
      <xdr:colOff>463259</xdr:colOff>
      <xdr:row>21</xdr:row>
      <xdr:rowOff>136813</xdr:rowOff>
    </xdr:to>
    <xdr:pic>
      <xdr:nvPicPr>
        <xdr:cNvPr id="77" name="Imagem 18">
          <a:extLst>
            <a:ext uri="{FF2B5EF4-FFF2-40B4-BE49-F238E27FC236}">
              <a16:creationId xmlns:a16="http://schemas.microsoft.com/office/drawing/2014/main" id="{C7A51BD8-49E0-52AE-FFF0-BD2ECFD4D2D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8598660" y="497897"/>
          <a:ext cx="2183158" cy="3052330"/>
        </a:xfrm>
        <a:prstGeom prst="rect">
          <a:avLst/>
        </a:prstGeom>
      </xdr:spPr>
    </xdr:pic>
    <xdr:clientData/>
  </xdr:twoCellAnchor>
  <xdr:twoCellAnchor editAs="oneCell">
    <xdr:from>
      <xdr:col>18</xdr:col>
      <xdr:colOff>595311</xdr:colOff>
      <xdr:row>18</xdr:row>
      <xdr:rowOff>55723</xdr:rowOff>
    </xdr:from>
    <xdr:to>
      <xdr:col>22</xdr:col>
      <xdr:colOff>333373</xdr:colOff>
      <xdr:row>32</xdr:row>
      <xdr:rowOff>687227</xdr:rowOff>
    </xdr:to>
    <xdr:pic>
      <xdr:nvPicPr>
        <xdr:cNvPr id="80" name="Imagem 20">
          <a:extLst>
            <a:ext uri="{FF2B5EF4-FFF2-40B4-BE49-F238E27FC236}">
              <a16:creationId xmlns:a16="http://schemas.microsoft.com/office/drawing/2014/main" id="{37083A29-2FC1-662B-C1D0-A23CA5CF9EE3}"/>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9422070" y="3017404"/>
          <a:ext cx="3012281" cy="4233145"/>
        </a:xfrm>
        <a:prstGeom prst="rect">
          <a:avLst/>
        </a:prstGeom>
      </xdr:spPr>
    </xdr:pic>
    <xdr:clientData/>
  </xdr:twoCellAnchor>
  <xdr:twoCellAnchor editAs="oneCell">
    <xdr:from>
      <xdr:col>22</xdr:col>
      <xdr:colOff>209505</xdr:colOff>
      <xdr:row>22</xdr:row>
      <xdr:rowOff>60178</xdr:rowOff>
    </xdr:from>
    <xdr:to>
      <xdr:col>25</xdr:col>
      <xdr:colOff>198875</xdr:colOff>
      <xdr:row>33</xdr:row>
      <xdr:rowOff>33769</xdr:rowOff>
    </xdr:to>
    <xdr:pic>
      <xdr:nvPicPr>
        <xdr:cNvPr id="75" name="Imagem 22">
          <a:extLst>
            <a:ext uri="{FF2B5EF4-FFF2-40B4-BE49-F238E27FC236}">
              <a16:creationId xmlns:a16="http://schemas.microsoft.com/office/drawing/2014/main" id="{ED813351-A8F2-D405-0D7B-A405ED602F9D}"/>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22355132" y="3761942"/>
          <a:ext cx="2275370" cy="3612141"/>
        </a:xfrm>
        <a:prstGeom prst="rect">
          <a:avLst/>
        </a:prstGeom>
      </xdr:spPr>
    </xdr:pic>
    <xdr:clientData/>
  </xdr:twoCellAnchor>
  <xdr:twoCellAnchor editAs="oneCell">
    <xdr:from>
      <xdr:col>16</xdr:col>
      <xdr:colOff>983620</xdr:colOff>
      <xdr:row>25</xdr:row>
      <xdr:rowOff>263510</xdr:rowOff>
    </xdr:from>
    <xdr:to>
      <xdr:col>18</xdr:col>
      <xdr:colOff>633195</xdr:colOff>
      <xdr:row>33</xdr:row>
      <xdr:rowOff>9039</xdr:rowOff>
    </xdr:to>
    <xdr:pic>
      <xdr:nvPicPr>
        <xdr:cNvPr id="79" name="Imagem 24">
          <a:extLst>
            <a:ext uri="{FF2B5EF4-FFF2-40B4-BE49-F238E27FC236}">
              <a16:creationId xmlns:a16="http://schemas.microsoft.com/office/drawing/2014/main" id="{BD8BD5DA-4157-C02D-1DFE-C9969C96CBB3}"/>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7324948" y="4386051"/>
          <a:ext cx="2135006" cy="290068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7</xdr:col>
      <xdr:colOff>0</xdr:colOff>
      <xdr:row>20</xdr:row>
      <xdr:rowOff>0</xdr:rowOff>
    </xdr:from>
    <xdr:ext cx="304800" cy="308437"/>
    <xdr:sp macro="" textlink="">
      <xdr:nvSpPr>
        <xdr:cNvPr id="19" name="AutoShape 231" descr="Resultado de imagen para beer consumption trend">
          <a:extLst>
            <a:ext uri="{FF2B5EF4-FFF2-40B4-BE49-F238E27FC236}">
              <a16:creationId xmlns:a16="http://schemas.microsoft.com/office/drawing/2014/main" id="{A23DF9CB-ABDC-4CBC-941E-C3A1E6B7BDD7}"/>
            </a:ext>
          </a:extLst>
        </xdr:cNvPr>
        <xdr:cNvSpPr>
          <a:spLocks noChangeAspect="1" noChangeArrowheads="1"/>
        </xdr:cNvSpPr>
      </xdr:nvSpPr>
      <xdr:spPr bwMode="auto">
        <a:xfrm>
          <a:off x="7829550" y="71437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12</xdr:row>
      <xdr:rowOff>0</xdr:rowOff>
    </xdr:from>
    <xdr:ext cx="304800" cy="308437"/>
    <xdr:sp macro="" textlink="">
      <xdr:nvSpPr>
        <xdr:cNvPr id="18" name="AutoShape 232" descr="Resultado de imagen para beer consumption trend">
          <a:extLst>
            <a:ext uri="{FF2B5EF4-FFF2-40B4-BE49-F238E27FC236}">
              <a16:creationId xmlns:a16="http://schemas.microsoft.com/office/drawing/2014/main" id="{290ADD27-FE0C-4C99-AF77-3098E89BD849}"/>
            </a:ext>
          </a:extLst>
        </xdr:cNvPr>
        <xdr:cNvSpPr>
          <a:spLocks noChangeAspect="1" noChangeArrowheads="1"/>
        </xdr:cNvSpPr>
      </xdr:nvSpPr>
      <xdr:spPr bwMode="auto">
        <a:xfrm>
          <a:off x="7829550" y="12001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34</xdr:row>
      <xdr:rowOff>0</xdr:rowOff>
    </xdr:from>
    <xdr:ext cx="304800" cy="306171"/>
    <xdr:sp macro="" textlink="">
      <xdr:nvSpPr>
        <xdr:cNvPr id="17" name="AutoShape 233" descr="Resultado de imagen para beer consumption trend">
          <a:extLst>
            <a:ext uri="{FF2B5EF4-FFF2-40B4-BE49-F238E27FC236}">
              <a16:creationId xmlns:a16="http://schemas.microsoft.com/office/drawing/2014/main" id="{76C615DC-9449-489C-838D-7501FF91B816}"/>
            </a:ext>
          </a:extLst>
        </xdr:cNvPr>
        <xdr:cNvSpPr>
          <a:spLocks noChangeAspect="1" noChangeArrowheads="1"/>
        </xdr:cNvSpPr>
      </xdr:nvSpPr>
      <xdr:spPr bwMode="auto">
        <a:xfrm>
          <a:off x="7067550" y="218122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20</xdr:row>
      <xdr:rowOff>0</xdr:rowOff>
    </xdr:from>
    <xdr:ext cx="304800" cy="305262"/>
    <xdr:sp macro="" textlink="">
      <xdr:nvSpPr>
        <xdr:cNvPr id="16" name="AutoShape 231" descr="Resultado de imagen para beer consumption trend">
          <a:extLst>
            <a:ext uri="{FF2B5EF4-FFF2-40B4-BE49-F238E27FC236}">
              <a16:creationId xmlns:a16="http://schemas.microsoft.com/office/drawing/2014/main" id="{3816F209-593F-4972-8238-056F7A06C2DB}"/>
            </a:ext>
          </a:extLst>
        </xdr:cNvPr>
        <xdr:cNvSpPr>
          <a:spLocks noChangeAspect="1" noChangeArrowheads="1"/>
        </xdr:cNvSpPr>
      </xdr:nvSpPr>
      <xdr:spPr bwMode="auto">
        <a:xfrm>
          <a:off x="10601325" y="923925"/>
          <a:ext cx="304800" cy="3028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12</xdr:row>
      <xdr:rowOff>0</xdr:rowOff>
    </xdr:from>
    <xdr:ext cx="304800" cy="309071"/>
    <xdr:sp macro="" textlink="">
      <xdr:nvSpPr>
        <xdr:cNvPr id="15" name="AutoShape 232" descr="Resultado de imagen para beer consumption trend">
          <a:extLst>
            <a:ext uri="{FF2B5EF4-FFF2-40B4-BE49-F238E27FC236}">
              <a16:creationId xmlns:a16="http://schemas.microsoft.com/office/drawing/2014/main" id="{5D67A490-620E-4BB6-ACF8-2FBAECF65CB2}"/>
            </a:ext>
          </a:extLst>
        </xdr:cNvPr>
        <xdr:cNvSpPr>
          <a:spLocks noChangeAspect="1" noChangeArrowheads="1"/>
        </xdr:cNvSpPr>
      </xdr:nvSpPr>
      <xdr:spPr bwMode="auto">
        <a:xfrm>
          <a:off x="10601325" y="1781175"/>
          <a:ext cx="304800" cy="3086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34</xdr:row>
      <xdr:rowOff>0</xdr:rowOff>
    </xdr:from>
    <xdr:ext cx="304800" cy="301207"/>
    <xdr:sp macro="" textlink="">
      <xdr:nvSpPr>
        <xdr:cNvPr id="14" name="AutoShape 233" descr="Resultado de imagen para beer consumption trend">
          <a:extLst>
            <a:ext uri="{FF2B5EF4-FFF2-40B4-BE49-F238E27FC236}">
              <a16:creationId xmlns:a16="http://schemas.microsoft.com/office/drawing/2014/main" id="{71A499F7-7BCB-43D8-AAAA-8629B391E887}"/>
            </a:ext>
          </a:extLst>
        </xdr:cNvPr>
        <xdr:cNvSpPr>
          <a:spLocks noChangeAspect="1" noChangeArrowheads="1"/>
        </xdr:cNvSpPr>
      </xdr:nvSpPr>
      <xdr:spPr bwMode="auto">
        <a:xfrm>
          <a:off x="10601325" y="3152775"/>
          <a:ext cx="304800" cy="2852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xdr:from>
      <xdr:col>9</xdr:col>
      <xdr:colOff>528777</xdr:colOff>
      <xdr:row>16</xdr:row>
      <xdr:rowOff>56029</xdr:rowOff>
    </xdr:from>
    <xdr:to>
      <xdr:col>17</xdr:col>
      <xdr:colOff>702468</xdr:colOff>
      <xdr:row>32</xdr:row>
      <xdr:rowOff>114301</xdr:rowOff>
    </xdr:to>
    <xdr:graphicFrame macro="">
      <xdr:nvGraphicFramePr>
        <xdr:cNvPr id="2" name="Chart 1">
          <a:extLst>
            <a:ext uri="{FF2B5EF4-FFF2-40B4-BE49-F238E27FC236}">
              <a16:creationId xmlns:a16="http://schemas.microsoft.com/office/drawing/2014/main" id="{F8B867AC-6A7A-4512-8C9D-97B8E534E8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107156</xdr:colOff>
      <xdr:row>32</xdr:row>
      <xdr:rowOff>142875</xdr:rowOff>
    </xdr:from>
    <xdr:to>
      <xdr:col>19</xdr:col>
      <xdr:colOff>273843</xdr:colOff>
      <xdr:row>49</xdr:row>
      <xdr:rowOff>142875</xdr:rowOff>
    </xdr:to>
    <xdr:graphicFrame macro="">
      <xdr:nvGraphicFramePr>
        <xdr:cNvPr id="6" name="Chart 2">
          <a:extLst>
            <a:ext uri="{FF2B5EF4-FFF2-40B4-BE49-F238E27FC236}">
              <a16:creationId xmlns:a16="http://schemas.microsoft.com/office/drawing/2014/main" id="{06EE3DBE-321E-4EF6-A0A4-D90C4883E8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194537</xdr:colOff>
      <xdr:row>0</xdr:row>
      <xdr:rowOff>0</xdr:rowOff>
    </xdr:from>
    <xdr:to>
      <xdr:col>12</xdr:col>
      <xdr:colOff>336797</xdr:colOff>
      <xdr:row>5</xdr:row>
      <xdr:rowOff>132010</xdr:rowOff>
    </xdr:to>
    <xdr:pic>
      <xdr:nvPicPr>
        <xdr:cNvPr id="3" name="Imagem 5">
          <a:extLst>
            <a:ext uri="{FF2B5EF4-FFF2-40B4-BE49-F238E27FC236}">
              <a16:creationId xmlns:a16="http://schemas.microsoft.com/office/drawing/2014/main" id="{0E3808F8-9D67-C468-E724-5A86252B78C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254574" y="0"/>
          <a:ext cx="3583960" cy="4424610"/>
        </a:xfrm>
        <a:prstGeom prst="rect">
          <a:avLst/>
        </a:prstGeom>
      </xdr:spPr>
    </xdr:pic>
    <xdr:clientData/>
  </xdr:twoCellAnchor>
  <xdr:twoCellAnchor editAs="oneCell">
    <xdr:from>
      <xdr:col>1</xdr:col>
      <xdr:colOff>341586</xdr:colOff>
      <xdr:row>2</xdr:row>
      <xdr:rowOff>13911</xdr:rowOff>
    </xdr:from>
    <xdr:to>
      <xdr:col>1</xdr:col>
      <xdr:colOff>1727638</xdr:colOff>
      <xdr:row>3</xdr:row>
      <xdr:rowOff>7436</xdr:rowOff>
    </xdr:to>
    <xdr:pic>
      <xdr:nvPicPr>
        <xdr:cNvPr id="36" name="Picture 6">
          <a:extLst>
            <a:ext uri="{FF2B5EF4-FFF2-40B4-BE49-F238E27FC236}">
              <a16:creationId xmlns:a16="http://schemas.microsoft.com/office/drawing/2014/main" id="{34480E19-F992-839F-10E3-68445DBFD479}"/>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1554" r="12821"/>
        <a:stretch/>
      </xdr:blipFill>
      <xdr:spPr>
        <a:xfrm>
          <a:off x="367862" y="1242308"/>
          <a:ext cx="1386052" cy="1022225"/>
        </a:xfrm>
        <a:prstGeom prst="rect">
          <a:avLst/>
        </a:prstGeom>
      </xdr:spPr>
    </xdr:pic>
    <xdr:clientData/>
  </xdr:twoCellAnchor>
  <xdr:twoCellAnchor editAs="oneCell">
    <xdr:from>
      <xdr:col>1</xdr:col>
      <xdr:colOff>314080</xdr:colOff>
      <xdr:row>3</xdr:row>
      <xdr:rowOff>28022</xdr:rowOff>
    </xdr:from>
    <xdr:to>
      <xdr:col>1</xdr:col>
      <xdr:colOff>1742832</xdr:colOff>
      <xdr:row>4</xdr:row>
      <xdr:rowOff>13666</xdr:rowOff>
    </xdr:to>
    <xdr:pic>
      <xdr:nvPicPr>
        <xdr:cNvPr id="91" name="Picture 10">
          <a:extLst>
            <a:ext uri="{FF2B5EF4-FFF2-40B4-BE49-F238E27FC236}">
              <a16:creationId xmlns:a16="http://schemas.microsoft.com/office/drawing/2014/main" id="{66F72349-BD43-76D3-8706-7864EDAB437D}"/>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9114" r="11655"/>
        <a:stretch/>
      </xdr:blipFill>
      <xdr:spPr>
        <a:xfrm>
          <a:off x="342655" y="2294972"/>
          <a:ext cx="1428752" cy="1014344"/>
        </a:xfrm>
        <a:prstGeom prst="rect">
          <a:avLst/>
        </a:prstGeom>
      </xdr:spPr>
    </xdr:pic>
    <xdr:clientData/>
  </xdr:twoCellAnchor>
  <xdr:twoCellAnchor editAs="oneCell">
    <xdr:from>
      <xdr:col>1</xdr:col>
      <xdr:colOff>380999</xdr:colOff>
      <xdr:row>4</xdr:row>
      <xdr:rowOff>14896</xdr:rowOff>
    </xdr:from>
    <xdr:to>
      <xdr:col>1</xdr:col>
      <xdr:colOff>1743075</xdr:colOff>
      <xdr:row>5</xdr:row>
      <xdr:rowOff>5527</xdr:rowOff>
    </xdr:to>
    <xdr:pic>
      <xdr:nvPicPr>
        <xdr:cNvPr id="75" name="Picture 12">
          <a:extLst>
            <a:ext uri="{FF2B5EF4-FFF2-40B4-BE49-F238E27FC236}">
              <a16:creationId xmlns:a16="http://schemas.microsoft.com/office/drawing/2014/main" id="{8A318F36-14F7-C8AF-3A94-4A79437D6882}"/>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17441" t="5792" r="14536" b="10216"/>
        <a:stretch/>
      </xdr:blipFill>
      <xdr:spPr>
        <a:xfrm>
          <a:off x="409574" y="3320071"/>
          <a:ext cx="1362076" cy="1012826"/>
        </a:xfrm>
        <a:prstGeom prst="rect">
          <a:avLst/>
        </a:prstGeom>
      </xdr:spPr>
    </xdr:pic>
    <xdr:clientData/>
  </xdr:twoCellAnchor>
  <xdr:twoCellAnchor editAs="oneCell">
    <xdr:from>
      <xdr:col>1</xdr:col>
      <xdr:colOff>323850</xdr:colOff>
      <xdr:row>1</xdr:row>
      <xdr:rowOff>47625</xdr:rowOff>
    </xdr:from>
    <xdr:to>
      <xdr:col>1</xdr:col>
      <xdr:colOff>1738454</xdr:colOff>
      <xdr:row>1</xdr:row>
      <xdr:rowOff>1000125</xdr:rowOff>
    </xdr:to>
    <xdr:pic>
      <xdr:nvPicPr>
        <xdr:cNvPr id="89" name="Picture 20">
          <a:extLst>
            <a:ext uri="{FF2B5EF4-FFF2-40B4-BE49-F238E27FC236}">
              <a16:creationId xmlns:a16="http://schemas.microsoft.com/office/drawing/2014/main" id="{6DFA75E3-A0F5-6B39-A6D7-A4F06EAA60AE}"/>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l="25907" r="24588"/>
        <a:stretch/>
      </xdr:blipFill>
      <xdr:spPr>
        <a:xfrm>
          <a:off x="352425" y="238125"/>
          <a:ext cx="1414604" cy="9525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17</xdr:col>
      <xdr:colOff>216647</xdr:colOff>
      <xdr:row>9</xdr:row>
      <xdr:rowOff>117849</xdr:rowOff>
    </xdr:from>
    <xdr:to>
      <xdr:col>21</xdr:col>
      <xdr:colOff>987985</xdr:colOff>
      <xdr:row>21</xdr:row>
      <xdr:rowOff>50240</xdr:rowOff>
    </xdr:to>
    <xdr:graphicFrame macro="">
      <xdr:nvGraphicFramePr>
        <xdr:cNvPr id="4" name="Gráfico 2">
          <a:extLst>
            <a:ext uri="{FF2B5EF4-FFF2-40B4-BE49-F238E27FC236}">
              <a16:creationId xmlns:a16="http://schemas.microsoft.com/office/drawing/2014/main" id="{68D32554-B84B-4D3D-B4A4-F75F276BEE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148</xdr:row>
      <xdr:rowOff>0</xdr:rowOff>
    </xdr:from>
    <xdr:to>
      <xdr:col>6</xdr:col>
      <xdr:colOff>648523</xdr:colOff>
      <xdr:row>167</xdr:row>
      <xdr:rowOff>428</xdr:rowOff>
    </xdr:to>
    <xdr:pic>
      <xdr:nvPicPr>
        <xdr:cNvPr id="2" name="Picture 1">
          <a:extLst>
            <a:ext uri="{FF2B5EF4-FFF2-40B4-BE49-F238E27FC236}">
              <a16:creationId xmlns:a16="http://schemas.microsoft.com/office/drawing/2014/main" id="{6481764A-2A80-4226-B84E-D350657768AC}"/>
            </a:ext>
          </a:extLst>
        </xdr:cNvPr>
        <xdr:cNvPicPr>
          <a:picLocks noChangeAspect="1"/>
        </xdr:cNvPicPr>
      </xdr:nvPicPr>
      <xdr:blipFill>
        <a:blip xmlns:r="http://schemas.openxmlformats.org/officeDocument/2006/relationships" r:embed="rId1"/>
        <a:stretch>
          <a:fillRect/>
        </a:stretch>
      </xdr:blipFill>
      <xdr:spPr>
        <a:xfrm>
          <a:off x="0" y="18830925"/>
          <a:ext cx="5896798" cy="3077004"/>
        </a:xfrm>
        <a:prstGeom prst="rect">
          <a:avLst/>
        </a:prstGeom>
      </xdr:spPr>
    </xdr:pic>
    <xdr:clientData/>
  </xdr:twoCellAnchor>
  <xdr:twoCellAnchor editAs="oneCell">
    <xdr:from>
      <xdr:col>0</xdr:col>
      <xdr:colOff>0</xdr:colOff>
      <xdr:row>169</xdr:row>
      <xdr:rowOff>0</xdr:rowOff>
    </xdr:from>
    <xdr:to>
      <xdr:col>9</xdr:col>
      <xdr:colOff>25208</xdr:colOff>
      <xdr:row>187</xdr:row>
      <xdr:rowOff>148332</xdr:rowOff>
    </xdr:to>
    <xdr:pic>
      <xdr:nvPicPr>
        <xdr:cNvPr id="3" name="Picture 2">
          <a:extLst>
            <a:ext uri="{FF2B5EF4-FFF2-40B4-BE49-F238E27FC236}">
              <a16:creationId xmlns:a16="http://schemas.microsoft.com/office/drawing/2014/main" id="{C9546FE5-FEB5-2827-55F4-CBFE26142A68}"/>
            </a:ext>
          </a:extLst>
        </xdr:cNvPr>
        <xdr:cNvPicPr>
          <a:picLocks noChangeAspect="1"/>
        </xdr:cNvPicPr>
      </xdr:nvPicPr>
      <xdr:blipFill>
        <a:blip xmlns:r="http://schemas.openxmlformats.org/officeDocument/2006/relationships" r:embed="rId2"/>
        <a:stretch>
          <a:fillRect/>
        </a:stretch>
      </xdr:blipFill>
      <xdr:spPr>
        <a:xfrm>
          <a:off x="0" y="21806647"/>
          <a:ext cx="7992590" cy="2972215"/>
        </a:xfrm>
        <a:prstGeom prst="rect">
          <a:avLst/>
        </a:prstGeom>
      </xdr:spPr>
    </xdr:pic>
    <xdr:clientData/>
  </xdr:twoCellAnchor>
  <xdr:twoCellAnchor editAs="oneCell">
    <xdr:from>
      <xdr:col>9</xdr:col>
      <xdr:colOff>358588</xdr:colOff>
      <xdr:row>155</xdr:row>
      <xdr:rowOff>89648</xdr:rowOff>
    </xdr:from>
    <xdr:to>
      <xdr:col>16</xdr:col>
      <xdr:colOff>736582</xdr:colOff>
      <xdr:row>183</xdr:row>
      <xdr:rowOff>2843</xdr:rowOff>
    </xdr:to>
    <xdr:pic>
      <xdr:nvPicPr>
        <xdr:cNvPr id="4" name="Picture 3">
          <a:extLst>
            <a:ext uri="{FF2B5EF4-FFF2-40B4-BE49-F238E27FC236}">
              <a16:creationId xmlns:a16="http://schemas.microsoft.com/office/drawing/2014/main" id="{D8D85552-F0D9-8910-1B32-73A16C3F3C7F}"/>
            </a:ext>
          </a:extLst>
        </xdr:cNvPr>
        <xdr:cNvPicPr>
          <a:picLocks noChangeAspect="1"/>
        </xdr:cNvPicPr>
      </xdr:nvPicPr>
      <xdr:blipFill>
        <a:blip xmlns:r="http://schemas.openxmlformats.org/officeDocument/2006/relationships" r:embed="rId3"/>
        <a:stretch>
          <a:fillRect/>
        </a:stretch>
      </xdr:blipFill>
      <xdr:spPr>
        <a:xfrm>
          <a:off x="8325970" y="19699942"/>
          <a:ext cx="6563641" cy="4305901"/>
        </a:xfrm>
        <a:prstGeom prst="rect">
          <a:avLst/>
        </a:prstGeom>
      </xdr:spPr>
    </xdr:pic>
    <xdr:clientData/>
  </xdr:twoCellAnchor>
  <xdr:twoCellAnchor editAs="oneCell">
    <xdr:from>
      <xdr:col>2</xdr:col>
      <xdr:colOff>0</xdr:colOff>
      <xdr:row>105</xdr:row>
      <xdr:rowOff>0</xdr:rowOff>
    </xdr:from>
    <xdr:to>
      <xdr:col>10</xdr:col>
      <xdr:colOff>522123</xdr:colOff>
      <xdr:row>109</xdr:row>
      <xdr:rowOff>153629</xdr:rowOff>
    </xdr:to>
    <xdr:pic>
      <xdr:nvPicPr>
        <xdr:cNvPr id="5" name="Picture 4">
          <a:extLst>
            <a:ext uri="{FF2B5EF4-FFF2-40B4-BE49-F238E27FC236}">
              <a16:creationId xmlns:a16="http://schemas.microsoft.com/office/drawing/2014/main" id="{3D91AF98-935A-B86B-14DF-2877ED0ECEBB}"/>
            </a:ext>
          </a:extLst>
        </xdr:cNvPr>
        <xdr:cNvPicPr>
          <a:picLocks noChangeAspect="1"/>
        </xdr:cNvPicPr>
      </xdr:nvPicPr>
      <xdr:blipFill>
        <a:blip xmlns:r="http://schemas.openxmlformats.org/officeDocument/2006/relationships" r:embed="rId4"/>
        <a:stretch>
          <a:fillRect/>
        </a:stretch>
      </xdr:blipFill>
      <xdr:spPr>
        <a:xfrm>
          <a:off x="1781735" y="16640735"/>
          <a:ext cx="7525800" cy="781159"/>
        </a:xfrm>
        <a:prstGeom prst="rect">
          <a:avLst/>
        </a:prstGeom>
      </xdr:spPr>
    </xdr:pic>
    <xdr:clientData/>
  </xdr:twoCellAnchor>
  <xdr:twoCellAnchor editAs="oneCell">
    <xdr:from>
      <xdr:col>2</xdr:col>
      <xdr:colOff>0</xdr:colOff>
      <xdr:row>111</xdr:row>
      <xdr:rowOff>0</xdr:rowOff>
    </xdr:from>
    <xdr:to>
      <xdr:col>10</xdr:col>
      <xdr:colOff>379228</xdr:colOff>
      <xdr:row>130</xdr:row>
      <xdr:rowOff>77187</xdr:rowOff>
    </xdr:to>
    <xdr:pic>
      <xdr:nvPicPr>
        <xdr:cNvPr id="6" name="Picture 5">
          <a:extLst>
            <a:ext uri="{FF2B5EF4-FFF2-40B4-BE49-F238E27FC236}">
              <a16:creationId xmlns:a16="http://schemas.microsoft.com/office/drawing/2014/main" id="{D62CB8B6-E6AD-9165-23F3-E1988D660C8A}"/>
            </a:ext>
          </a:extLst>
        </xdr:cNvPr>
        <xdr:cNvPicPr>
          <a:picLocks noChangeAspect="1"/>
        </xdr:cNvPicPr>
      </xdr:nvPicPr>
      <xdr:blipFill>
        <a:blip xmlns:r="http://schemas.openxmlformats.org/officeDocument/2006/relationships" r:embed="rId5"/>
        <a:stretch>
          <a:fillRect/>
        </a:stretch>
      </xdr:blipFill>
      <xdr:spPr>
        <a:xfrm>
          <a:off x="1781735" y="17582029"/>
          <a:ext cx="7382905" cy="305795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phdisegutl.sharepoint.com/C:/Users/gabri/Desktop/ISEG/Lisbon%20Investment%20Society/Head%20ER/Assumptions%20sheet-%20Dami&#227;o.xlsx" TargetMode="External"/><Relationship Id="rId1" Type="http://schemas.openxmlformats.org/officeDocument/2006/relationships/externalLinkPath" Target="file:///C:\Users\gabri\Desktop\ISEG\Lisbon%20Investment%20Society\Head%20ER\Assumptions%20sheet-%20Dami&#227;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
      <sheetName val="Segments"/>
      <sheetName val="Acuerdo"/>
      <sheetName val="Peers"/>
      <sheetName val="ESG"/>
      <sheetName val="DCF"/>
      <sheetName val="Assum."/>
      <sheetName val="Fin. Data"/>
      <sheetName val="Fin. Data (Common Size)"/>
      <sheetName val="Inputs"/>
      <sheetName val="Sector Impa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Set>
  </externalBook>
</externalLink>
</file>

<file path=xl/persons/person.xml><?xml version="1.0" encoding="utf-8"?>
<personList xmlns="http://schemas.microsoft.com/office/spreadsheetml/2018/threadedcomments" xmlns:x="http://schemas.openxmlformats.org/spreadsheetml/2006/main">
  <person displayName="DAVID FILIPE DE SOUSA TITA" id="{6D2C5BD9-1C3E-4972-9F97-1CA81A3CC14E}" userId="S::david.tita@aln.iseg.ulisboa.pt::2b554b1a-dfdf-4fc2-8414-05963e9f059c"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20">
  <rv s="0">
    <v>https://www.bing.com/financeapi/forcetrigger?t=a1ygoc&amp;q=XNAS%3aNFLX&amp;form=skydnc</v>
    <v>Learn more on Bing</v>
  </rv>
  <rv s="1">
    <v>en-US</v>
    <v>a1ygoc</v>
    <v>268435456</v>
    <v>1</v>
    <v>Powered by Refinitiv</v>
    <v>0</v>
    <v>NETFLIX, INC. (XNAS:NFLX)</v>
    <v>2</v>
    <v>3</v>
    <v>Finance</v>
    <v>4</v>
    <v>820.36969999999997</v>
    <v>442.6</v>
    <v>1.2412000000000001</v>
    <v>12.95</v>
    <v>1.6077999999999999E-2</v>
    <v>USD</v>
    <v>Netflix, Inc. is a provider of entertainment services. The Company acquires, licenses and produces content, including original programming. The Company provides paid memberships in approximately 190 countries offering television (TV) series, films and games across a wide variety of genres and languages. Its members can play, pause and resume watching as much as they want, anytime, anywhere, and can change their plans at any time. The Company offers members the ability to receive streaming content through a host of Internet-connected devices, including TVs, digital video players, TV set-top boxes and mobile devices. The Company also has agreements with various cable, satellite and telecommunications operators to make its service available through TV set-top boxes. The Company's paid plans range from the United States dollar equivalent of $1 to $28 per month, and pricing on its extra member sub accounts range from the United States dollar equivalent of $2 to $8 per month.</v>
    <v>13000</v>
    <v>Nasdaq Stock Market</v>
    <v>XNAS</v>
    <v>XNAS</v>
    <v>121 Albright Way, LOS GATOS, CA, 95032 US</v>
    <v>820.36969999999997</v>
    <v>Software &amp; IT Services</v>
    <v>Stock</v>
    <v>45608.861446075782</v>
    <v>0</v>
    <v>803.75</v>
    <v>349827434459</v>
    <v>NETFLIX, INC.</v>
    <v>NETFLIX, INC.</v>
    <v>808</v>
    <v>45.573999999999998</v>
    <v>805.44</v>
    <v>818.39</v>
    <v>427458100</v>
    <v>NFLX</v>
    <v>NETFLIX, INC. (XNAS:NFLX)</v>
    <v>2107197</v>
    <v>3652577</v>
    <v>1997</v>
  </rv>
  <rv s="2">
    <v>1</v>
  </rv>
  <rv s="3">
    <v>0</v>
    <v>8</v>
    <v>8</v>
    <v>1</v>
  </rv>
  <rv s="0">
    <v>http://en.wikipedia.org/wiki/Public_domain</v>
    <v>Public domain</v>
  </rv>
  <rv s="0">
    <v>http://en.wikipedia.org/wiki/The_Walt_Disney_Company</v>
    <v>Wikipedia</v>
  </rv>
  <rv s="4">
    <v>4</v>
    <v>5</v>
  </rv>
  <rv s="5">
    <v>9</v>
    <v>https://www.bing.com/th?id=AMMS_0aa288ba528f6f45e3de87d97e250136&amp;qlt=95</v>
    <v>6</v>
    <v>0</v>
    <v>https://www.bing.com/images/search?form=xlimg&amp;q=the+walt+disney+company</v>
    <v>Image of THE WALT DISNEY COMPANY</v>
  </rv>
  <rv s="0">
    <v>https://www.bing.com/financeapi/forcetrigger?t=a1r2z2&amp;q=XNYS%3aDIS&amp;form=skydnc</v>
    <v>Learn more on Bing</v>
  </rv>
  <rv s="6">
    <v>en-US</v>
    <v>a1r2z2</v>
    <v>268435456</v>
    <v>1</v>
    <v>Powered by Refinitiv</v>
    <v>5</v>
    <v>THE WALT DISNEY COMPANY (XNYS:DIS)</v>
    <v>7</v>
    <v>8</v>
    <v>Finance</v>
    <v>4</v>
    <v>123.74</v>
    <v>83.91</v>
    <v>1.3769</v>
    <v>-0.12</v>
    <v>-1.1899999999999999E-3</v>
    <v>USD</v>
    <v>The Walt Disney Company is a diversified worldwide entertainment company. The Company's segments include Entertainment, Sports and Experiences. The Entertainment segment generally encompasses the Company’s non-sports focused global film, television and direct-to-consumer (DTC) video streaming content production and distribution activities. Its line of business includes Linear Networks, Direct-to-Consumer, and Content Sales/Licensing. The Sports segment generally encompasses the Company’s sports-focused global television and DTC video streaming content production and distribution activities. Its line of business includes ESPN and Star. Experiences segment includes Parks and Experiences and Consumer Products. Parks and Experiences consists of Walt Disney World Resort in Florida, Disneyland Resort in California, Disney Cruise Line, Disney Vacation Club, and Disneyland Paris, among others. Consumer Products includes licensing of its trade names, characters, visual, literary and other IPs.</v>
    <v>225000</v>
    <v>New York Stock Exchange</v>
    <v>XNYS</v>
    <v>XNYS</v>
    <v>500 South Buena Vista Street, BURBANK, CA, 91521-0001 US</v>
    <v>101.29</v>
    <v>7</v>
    <v>Media &amp; Publishing</v>
    <v>Stock</v>
    <v>45608.861465068752</v>
    <v>8</v>
    <v>99.5</v>
    <v>182700754380</v>
    <v>THE WALT DISNEY COMPANY</v>
    <v>THE WALT DISNEY COMPANY</v>
    <v>100.73</v>
    <v>38.6798</v>
    <v>100.86</v>
    <v>100.74</v>
    <v>1813587000</v>
    <v>DIS</v>
    <v>THE WALT DISNEY COMPANY (XNYS:DIS)</v>
    <v>6402724</v>
    <v>7712185</v>
    <v>2018</v>
  </rv>
  <rv s="2">
    <v>9</v>
  </rv>
  <rv s="0">
    <v>https://www.bing.com/financeapi/forcetrigger?t=a1r32w&amp;q=XNAS%3aWBD&amp;form=skydnc</v>
    <v>Learn more on Bing</v>
  </rv>
  <rv s="1">
    <v>en-US</v>
    <v>a1r32w</v>
    <v>268435456</v>
    <v>1</v>
    <v>Powered by Refinitiv</v>
    <v>0</v>
    <v>WARNER BROS. DISCOVERY, INC. (XNAS:WBD)</v>
    <v>2</v>
    <v>3</v>
    <v>Finance</v>
    <v>4</v>
    <v>12.7</v>
    <v>6.64</v>
    <v>1.48</v>
    <v>-0.13500000000000001</v>
    <v>-1.4469000000000001E-2</v>
    <v>USD</v>
    <v>Warner Bros. Discovery, Inc. is a global media and entertainment company. The Company operates through three segments: Studios, Networks, and DTC. The Studios segment consists of the production and release of feature films for initial exhibition in theaters, production, and initial licensing of television programs to its networks/DTC services as well as third parties, distribution of its films and television programs to various third party and internal television and streaming services, distribution through the home entertainment market (physical and digital), related consumer products and themed experience licensing, and interactive gaming. The Networks segment primarily consists of its domestic and international television networks. The DTC segment primarily consists of its premium pay-TV and streaming services. The Company's brands and franchises include Warner Bros. Motion Picture Group, DC, HBO, HBO Max, discovery+, CNN, TLC, OWN, Warner Bros., and Discovery Channel, among others.</v>
    <v>35300</v>
    <v>Nasdaq Stock Market</v>
    <v>XNAS</v>
    <v>XNAS</v>
    <v>230 PARK AVENUE SOUTH, NEW YORK, NY, 10003 US</v>
    <v>9.26</v>
    <v>Media &amp; Publishing</v>
    <v>Stock</v>
    <v>45608.861426747659</v>
    <v>11</v>
    <v>9.08</v>
    <v>22545294060</v>
    <v>WARNER BROS. DISCOVERY, INC.</v>
    <v>WARNER BROS. DISCOVERY, INC.</v>
    <v>9.1999999999999993</v>
    <v>0</v>
    <v>9.33</v>
    <v>9.1950000000000003</v>
    <v>2451908000</v>
    <v>WBD</v>
    <v>WARNER BROS. DISCOVERY, INC. (XNAS:WBD)</v>
    <v>21186574</v>
    <v>27736563</v>
    <v>2008</v>
  </rv>
  <rv s="2">
    <v>12</v>
  </rv>
  <rv s="0">
    <v>https://www.bing.com/financeapi/forcetrigger?t=a1nhlh&amp;q=XNAS%3aAMZN&amp;form=skydnc</v>
    <v>Learn more on Bing</v>
  </rv>
  <rv s="1">
    <v>en-US</v>
    <v>a1nhlh</v>
    <v>268435456</v>
    <v>1</v>
    <v>Powered by Refinitiv</v>
    <v>0</v>
    <v>AMAZON.COM, INC. (XNAS:AMZN)</v>
    <v>2</v>
    <v>3</v>
    <v>Finance</v>
    <v>4</v>
    <v>212.25</v>
    <v>139.52000000000001</v>
    <v>1.1609</v>
    <v>1.87</v>
    <v>9.0410000000000004E-3</v>
    <v>USD</v>
    <v>Amazon.com, Inc. provides a range of products and services to customers. The products offered through its stores include merchandise and content it has purchased for resale and products offered by third-party sellers. The Company’s segments include North America, International and Amazon Web Services (AWS). It serves consumers through its online and physical stores and focuses on selection, price, and convenience. Customers access its offerings through its Websites, mobile apps, Alexa, devices, streaming, and physically visiting its stores. It manufactures and sells electronic devices, including Kindle, Fire tablet, Fire TV, Echo, Ring, Blink, and eero, and it develops and produces media content. It serves developers and enterprises of all sizes, including start-ups, government agencies, and academic institutions, through AWS, which offers a broad set of on-demand technology services, including compute, storage, database, analytics, and machine learning, and other services.</v>
    <v>1551000</v>
    <v>Nasdaq Stock Market</v>
    <v>XNAS</v>
    <v>XNAS</v>
    <v>410 Terry Ave N, SEATTLE, WA, 98109 US</v>
    <v>209.54</v>
    <v>Diversified Retail</v>
    <v>Stock</v>
    <v>45608.861458796091</v>
    <v>14</v>
    <v>206.01</v>
    <v>2194587737100</v>
    <v>AMAZON.COM, INC.</v>
    <v>AMAZON.COM, INC.</v>
    <v>208.2</v>
    <v>44.330100000000002</v>
    <v>206.84</v>
    <v>208.71</v>
    <v>10515010000</v>
    <v>AMZN</v>
    <v>AMAZON.COM, INC. (XNAS:AMZN)</v>
    <v>25728406</v>
    <v>37044719</v>
    <v>1996</v>
  </rv>
  <rv s="2">
    <v>15</v>
  </rv>
  <rv s="0">
    <v>https://www.bing.com/financeapi/forcetrigger?t=a1mou2&amp;q=XNAS%3aAAPL&amp;form=skydnc</v>
    <v>Learn more on Bing</v>
  </rv>
  <rv s="1">
    <v>en-US</v>
    <v>a1mou2</v>
    <v>268435456</v>
    <v>1</v>
    <v>Powered by Refinitiv</v>
    <v>0</v>
    <v>APPLE INC. (XNAS:AAPL)</v>
    <v>2</v>
    <v>3</v>
    <v>Finance</v>
    <v>4</v>
    <v>237.49</v>
    <v>164.07499999999999</v>
    <v>1.2162999999999999</v>
    <v>-9.8000000000000004E-2</v>
    <v>-4.371E-4</v>
    <v>USD</v>
    <v>Apple Inc. designs, manufactures and markets smartphones, personal computers, tablets, wearables and accessories, and sells a variety of related services. Its product categories include iPhone, Mac, iPad, and Wearables, Home and Accessories. Its software platforms include iOS, iPadOS, macOS, watchOS, and tvOS. Its services include advertising, AppleCare, cloud services, digital content and payment services. It operates various platforms, including the App Store, that allow customers to discover and download applications and digital content, such as books, music, video, games and podcasts. It also offers digital content through subscription-based services, including Apple Arcade, Apple Fitness+, Apple Music, Apple News+ and Apple TV+. Its products include iPhone 15 Pro, iPhone 15, iPhone 14, iPhone 13, MacBook Air, MacBook Pro, iMac, Mac mini, Mac Studio, Mac Pro, and others. It also provides DarwinAI, which specializes in visual quality inspection using its Explainable AI platform.</v>
    <v>164000</v>
    <v>Nasdaq Stock Market</v>
    <v>XNAS</v>
    <v>XNAS</v>
    <v>One Apple Park Way, CUPERTINO, CA, 95014 US</v>
    <v>225.59</v>
    <v>Computers, Phones &amp; Household Electronics</v>
    <v>Stock</v>
    <v>45608.861432858597</v>
    <v>17</v>
    <v>223.35499999999999</v>
    <v>3387938968240</v>
    <v>APPLE INC.</v>
    <v>APPLE INC.</v>
    <v>224.5</v>
    <v>36.941200000000002</v>
    <v>224.23</v>
    <v>224.13200000000001</v>
    <v>15115820000</v>
    <v>AAPL</v>
    <v>APPLE INC. (XNAS:AAPL)</v>
    <v>24531921</v>
    <v>41565659</v>
    <v>1977</v>
  </rv>
  <rv s="2">
    <v>18</v>
  </rv>
</rvData>
</file>

<file path=xl/richData/rdrichvaluestructure.xml><?xml version="1.0" encoding="utf-8"?>
<rvStructures xmlns="http://schemas.microsoft.com/office/spreadsheetml/2017/richdata" count="7">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error">
    <k n="colOffset" t="i"/>
    <k n="errorType" t="i"/>
    <k n="rwOffset" t="i"/>
    <k n="subType" t="i"/>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2">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spbArrays>
  <spbData count="10">
    <spb s="0">
      <v>0</v>
      <v>Name</v>
      <v>LearnMoreOnLink</v>
    </spb>
    <spb s="1">
      <v>0</v>
      <v>0</v>
      <v>0</v>
    </spb>
    <spb s="2">
      <v>1</v>
      <v>1</v>
      <v>1</v>
      <v>1</v>
    </spb>
    <spb s="3">
      <v>1</v>
      <v>2</v>
      <v>2</v>
      <v>1</v>
      <v>3</v>
      <v>1</v>
      <v>1</v>
      <v>1</v>
      <v>4</v>
      <v>4</v>
      <v>5</v>
      <v>6</v>
      <v>1</v>
      <v>1</v>
      <v>1</v>
      <v>4</v>
      <v>7</v>
      <v>8</v>
      <v>9</v>
      <v>4</v>
    </spb>
    <spb s="4">
      <v>Real-Time Nasdaq Last Sale</v>
      <v>from previous close</v>
      <v>from previous close</v>
      <v>Source: Nasdaq Last Sale</v>
      <v>GMT</v>
    </spb>
    <spb s="0">
      <v>1</v>
      <v>Name</v>
      <v>LearnMoreOnLink</v>
    </spb>
    <spb s="5">
      <v>0</v>
      <v>0</v>
    </spb>
    <spb s="6">
      <v>6</v>
      <v>1</v>
      <v>1</v>
      <v>1</v>
      <v>1</v>
    </spb>
    <spb s="7">
      <v>1</v>
      <v>2</v>
      <v>2</v>
      <v>1</v>
      <v>3</v>
      <v>1</v>
      <v>10</v>
      <v>1</v>
      <v>1</v>
      <v>4</v>
      <v>4</v>
      <v>5</v>
      <v>6</v>
      <v>1</v>
      <v>1</v>
      <v>1</v>
      <v>4</v>
      <v>7</v>
      <v>8</v>
      <v>9</v>
      <v>4</v>
    </spb>
    <spb s="8">
      <v>Powered by Refinitiv</v>
    </spb>
  </spbData>
</supportingPropertyBags>
</file>

<file path=xl/richData/rdsupportingpropertybagstructure.xml><?xml version="1.0" encoding="utf-8"?>
<spbStructures xmlns="http://schemas.microsoft.com/office/spreadsheetml/2017/richdata2" count="9">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na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4" formatCode="#,##0.00"/>
    </x:dxf>
    <x:dxf>
      <x:numFmt numFmtId="3" formatCode="#,##0"/>
    </x:dxf>
    <x:dxf>
      <x:numFmt numFmtId="14" formatCode="0.00%"/>
    </x:dxf>
    <x:dxf>
      <x:numFmt numFmtId="2" formatCode="0.00"/>
    </x:dxf>
    <x:dxf>
      <x:numFmt numFmtId="1" formatCode="0"/>
    </x:dxf>
    <x:dxf>
      <x:numFmt numFmtId="27" formatCode="yyyy/m/d\ h:mm"/>
    </x:dxf>
    <x:dxf>
      <x:numFmt numFmtId="0" formatCode="General"/>
    </x:dxf>
  </dxfs>
  <richProperties>
    <rPr n="NumberFormat" t="s"/>
    <rPr n="IsTitleField" t="b"/>
    <rPr n="IsHeroField" t="b"/>
  </richProperties>
  <richStyles>
    <rSty dxfid="6">
      <rpv i="0">_([$$-en-US]* #,##0.00_);_([$$-en-US]* (#,##0.00);_([$$-en-US]* "-"??_);_(@_)</rpv>
    </rSty>
    <rSty dxfid="0">
      <rpv i="0">#,##0.00</rpv>
    </rSty>
    <rSty>
      <rpv i="1">1</rpv>
    </rSty>
    <rSty dxfid="1">
      <rpv i="0">#,##0</rpv>
    </rSty>
    <rSty dxfid="2"/>
    <rSty dxfid="6">
      <rpv i="0">_([$$-en-US]* #,##0_);_([$$-en-US]* (#,##0);_([$$-en-US]* "-"_);_(@_)</rpv>
    </rSty>
    <rSty dxfid="5"/>
    <rSty dxfid="4">
      <rpv i="0">0</rpv>
    </rSty>
    <rSty dxfid="3">
      <rpv i="0">0.00</rpv>
    </rSty>
    <rSty>
      <rpv i="2">1</rpv>
    </rSty>
  </richStyles>
</richStyleSheet>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2" dT="2023-03-05T23:56:38.75" personId="{6D2C5BD9-1C3E-4972-9F97-1CA81A3CC14E}" id="{B8360AB7-5DB1-45D3-ABF9-3AFEF51621D6}">
    <text>Date of last update of the report</text>
  </threadedComment>
  <threadedComment ref="D2" dT="2023-03-05T23:56:06.54" personId="{6D2C5BD9-1C3E-4972-9F97-1CA81A3CC14E}" id="{D17B5162-9C54-4F03-8882-3A424C1A2E60}">
    <text>Insert the date when the company will issue their next quarter/annual report</text>
  </threadedComment>
  <threadedComment ref="L2" dT="2023-03-05T23:56:59.28" personId="{6D2C5BD9-1C3E-4972-9F97-1CA81A3CC14E}" id="{74106D0B-4568-4C95-B1A7-D780E3BD20D3}">
    <text>In what exchange the company is listed in (Input the main exchange)</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hyperlink" Target="https://www.grandviewresearch.com/industry-analysis/video-streaming-market" TargetMode="External"/><Relationship Id="rId7" Type="http://schemas.openxmlformats.org/officeDocument/2006/relationships/vmlDrawing" Target="../drawings/vmlDrawing2.vml"/><Relationship Id="rId2" Type="http://schemas.openxmlformats.org/officeDocument/2006/relationships/hyperlink" Target="https://www.statista.com/outlook/amo/esports/streaming/worldwide" TargetMode="External"/><Relationship Id="rId1" Type="http://schemas.openxmlformats.org/officeDocument/2006/relationships/hyperlink" Target="https://www.statista.com/outlook/amo/esports/streaming/worldwide"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s://www.grandviewresearch.com/industry-analysis/video-streaming-market"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7.bin"/><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rgb="FF002060"/>
    <pageSetUpPr fitToPage="1"/>
  </sheetPr>
  <dimension ref="A1:S107"/>
  <sheetViews>
    <sheetView showGridLines="0" topLeftCell="D1" zoomScale="70" zoomScaleNormal="70" workbookViewId="0">
      <selection activeCell="C20" sqref="C20"/>
    </sheetView>
  </sheetViews>
  <sheetFormatPr defaultColWidth="11.42578125" defaultRowHeight="12.75"/>
  <cols>
    <col min="1" max="1" width="0.42578125" customWidth="1"/>
    <col min="2" max="2" width="21.140625" bestFit="1" customWidth="1"/>
    <col min="3" max="3" width="23.42578125" customWidth="1"/>
    <col min="4" max="4" width="32" customWidth="1"/>
    <col min="5" max="5" width="20.42578125" bestFit="1" customWidth="1"/>
    <col min="6" max="6" width="17" bestFit="1" customWidth="1"/>
    <col min="7" max="7" width="13.42578125" bestFit="1" customWidth="1"/>
    <col min="8" max="8" width="25" customWidth="1"/>
    <col min="9" max="9" width="17.140625" customWidth="1"/>
    <col min="10" max="10" width="15.140625" customWidth="1"/>
    <col min="11" max="11" width="13.42578125" customWidth="1"/>
    <col min="12" max="12" width="21" bestFit="1" customWidth="1"/>
    <col min="13" max="13" width="31" customWidth="1"/>
  </cols>
  <sheetData>
    <row r="1" spans="2:17" ht="3.75" customHeight="1" thickBot="1"/>
    <row r="2" spans="2:17" ht="22.5" customHeight="1">
      <c r="B2" s="415">
        <v>45039</v>
      </c>
      <c r="C2" s="292" t="s">
        <v>0</v>
      </c>
      <c r="D2" s="416"/>
      <c r="E2" s="933" t="e" vm="1">
        <f>Inputs!H3</f>
        <v>#VALUE!</v>
      </c>
      <c r="F2" s="934"/>
      <c r="G2" s="934"/>
      <c r="H2" s="934"/>
      <c r="I2" s="934"/>
      <c r="J2" s="934"/>
      <c r="K2" s="935"/>
      <c r="L2" s="293" t="s">
        <v>1</v>
      </c>
      <c r="M2" s="494" t="s">
        <v>2</v>
      </c>
    </row>
    <row r="3" spans="2:17" ht="26.25" customHeight="1">
      <c r="B3" s="923"/>
      <c r="C3" s="924"/>
      <c r="D3" s="945" t="s">
        <v>3</v>
      </c>
      <c r="E3" s="945"/>
      <c r="F3" s="945"/>
      <c r="G3" s="945"/>
      <c r="H3" s="945" t="s">
        <v>4</v>
      </c>
      <c r="I3" s="945"/>
      <c r="J3" s="945"/>
      <c r="K3" s="945"/>
      <c r="L3" s="945"/>
      <c r="M3" s="946"/>
    </row>
    <row r="4" spans="2:17" ht="15" customHeight="1">
      <c r="B4" s="923"/>
      <c r="C4" s="924"/>
      <c r="D4" s="943" t="str" cm="1">
        <f t="array" aca="1" ref="D4" ca="1">_FV(Inputs!H3,"Description")</f>
        <v>Netflix, Inc. is a provider of entertainment services. The Company acquires, licenses and produces content, including original programming. The Company provides paid memberships in approximately 190 countries offering television (TV) series, films and games across a wide variety of genres and languages. Its members can play, pause and resume watching as much as they want, anytime, anywhere, and can change their plans at any time. The Company offers members the ability to receive streaming content through a host of Internet-connected devices, including TVs, digital video players, TV set-top boxes and mobile devices. The Company also has agreements with various cable, satellite and telecommunications operators to make its service available through TV set-top boxes. The Company's paid plans range from the United States dollar equivalent of $1 to $28 per month, and pricing on its extra member sub accounts range from the United States dollar equivalent of $2 to $8 per month.</v>
      </c>
      <c r="E4" s="943"/>
      <c r="F4" s="943"/>
      <c r="G4" s="943"/>
      <c r="H4" s="114" t="s">
        <v>5</v>
      </c>
      <c r="I4" s="115" t="s">
        <v>6</v>
      </c>
      <c r="J4" s="115" t="s">
        <v>7</v>
      </c>
      <c r="K4" s="938" t="s">
        <v>8</v>
      </c>
      <c r="L4" s="939"/>
      <c r="M4" s="950"/>
    </row>
    <row r="5" spans="2:17" ht="28.5" customHeight="1">
      <c r="B5" s="923"/>
      <c r="C5" s="924"/>
      <c r="D5" s="943"/>
      <c r="E5" s="943"/>
      <c r="F5" s="943"/>
      <c r="G5" s="943"/>
      <c r="H5" s="116" t="s">
        <v>9</v>
      </c>
      <c r="I5" s="403" t="s">
        <v>10</v>
      </c>
      <c r="J5" s="403" t="s">
        <v>11</v>
      </c>
      <c r="K5" s="926" t="s">
        <v>12</v>
      </c>
      <c r="L5" s="927"/>
      <c r="M5" s="928"/>
    </row>
    <row r="6" spans="2:17" ht="24" customHeight="1">
      <c r="B6" s="923"/>
      <c r="C6" s="924"/>
      <c r="D6" s="943"/>
      <c r="E6" s="943"/>
      <c r="F6" s="943"/>
      <c r="G6" s="943"/>
      <c r="H6" s="116" t="s">
        <v>13</v>
      </c>
      <c r="I6" s="403" t="s">
        <v>14</v>
      </c>
      <c r="J6" s="403" t="s">
        <v>11</v>
      </c>
      <c r="K6" s="926" t="s">
        <v>15</v>
      </c>
      <c r="L6" s="927"/>
      <c r="M6" s="928"/>
    </row>
    <row r="7" spans="2:17" ht="25.5" customHeight="1">
      <c r="B7" s="923"/>
      <c r="C7" s="924"/>
      <c r="D7" s="943"/>
      <c r="E7" s="943"/>
      <c r="F7" s="943"/>
      <c r="G7" s="943"/>
      <c r="H7" s="116" t="s">
        <v>16</v>
      </c>
      <c r="I7" s="403" t="s">
        <v>17</v>
      </c>
      <c r="J7" s="403" t="s">
        <v>18</v>
      </c>
      <c r="K7" s="926" t="s">
        <v>19</v>
      </c>
      <c r="L7" s="927"/>
      <c r="M7" s="928"/>
    </row>
    <row r="8" spans="2:17" ht="24" customHeight="1">
      <c r="B8" s="923"/>
      <c r="C8" s="924"/>
      <c r="D8" s="943"/>
      <c r="E8" s="943"/>
      <c r="F8" s="943"/>
      <c r="G8" s="943"/>
      <c r="H8" s="116" t="s">
        <v>20</v>
      </c>
      <c r="I8" s="403" t="s">
        <v>21</v>
      </c>
      <c r="J8" s="403" t="s">
        <v>22</v>
      </c>
      <c r="K8" s="926" t="s">
        <v>23</v>
      </c>
      <c r="L8" s="927"/>
      <c r="M8" s="928"/>
    </row>
    <row r="9" spans="2:17" ht="26.25" customHeight="1">
      <c r="B9" s="923"/>
      <c r="C9" s="924"/>
      <c r="D9" s="943"/>
      <c r="E9" s="943"/>
      <c r="F9" s="943"/>
      <c r="G9" s="943"/>
      <c r="H9" s="116" t="s">
        <v>24</v>
      </c>
      <c r="I9" s="403" t="s">
        <v>25</v>
      </c>
      <c r="J9" s="403" t="s">
        <v>22</v>
      </c>
      <c r="K9" s="929" t="s">
        <v>26</v>
      </c>
      <c r="L9" s="930"/>
      <c r="M9" s="931"/>
    </row>
    <row r="10" spans="2:17" ht="24" customHeight="1">
      <c r="B10" s="923"/>
      <c r="C10" s="924"/>
      <c r="D10" s="943"/>
      <c r="E10" s="943"/>
      <c r="F10" s="943"/>
      <c r="G10" s="943"/>
      <c r="H10" s="116" t="s">
        <v>27</v>
      </c>
      <c r="I10" s="403" t="s">
        <v>28</v>
      </c>
      <c r="J10" s="403" t="s">
        <v>22</v>
      </c>
      <c r="K10" s="929" t="s">
        <v>29</v>
      </c>
      <c r="L10" s="930"/>
      <c r="M10" s="931"/>
    </row>
    <row r="11" spans="2:17" ht="39.75" customHeight="1">
      <c r="B11" s="923"/>
      <c r="C11" s="924"/>
      <c r="D11" s="943"/>
      <c r="E11" s="943"/>
      <c r="F11" s="943"/>
      <c r="G11" s="943"/>
      <c r="H11" s="759" t="s">
        <v>30</v>
      </c>
      <c r="I11" s="756" t="s">
        <v>31</v>
      </c>
      <c r="J11" s="403" t="s">
        <v>22</v>
      </c>
      <c r="K11" s="929" t="s">
        <v>32</v>
      </c>
      <c r="L11" s="930"/>
      <c r="M11" s="931"/>
    </row>
    <row r="12" spans="2:17" ht="27.75" customHeight="1">
      <c r="B12" s="923"/>
      <c r="C12" s="924"/>
      <c r="D12" s="943"/>
      <c r="E12" s="943"/>
      <c r="F12" s="943"/>
      <c r="G12" s="943"/>
      <c r="H12" s="757" t="s">
        <v>33</v>
      </c>
      <c r="I12" s="756" t="s">
        <v>34</v>
      </c>
      <c r="J12" s="756" t="s">
        <v>22</v>
      </c>
      <c r="K12" s="929" t="s">
        <v>35</v>
      </c>
      <c r="L12" s="930"/>
      <c r="M12" s="931"/>
      <c r="P12" s="417"/>
    </row>
    <row r="13" spans="2:17" ht="39" customHeight="1">
      <c r="B13" s="923"/>
      <c r="C13" s="924"/>
      <c r="D13" s="943"/>
      <c r="E13" s="943"/>
      <c r="F13" s="943"/>
      <c r="G13" s="944"/>
      <c r="H13" s="755" t="s">
        <v>36</v>
      </c>
      <c r="I13" s="758" t="s">
        <v>37</v>
      </c>
      <c r="J13" s="756" t="s">
        <v>22</v>
      </c>
      <c r="K13" s="929" t="s">
        <v>38</v>
      </c>
      <c r="L13" s="930"/>
      <c r="M13" s="931"/>
    </row>
    <row r="14" spans="2:17" ht="23.25" customHeight="1">
      <c r="B14" s="923"/>
      <c r="C14" s="924"/>
      <c r="D14" s="943"/>
      <c r="E14" s="943"/>
      <c r="F14" s="943"/>
      <c r="G14" s="944"/>
      <c r="H14" s="754" t="s">
        <v>39</v>
      </c>
      <c r="I14" s="758" t="s">
        <v>40</v>
      </c>
      <c r="J14" s="756" t="s">
        <v>22</v>
      </c>
      <c r="K14" s="929" t="s">
        <v>41</v>
      </c>
      <c r="L14" s="930"/>
      <c r="M14" s="931"/>
      <c r="Q14" s="294"/>
    </row>
    <row r="15" spans="2:17" ht="45" customHeight="1">
      <c r="B15" s="923"/>
      <c r="C15" s="924"/>
      <c r="D15" s="943"/>
      <c r="E15" s="943"/>
      <c r="F15" s="943"/>
      <c r="G15" s="943"/>
      <c r="H15" s="750" t="s">
        <v>42</v>
      </c>
      <c r="I15" s="756" t="s">
        <v>43</v>
      </c>
      <c r="J15" s="403" t="s">
        <v>22</v>
      </c>
      <c r="K15" s="932" t="s">
        <v>44</v>
      </c>
      <c r="L15" s="930"/>
      <c r="M15" s="931"/>
    </row>
    <row r="16" spans="2:17" ht="56.25" customHeight="1">
      <c r="B16" s="923"/>
      <c r="C16" s="924"/>
      <c r="D16" s="943"/>
      <c r="E16" s="943"/>
      <c r="F16" s="943"/>
      <c r="G16" s="943"/>
      <c r="H16" s="116" t="s">
        <v>45</v>
      </c>
      <c r="I16" s="403" t="s">
        <v>46</v>
      </c>
      <c r="J16" s="403" t="s">
        <v>22</v>
      </c>
      <c r="K16" s="929" t="s">
        <v>47</v>
      </c>
      <c r="L16" s="930"/>
      <c r="M16" s="931"/>
    </row>
    <row r="17" spans="2:13" ht="42" customHeight="1">
      <c r="B17" s="923" t="s">
        <v>48</v>
      </c>
      <c r="C17" s="924"/>
      <c r="D17" s="943"/>
      <c r="E17" s="943"/>
      <c r="F17" s="943"/>
      <c r="G17" s="943"/>
      <c r="H17" s="116" t="s">
        <v>49</v>
      </c>
      <c r="I17" s="403" t="s">
        <v>21</v>
      </c>
      <c r="J17" s="403" t="s">
        <v>22</v>
      </c>
      <c r="K17" s="926" t="s">
        <v>50</v>
      </c>
      <c r="L17" s="927"/>
      <c r="M17" s="928"/>
    </row>
    <row r="18" spans="2:13" ht="18">
      <c r="B18" s="883" t="s">
        <v>51</v>
      </c>
      <c r="C18" s="884"/>
      <c r="D18" s="884"/>
      <c r="E18" s="884"/>
      <c r="F18" s="884"/>
      <c r="G18" s="884"/>
      <c r="H18" s="884"/>
      <c r="I18" s="884"/>
      <c r="J18" s="884"/>
      <c r="K18" s="884"/>
      <c r="L18" s="884"/>
      <c r="M18" s="885"/>
    </row>
    <row r="19" spans="2:13" ht="15.75">
      <c r="B19" s="904" t="s">
        <v>52</v>
      </c>
      <c r="C19" s="905"/>
      <c r="D19" s="860" t="s">
        <v>53</v>
      </c>
      <c r="E19" s="862"/>
      <c r="F19" s="947" t="s">
        <v>54</v>
      </c>
      <c r="G19" s="948"/>
      <c r="H19" s="949"/>
      <c r="I19" s="860" t="s">
        <v>55</v>
      </c>
      <c r="J19" s="861"/>
      <c r="K19" s="862"/>
      <c r="L19" s="860" t="s">
        <v>56</v>
      </c>
      <c r="M19" s="925"/>
    </row>
    <row r="20" spans="2:13">
      <c r="B20" s="493" t="s">
        <v>57</v>
      </c>
      <c r="C20" s="128" cm="1">
        <f t="array" aca="1" ref="C20" ca="1">_FV(E2,"Price")</f>
        <v>818.39</v>
      </c>
      <c r="D20" s="13" t="s">
        <v>58</v>
      </c>
      <c r="E20" s="126">
        <f>_xlfn.XLOOKUP(D20,'Fin. Data'!A:A,'Fin. Data'!B:B,,0)</f>
        <v>48732</v>
      </c>
      <c r="F20" s="936" t="s">
        <v>59</v>
      </c>
      <c r="G20" s="937"/>
      <c r="H20" s="108" t="s">
        <v>60</v>
      </c>
      <c r="I20" t="s">
        <v>61</v>
      </c>
      <c r="J20" s="909">
        <v>2023</v>
      </c>
      <c r="K20" s="910"/>
      <c r="L20" s="12" t="s">
        <v>62</v>
      </c>
      <c r="M20" s="534">
        <v>0.98480000000000001</v>
      </c>
    </row>
    <row r="21" spans="2:13" ht="12.75" customHeight="1">
      <c r="B21" s="493" t="s">
        <v>63</v>
      </c>
      <c r="C21" s="336" cm="1">
        <f t="array" aca="1" ref="C21" ca="1">_FV(E2,"Shares outstanding",TRUE)</f>
        <v>427458100</v>
      </c>
      <c r="D21" s="12" t="s">
        <v>64</v>
      </c>
      <c r="E21" s="126">
        <f>_xlfn.XLOOKUP(D21,'Fin. Data'!A:A,'Fin. Data'!B:B,,0)</f>
        <v>28144</v>
      </c>
      <c r="F21" s="913" t="str">
        <f>Segments!C5</f>
        <v>United States and Canada (UCAN)</v>
      </c>
      <c r="G21" s="914"/>
      <c r="H21" s="17">
        <f>Segments!B5</f>
        <v>0.44350000000000001</v>
      </c>
      <c r="I21" s="12" t="s">
        <v>65</v>
      </c>
      <c r="J21" s="940" t="s">
        <v>66</v>
      </c>
      <c r="K21" s="941"/>
      <c r="L21" s="12" t="s">
        <v>67</v>
      </c>
      <c r="M21" s="491">
        <v>1.38E-2</v>
      </c>
    </row>
    <row r="22" spans="2:13" ht="12.75" customHeight="1">
      <c r="B22" s="493" t="s">
        <v>68</v>
      </c>
      <c r="C22" s="54">
        <f ca="1">C20*C21/1000000</f>
        <v>349827.43445900001</v>
      </c>
      <c r="D22" s="12" t="s">
        <v>69</v>
      </c>
      <c r="E22" s="391">
        <f ca="1">_xlfn.XLOOKUP("Cash &amp; Eq.",'Fin. Data'!A:A,'Fin. Data'!B:B,,0)*1000000/C21</f>
        <v>16.698712692542262</v>
      </c>
      <c r="F22" s="913" t="str">
        <f>Segments!C6</f>
        <v>Europe, Middle East and Africa (EMEA)</v>
      </c>
      <c r="G22" s="914"/>
      <c r="H22" s="17">
        <f>Segments!B6</f>
        <v>0.313</v>
      </c>
      <c r="I22" s="870" t="s">
        <v>70</v>
      </c>
      <c r="J22" s="870"/>
      <c r="K22" s="126">
        <f>_xlfn.XLOOKUP(I22,'Fin. Data'!A:A,'Fin. Data'!B:B,,0)</f>
        <v>21508.3</v>
      </c>
      <c r="L22" s="8" t="s">
        <v>71</v>
      </c>
      <c r="M22" s="492">
        <v>1.22</v>
      </c>
    </row>
    <row r="23" spans="2:13" ht="12.75" customHeight="1">
      <c r="B23" s="490" t="s">
        <v>72</v>
      </c>
      <c r="C23" s="54">
        <f>'Fin. Data'!B58</f>
        <v>16572</v>
      </c>
      <c r="D23" s="12" t="s">
        <v>73</v>
      </c>
      <c r="E23" s="391">
        <f>_xlfn.XLOOKUP("EBITDA",'Fin. Data'!A:A,'Fin. Data'!B:B,,0)/_xlfn.XLOOKUP("Net Financial Cost",'Fin. Data'!A:A,'Fin. Data'!B:B,,0)</f>
        <v>-28.716021361815752</v>
      </c>
      <c r="F23" s="913" t="str">
        <f>Segments!C7</f>
        <v>Latin America (LATAM)</v>
      </c>
      <c r="G23" s="914"/>
      <c r="H23" s="17">
        <f>Segments!B7</f>
        <v>0.1318</v>
      </c>
      <c r="I23" s="942" t="s">
        <v>74</v>
      </c>
      <c r="J23" s="942"/>
      <c r="K23" s="126">
        <f>_xlfn.XLOOKUP(I23,'Fin. Data'!A:A,'Fin. Data'!B:B,,0)</f>
        <v>14554.3</v>
      </c>
      <c r="L23" s="12" t="s">
        <v>75</v>
      </c>
      <c r="M23" s="489" t="s">
        <v>76</v>
      </c>
    </row>
    <row r="24" spans="2:13" ht="12.75" customHeight="1">
      <c r="B24" s="490" t="s">
        <v>77</v>
      </c>
      <c r="C24" s="54">
        <f>'Fin. Data'!B39</f>
        <v>7138</v>
      </c>
      <c r="D24" s="12" t="s">
        <v>78</v>
      </c>
      <c r="E24" s="391">
        <f>_xlfn.XLOOKUP("Total Debt",'Fin. Data'!A:A,'Fin. Data'!B:B,,0)/_xlfn.XLOOKUP("EBITDA",'Fin. Data'!A:A,'Fin. Data'!B:B,,0)</f>
        <v>0.77049325144246639</v>
      </c>
      <c r="F24" s="913" t="str">
        <f>Segments!C8</f>
        <v>Asia-Pacific (APAC)</v>
      </c>
      <c r="G24" s="914"/>
      <c r="H24" s="43">
        <f>Segments!B8</f>
        <v>0.1116</v>
      </c>
      <c r="I24" s="942" t="s">
        <v>79</v>
      </c>
      <c r="J24" s="942"/>
      <c r="K24" s="126">
        <f>_xlfn.XLOOKUP(I24,'Fin. Data'!A:A,'Fin. Data'!B:B,,0)</f>
        <v>6954</v>
      </c>
      <c r="L24" s="12" t="s">
        <v>80</v>
      </c>
      <c r="M24" s="488">
        <f ca="1">IFERROR((C20*C21/(E20-E21))/1000000,"")</f>
        <v>16.991812437293571</v>
      </c>
    </row>
    <row r="25" spans="2:13" ht="12.75" customHeight="1">
      <c r="B25" s="490" t="s">
        <v>81</v>
      </c>
      <c r="C25" s="54">
        <f ca="1">C22+C23-C24</f>
        <v>359261.43445900001</v>
      </c>
      <c r="D25" s="12" t="s">
        <v>82</v>
      </c>
      <c r="E25" s="391">
        <f>_xlfn.XLOOKUP("Other Assets",'Fin. Data'!A:A,'Fin. Data'!B:B,,0)/_xlfn.XLOOKUP("Total Assets",'Fin. Data'!A:A,'Fin. Data'!B:B,,0)</f>
        <v>0.68648937043421165</v>
      </c>
      <c r="F25" s="913">
        <f>Segments!C9</f>
        <v>0</v>
      </c>
      <c r="G25" s="914"/>
      <c r="H25" s="43">
        <f>Segments!B9</f>
        <v>0</v>
      </c>
      <c r="I25" s="870" t="s">
        <v>83</v>
      </c>
      <c r="J25" s="870"/>
      <c r="K25" s="126">
        <f>_xlfn.XLOOKUP(I25,'Fin. Data'!A:A,'Fin. Data'!B:B,,0)</f>
        <v>5408</v>
      </c>
      <c r="L25" s="12" t="s">
        <v>84</v>
      </c>
      <c r="M25" s="487">
        <f>IFERROR(K31/E20,"")</f>
        <v>0.10271142849325562</v>
      </c>
    </row>
    <row r="26" spans="2:13" ht="12.75" customHeight="1">
      <c r="B26" s="490" t="s">
        <v>85</v>
      </c>
      <c r="C26" s="129" t="s">
        <v>86</v>
      </c>
      <c r="D26" s="12" t="s">
        <v>87</v>
      </c>
      <c r="E26" s="391">
        <f>_xlfn.XLOOKUP(D26,'Fin. Data'!A:A,'Fin. Data'!B:B,,0)</f>
        <v>0.34006402363949767</v>
      </c>
      <c r="F26" s="938" t="s">
        <v>88</v>
      </c>
      <c r="G26" s="939"/>
      <c r="H26" s="109" t="s">
        <v>60</v>
      </c>
      <c r="I26" s="870" t="s">
        <v>89</v>
      </c>
      <c r="J26" s="870"/>
      <c r="K26" s="72">
        <f ca="1">1000000*K25/C21</f>
        <v>12.651532395806747</v>
      </c>
      <c r="L26" s="12" t="s">
        <v>90</v>
      </c>
      <c r="M26" s="486">
        <f ca="1">IFERROR(C22/K30,"")</f>
        <v>69.890936559469907</v>
      </c>
    </row>
    <row r="27" spans="2:13" ht="12.75" customHeight="1">
      <c r="B27" s="493" t="s">
        <v>91</v>
      </c>
      <c r="C27" s="130" t="s">
        <v>86</v>
      </c>
      <c r="D27" s="12" t="s">
        <v>92</v>
      </c>
      <c r="E27" s="127">
        <f>AVERAGE(_xlfn.XLOOKUP("EBITDA Margin",'Fin. Data'!A:A,'Fin. Data'!B:D,,0))</f>
        <v>0.62582343393147244</v>
      </c>
      <c r="F27" s="913" t="str">
        <f>Segments!C18</f>
        <v>Streaming Content Services</v>
      </c>
      <c r="G27" s="914"/>
      <c r="H27" s="17">
        <f>Segments!B18</f>
        <v>0.99754356758178186</v>
      </c>
      <c r="I27" s="870" t="s">
        <v>93</v>
      </c>
      <c r="J27" s="870"/>
      <c r="K27" s="73">
        <f>K25/E20</f>
        <v>0.11097430846261183</v>
      </c>
      <c r="L27" s="12" t="s">
        <v>94</v>
      </c>
      <c r="M27" s="485">
        <f ca="1">IFERROR(C25/E20,"")</f>
        <v>7.3721873606459827</v>
      </c>
    </row>
    <row r="28" spans="2:13" ht="12.75" customHeight="1">
      <c r="B28" s="493" t="s">
        <v>95</v>
      </c>
      <c r="C28" s="18">
        <v>1.8700000000000001E-2</v>
      </c>
      <c r="D28" s="12" t="s">
        <v>96</v>
      </c>
      <c r="E28" s="127">
        <f>AVERAGE(_xlfn.XLOOKUP("Operating Margin",'Fin. Data'!A:A,'Fin. Data'!B:D,,0))</f>
        <v>0.19765953302269954</v>
      </c>
      <c r="F28" s="913">
        <f>Segments!C20</f>
        <v>0</v>
      </c>
      <c r="G28" s="914"/>
      <c r="H28" s="17">
        <f>Segments!B20</f>
        <v>0</v>
      </c>
      <c r="I28" s="870" t="s">
        <v>97</v>
      </c>
      <c r="J28" s="870"/>
      <c r="K28" s="73">
        <f>Peers!C17</f>
        <v>0.20187845056520734</v>
      </c>
      <c r="L28" s="12" t="s">
        <v>98</v>
      </c>
      <c r="M28" s="485">
        <f ca="1">IFERROR(C25/K29,"")</f>
        <v>18.109486924736494</v>
      </c>
    </row>
    <row r="29" spans="2:13" ht="15.75">
      <c r="B29" s="904" t="s">
        <v>99</v>
      </c>
      <c r="C29" s="905"/>
      <c r="D29" s="12" t="s">
        <v>100</v>
      </c>
      <c r="E29" s="127">
        <f>AVERAGE(_xlfn.XLOOKUP("Net Income Margin",'Fin. Data'!A:A,'Fin. Data'!B:D,,0))</f>
        <v>0.15823759385836758</v>
      </c>
      <c r="F29" s="913">
        <f>Segments!C21</f>
        <v>0</v>
      </c>
      <c r="G29" s="914"/>
      <c r="H29" s="17">
        <f>Segments!B21</f>
        <v>0</v>
      </c>
      <c r="I29" s="869" t="s">
        <v>101</v>
      </c>
      <c r="J29" s="869"/>
      <c r="K29" s="704">
        <f>AVERAGE(_xlfn.XLOOKUP("EBITDA",'Fin. Data'!A:A,'Fin. Data'!B:D,,0))</f>
        <v>19838.300000000003</v>
      </c>
      <c r="L29" s="12" t="s">
        <v>102</v>
      </c>
      <c r="M29" s="486">
        <f ca="1">IFERROR(C22/K31,"")</f>
        <v>69.890936559469907</v>
      </c>
    </row>
    <row r="30" spans="2:13" ht="12.75" customHeight="1">
      <c r="B30" s="9" t="s">
        <v>103</v>
      </c>
      <c r="C30" s="322"/>
      <c r="D30" s="678"/>
      <c r="E30" s="135"/>
      <c r="F30" s="913">
        <f>Segments!C22</f>
        <v>0</v>
      </c>
      <c r="G30" s="914"/>
      <c r="H30" s="17">
        <f>Segments!B22</f>
        <v>0</v>
      </c>
      <c r="I30" s="870" t="s">
        <v>104</v>
      </c>
      <c r="J30" s="870"/>
      <c r="K30" s="126">
        <f>AVERAGE(_xlfn.XLOOKUP("Net Income",'Fin. Data'!A:A,'Fin. Data'!B:D,,0))</f>
        <v>5005.333333333333</v>
      </c>
      <c r="L30" s="12" t="s">
        <v>105</v>
      </c>
      <c r="M30" s="484" t="s">
        <v>86</v>
      </c>
    </row>
    <row r="31" spans="2:13" ht="12.75" customHeight="1">
      <c r="B31" s="9" t="s">
        <v>106</v>
      </c>
      <c r="C31" s="319"/>
      <c r="D31" s="12" t="s">
        <v>107</v>
      </c>
      <c r="E31" s="543">
        <f>-_xlfn.XLOOKUP("Net Financial Cost",'Fin. Data'!A:A,'Fin. Data'!B:B,,0)/AVERAGE(_xlfn.XLOOKUP("Net Debt",'Fin. Data'!A:A,'Fin. Data'!B:D,,0))</f>
        <v>7.0892226148409884E-2</v>
      </c>
      <c r="F31" s="913">
        <f>Segments!C23</f>
        <v>0</v>
      </c>
      <c r="G31" s="914"/>
      <c r="H31" s="17">
        <f>Segments!B23</f>
        <v>0</v>
      </c>
      <c r="I31" s="870" t="s">
        <v>108</v>
      </c>
      <c r="J31" s="870"/>
      <c r="K31" s="126">
        <f>AVERAGE(_xlfn.XLOOKUP("Net Income",'Fin. Data'!A:A,'Fin. Data'!B:D,,0))</f>
        <v>5005.333333333333</v>
      </c>
      <c r="L31" s="12" t="s">
        <v>109</v>
      </c>
      <c r="M31" s="483">
        <f ca="1">-IFERROR(SUM(E52:E54)/(3*C22),"")</f>
        <v>6.3319790897063306E-3</v>
      </c>
    </row>
    <row r="32" spans="2:13" ht="12.6" customHeight="1">
      <c r="B32" s="9" t="s">
        <v>110</v>
      </c>
      <c r="C32" s="323"/>
      <c r="D32" s="132"/>
      <c r="E32" s="134"/>
      <c r="F32" s="911"/>
      <c r="G32" s="912"/>
      <c r="H32" s="19"/>
      <c r="I32" s="132"/>
      <c r="J32" s="133"/>
      <c r="K32" s="133"/>
      <c r="L32" s="12" t="s">
        <v>111</v>
      </c>
      <c r="M32" s="482">
        <f ca="1">-IFERROR(L53/C22,"")</f>
        <v>0</v>
      </c>
    </row>
    <row r="33" spans="1:19" ht="18">
      <c r="B33" s="883" t="s">
        <v>112</v>
      </c>
      <c r="C33" s="884"/>
      <c r="D33" s="884"/>
      <c r="E33" s="884"/>
      <c r="F33" s="884"/>
      <c r="G33" s="884"/>
      <c r="H33" s="884"/>
      <c r="I33" s="884"/>
      <c r="J33" s="884"/>
      <c r="K33" s="884"/>
      <c r="L33" s="884"/>
      <c r="M33" s="885"/>
    </row>
    <row r="34" spans="1:19" ht="16.5" thickBot="1">
      <c r="B34" s="858" t="s">
        <v>113</v>
      </c>
      <c r="C34" s="859"/>
      <c r="D34" s="859"/>
      <c r="E34" s="859"/>
      <c r="F34" s="859"/>
      <c r="G34" s="859"/>
      <c r="H34" s="549" t="s">
        <v>114</v>
      </c>
      <c r="I34" s="871" t="s">
        <v>115</v>
      </c>
      <c r="J34" s="872"/>
      <c r="K34" s="872"/>
      <c r="L34" s="872"/>
      <c r="M34" s="873"/>
      <c r="N34" s="11"/>
    </row>
    <row r="35" spans="1:19" ht="13.35" customHeight="1">
      <c r="A35" s="11"/>
      <c r="B35" s="550" t="s">
        <v>116</v>
      </c>
      <c r="C35" s="880" t="s">
        <v>117</v>
      </c>
      <c r="D35" s="881"/>
      <c r="E35" s="881"/>
      <c r="F35" s="881"/>
      <c r="G35" s="882"/>
      <c r="H35" s="915" t="s">
        <v>118</v>
      </c>
      <c r="I35" s="956" t="s">
        <v>119</v>
      </c>
      <c r="J35" s="957"/>
      <c r="K35" s="957"/>
      <c r="L35" s="957"/>
      <c r="M35" s="958"/>
    </row>
    <row r="36" spans="1:19" ht="39" customHeight="1" thickBot="1">
      <c r="A36" s="11"/>
      <c r="B36" s="734" t="s">
        <v>120</v>
      </c>
      <c r="C36" s="886" t="s">
        <v>121</v>
      </c>
      <c r="D36" s="887"/>
      <c r="E36" s="887"/>
      <c r="F36" s="887"/>
      <c r="G36" s="888"/>
      <c r="H36" s="915"/>
      <c r="I36" s="959"/>
      <c r="J36" s="960"/>
      <c r="K36" s="960"/>
      <c r="L36" s="960"/>
      <c r="M36" s="961"/>
    </row>
    <row r="37" spans="1:19" ht="38.25" customHeight="1" thickBot="1">
      <c r="A37" s="11"/>
      <c r="B37" s="734" t="s">
        <v>122</v>
      </c>
      <c r="C37" s="886" t="s">
        <v>123</v>
      </c>
      <c r="D37" s="887"/>
      <c r="E37" s="887"/>
      <c r="F37" s="887"/>
      <c r="G37" s="888"/>
      <c r="H37" s="915"/>
      <c r="I37" s="959"/>
      <c r="J37" s="960"/>
      <c r="K37" s="960"/>
      <c r="L37" s="960"/>
      <c r="M37" s="961"/>
    </row>
    <row r="38" spans="1:19" ht="39" customHeight="1" thickBot="1">
      <c r="B38" s="735" t="s">
        <v>124</v>
      </c>
      <c r="C38" s="917" t="s">
        <v>125</v>
      </c>
      <c r="D38" s="918"/>
      <c r="E38" s="918"/>
      <c r="F38" s="918"/>
      <c r="G38" s="919"/>
      <c r="H38" s="916"/>
      <c r="I38" s="962"/>
      <c r="J38" s="963"/>
      <c r="K38" s="963"/>
      <c r="L38" s="963"/>
      <c r="M38" s="964"/>
    </row>
    <row r="39" spans="1:19" ht="16.5" thickBot="1">
      <c r="B39" s="874" t="s">
        <v>126</v>
      </c>
      <c r="C39" s="875"/>
      <c r="D39" s="875"/>
      <c r="E39" s="875"/>
      <c r="F39" s="875"/>
      <c r="G39" s="876"/>
      <c r="H39" s="552" t="s">
        <v>127</v>
      </c>
      <c r="I39" s="965" t="s">
        <v>128</v>
      </c>
      <c r="J39" s="965"/>
      <c r="K39" s="965"/>
      <c r="L39" s="965"/>
      <c r="M39" s="966"/>
    </row>
    <row r="40" spans="1:19" ht="13.35" customHeight="1" thickBot="1">
      <c r="B40" s="553" t="s">
        <v>129</v>
      </c>
      <c r="C40" s="877" t="s">
        <v>117</v>
      </c>
      <c r="D40" s="878"/>
      <c r="E40" s="878"/>
      <c r="F40" s="878"/>
      <c r="G40" s="879"/>
      <c r="H40" s="906">
        <f ca="1">DCF!D76</f>
        <v>354.75130501020544</v>
      </c>
      <c r="I40" s="890" t="s">
        <v>130</v>
      </c>
      <c r="J40" s="892">
        <f>DCF!F50</f>
        <v>8.7999999999999995E-2</v>
      </c>
      <c r="K40" s="893"/>
      <c r="L40" s="898" t="s">
        <v>131</v>
      </c>
      <c r="M40" s="902" t="e">
        <f>#REF!</f>
        <v>#REF!</v>
      </c>
    </row>
    <row r="41" spans="1:19" ht="13.35" customHeight="1">
      <c r="B41" s="551" t="s">
        <v>132</v>
      </c>
      <c r="C41" s="920" t="s">
        <v>133</v>
      </c>
      <c r="D41" s="921"/>
      <c r="E41" s="921"/>
      <c r="F41" s="921"/>
      <c r="G41" s="922"/>
      <c r="H41" s="907"/>
      <c r="I41" s="891"/>
      <c r="J41" s="894"/>
      <c r="K41" s="895"/>
      <c r="L41" s="899"/>
      <c r="M41" s="903"/>
    </row>
    <row r="42" spans="1:19" ht="13.35" customHeight="1" thickBot="1">
      <c r="B42" s="554" t="s">
        <v>134</v>
      </c>
      <c r="C42" s="866" t="s">
        <v>135</v>
      </c>
      <c r="D42" s="867"/>
      <c r="E42" s="867"/>
      <c r="F42" s="867"/>
      <c r="G42" s="868"/>
      <c r="H42" s="907"/>
      <c r="I42" s="890" t="s">
        <v>136</v>
      </c>
      <c r="J42" s="896">
        <f ca="1">DCF!D75</f>
        <v>-0.56652536686640176</v>
      </c>
      <c r="K42" s="897"/>
      <c r="L42" s="900" t="s">
        <v>137</v>
      </c>
      <c r="M42" s="951" t="e">
        <f>#REF!</f>
        <v>#REF!</v>
      </c>
    </row>
    <row r="43" spans="1:19" ht="12.75" customHeight="1" thickBot="1">
      <c r="B43" s="555" t="s">
        <v>138</v>
      </c>
      <c r="C43" s="863" t="s">
        <v>139</v>
      </c>
      <c r="D43" s="864"/>
      <c r="E43" s="864"/>
      <c r="F43" s="864"/>
      <c r="G43" s="865"/>
      <c r="H43" s="908"/>
      <c r="I43" s="891"/>
      <c r="J43" s="894"/>
      <c r="K43" s="895"/>
      <c r="L43" s="901"/>
      <c r="M43" s="903"/>
    </row>
    <row r="44" spans="1:19" ht="18">
      <c r="B44" s="883" t="s">
        <v>140</v>
      </c>
      <c r="C44" s="884"/>
      <c r="D44" s="884"/>
      <c r="E44" s="884"/>
      <c r="F44" s="884"/>
      <c r="G44" s="884"/>
      <c r="H44" s="884"/>
      <c r="I44" s="884"/>
      <c r="J44" s="884"/>
      <c r="K44" s="884"/>
      <c r="L44" s="884"/>
      <c r="M44" s="885"/>
    </row>
    <row r="45" spans="1:19">
      <c r="B45" s="679" t="s">
        <v>141</v>
      </c>
      <c r="C45" s="117" t="s">
        <v>142</v>
      </c>
      <c r="D45" s="117" t="s">
        <v>143</v>
      </c>
      <c r="E45" s="139" t="s">
        <v>144</v>
      </c>
      <c r="F45" s="117" t="s">
        <v>145</v>
      </c>
      <c r="G45" s="117" t="s">
        <v>87</v>
      </c>
      <c r="H45" s="138" t="s">
        <v>74</v>
      </c>
      <c r="I45" s="138" t="s">
        <v>146</v>
      </c>
      <c r="J45" s="841" t="s">
        <v>147</v>
      </c>
      <c r="K45" s="841"/>
      <c r="L45" s="841"/>
      <c r="M45" s="889"/>
    </row>
    <row r="46" spans="1:19">
      <c r="B46" s="680">
        <f t="shared" ref="B46:B52" si="0">B47-1</f>
        <v>2015</v>
      </c>
      <c r="C46" s="137" cm="1">
        <f t="array" ref="C46:C54">_xlfn.SORTBY(TRANSPOSE(_xlfn.XLOOKUP(C$45,'Fin. Data'!$A:$A,'Fin. Data'!$B:$J,,0)),$B$46:$B$54,-1)</f>
        <v>6780</v>
      </c>
      <c r="D46" s="111" cm="1">
        <f t="array" ref="D46:D54">_xlfn.SORTBY(TRANSPOSE(_xlfn.XLOOKUP(D$45,'Fin. Data'!$A:$A,'Fin. Data'!$B:$J,,0)),$B$46:$B$54,-1)</f>
        <v>4.5132743362831858E-2</v>
      </c>
      <c r="E46" s="137" cm="1">
        <f t="array" ref="E46:E54">_xlfn.SORTBY(TRANSPOSE(_xlfn.XLOOKUP(E$45,'Fin. Data'!$A:$A,'Fin. Data'!$B:$J,,0)),$B$46:$B$54,-1)</f>
        <v>0</v>
      </c>
      <c r="F46" s="136">
        <f>Inputs!J77</f>
        <v>695.80000000000007</v>
      </c>
      <c r="G46" s="111" cm="1">
        <f t="array" ref="G46:G54">_xlfn.SORTBY(TRANSPOSE(_xlfn.XLOOKUP(G$45,'Fin. Data'!$A:$A,'Fin. Data'!$B:$J,,0)),$B$46:$B$54,-1)</f>
        <v>0.24979760064767792</v>
      </c>
      <c r="H46" s="137" t="e" cm="1" vm="2">
        <f t="array" aca="1" ref="H46" ca="1">_xlfn.SORTBY(TRANSPOSE(_xlfn.XLOOKUP(H$45,'Fin. Data'!$A:$A,'Fin. Data'!$B:$J,,0)),$B$46:$B$54,-1)</f>
        <v>#VALUE!</v>
      </c>
      <c r="I46" s="137" cm="1">
        <f t="array" ref="I46:I54">_xlfn.SORTBY(TRANSPOSE(_xlfn.XLOOKUP(I$45,'Fin. Data'!$A:$A,'Fin. Data'!$B:$J,,0)),$B$46:$B$54,-1)</f>
        <v>-541.09999999999991</v>
      </c>
      <c r="J46" s="420"/>
      <c r="K46" s="132"/>
      <c r="L46" s="112">
        <f>J20</f>
        <v>2023</v>
      </c>
      <c r="M46" s="422">
        <f>L46-1</f>
        <v>2022</v>
      </c>
    </row>
    <row r="47" spans="1:19">
      <c r="B47" s="680">
        <f t="shared" si="0"/>
        <v>2016</v>
      </c>
      <c r="C47" s="137">
        <v>8831</v>
      </c>
      <c r="D47" s="110">
        <v>4.3030234401540031E-2</v>
      </c>
      <c r="E47" s="137">
        <v>0</v>
      </c>
      <c r="F47" s="136">
        <f>Inputs!I77</f>
        <v>-341.80000000000013</v>
      </c>
      <c r="G47" s="111">
        <v>0.34339662336296217</v>
      </c>
      <c r="H47" s="137"/>
      <c r="I47" s="137">
        <v>-372</v>
      </c>
      <c r="J47" s="967" t="s">
        <v>83</v>
      </c>
      <c r="K47" s="968"/>
      <c r="L47" s="54">
        <f>_xlfn.XLOOKUP($J47,'Fin. Data'!$A:$A,'Fin. Data'!B:B,,0)</f>
        <v>5408</v>
      </c>
      <c r="M47" s="481">
        <f>_xlfn.XLOOKUP($J47,'Fin. Data'!$A:$A,'Fin. Data'!C:C,,0)</f>
        <v>4492</v>
      </c>
      <c r="N47" s="22">
        <f t="shared" ref="N47:N55" si="1">(C47/C46)-1</f>
        <v>0.30250737463126853</v>
      </c>
      <c r="O47" s="22">
        <f t="shared" ref="O47:O55" si="2">(D47/D46)-1</f>
        <v>-4.6585002475681647E-2</v>
      </c>
      <c r="P47" s="21"/>
      <c r="Q47" s="20"/>
      <c r="R47" s="20"/>
      <c r="S47" s="20"/>
    </row>
    <row r="48" spans="1:19">
      <c r="B48" s="680">
        <f t="shared" si="0"/>
        <v>2017</v>
      </c>
      <c r="C48" s="137">
        <v>11693</v>
      </c>
      <c r="D48" s="110">
        <v>7.1752330454117844E-2</v>
      </c>
      <c r="E48" s="137">
        <v>0</v>
      </c>
      <c r="F48" s="136">
        <f>Inputs!H77</f>
        <v>1355.1999999999998</v>
      </c>
      <c r="G48" s="111">
        <v>0.39993839993839991</v>
      </c>
      <c r="H48" s="137"/>
      <c r="I48" s="137">
        <v>-301.8</v>
      </c>
      <c r="J48" s="967" t="s">
        <v>148</v>
      </c>
      <c r="K48" s="968"/>
      <c r="L48" s="54">
        <f>_xlfn.XLOOKUP($J48,'Fin. Data'!$A:$A,'Fin. Data'!B:B,,0)</f>
        <v>7274.3</v>
      </c>
      <c r="M48" s="481">
        <f>_xlfn.XLOOKUP($J48,'Fin. Data'!$A:$A,'Fin. Data'!C:C,,0)</f>
        <v>2026.3</v>
      </c>
      <c r="N48" s="22">
        <f t="shared" si="1"/>
        <v>0.32408560751896731</v>
      </c>
      <c r="O48" s="22">
        <f t="shared" si="2"/>
        <v>0.66748639536924914</v>
      </c>
      <c r="P48" s="21"/>
      <c r="Q48" s="20">
        <f t="shared" ref="Q48:Q54" si="3">F48/F47-1</f>
        <v>-4.9648917495611453</v>
      </c>
      <c r="R48" s="20" t="e">
        <f t="shared" ref="R48:S54" si="4">H48/H47-1</f>
        <v>#DIV/0!</v>
      </c>
      <c r="S48" s="20">
        <f t="shared" si="4"/>
        <v>-0.18870967741935485</v>
      </c>
    </row>
    <row r="49" spans="2:19">
      <c r="B49" s="680">
        <f t="shared" si="0"/>
        <v>2018</v>
      </c>
      <c r="C49" s="137">
        <v>15794</v>
      </c>
      <c r="D49" s="110">
        <v>0.1016208686843105</v>
      </c>
      <c r="E49" s="137">
        <v>0</v>
      </c>
      <c r="F49" s="136">
        <f>Inputs!G77</f>
        <v>989.2</v>
      </c>
      <c r="G49" s="111">
        <v>0.39886039886039887</v>
      </c>
      <c r="H49" s="137"/>
      <c r="I49" s="137">
        <v>-212.5</v>
      </c>
      <c r="J49" s="967" t="s">
        <v>149</v>
      </c>
      <c r="K49" s="968"/>
      <c r="L49" s="54">
        <f>_xlfn.XLOOKUP($J49,'Fin. Data'!$A:$A,'Fin. Data'!B:B,,0)</f>
        <v>541.79999999999995</v>
      </c>
      <c r="M49" s="481">
        <f>_xlfn.XLOOKUP($J49,'Fin. Data'!$A:$A,'Fin. Data'!C:C,,0)</f>
        <v>-2076.4</v>
      </c>
      <c r="N49" s="22">
        <f t="shared" si="1"/>
        <v>0.35072265457966312</v>
      </c>
      <c r="O49" s="22">
        <f t="shared" si="2"/>
        <v>0.41627272649063496</v>
      </c>
      <c r="P49" s="21"/>
      <c r="Q49" s="20">
        <f t="shared" si="3"/>
        <v>-0.27007083825265632</v>
      </c>
      <c r="R49" s="20" t="e">
        <f t="shared" si="4"/>
        <v>#DIV/0!</v>
      </c>
      <c r="S49" s="20">
        <f t="shared" si="4"/>
        <v>-0.29589131875414187</v>
      </c>
    </row>
    <row r="50" spans="2:19">
      <c r="B50" s="680">
        <f t="shared" si="0"/>
        <v>2019</v>
      </c>
      <c r="C50" s="137">
        <v>20156</v>
      </c>
      <c r="D50" s="110">
        <v>0.12919230005953561</v>
      </c>
      <c r="E50" s="137">
        <v>0</v>
      </c>
      <c r="F50" s="136">
        <f>Inputs!F77</f>
        <v>1231.7999999999997</v>
      </c>
      <c r="G50" s="111">
        <v>0.48189898752060278</v>
      </c>
      <c r="H50" s="137"/>
      <c r="I50" s="137">
        <v>-253</v>
      </c>
      <c r="J50" s="969" t="s">
        <v>150</v>
      </c>
      <c r="K50" s="970"/>
      <c r="L50" s="54">
        <f>_xlfn.XLOOKUP($J50,'Fin. Data'!$A:$A,'Fin. Data'!B:B,,0)</f>
        <v>-348.6</v>
      </c>
      <c r="M50" s="481">
        <f>_xlfn.XLOOKUP($J50,'Fin. Data'!$A:$A,'Fin. Data'!C:C,,0)</f>
        <v>-407.7</v>
      </c>
      <c r="N50" s="22">
        <f t="shared" si="1"/>
        <v>0.27618082816259348</v>
      </c>
      <c r="O50" s="22">
        <f t="shared" si="2"/>
        <v>0.27131662750174779</v>
      </c>
      <c r="P50" s="21"/>
      <c r="Q50" s="20">
        <f t="shared" si="3"/>
        <v>0.24524868580671222</v>
      </c>
      <c r="R50" s="20" t="e">
        <f t="shared" si="4"/>
        <v>#DIV/0!</v>
      </c>
      <c r="S50" s="20">
        <f t="shared" si="4"/>
        <v>0.19058823529411772</v>
      </c>
    </row>
    <row r="51" spans="2:19">
      <c r="B51" s="680">
        <f t="shared" si="0"/>
        <v>2020</v>
      </c>
      <c r="C51" s="137">
        <v>24996</v>
      </c>
      <c r="D51" s="110">
        <v>0.18342934869579133</v>
      </c>
      <c r="E51" s="137">
        <v>0</v>
      </c>
      <c r="F51" s="136">
        <f>Inputs!E77</f>
        <v>3195.1</v>
      </c>
      <c r="G51" s="111">
        <v>0.45852851323828919</v>
      </c>
      <c r="H51" s="137"/>
      <c r="I51" s="137">
        <v>-497.9</v>
      </c>
      <c r="J51" s="969" t="s">
        <v>151</v>
      </c>
      <c r="K51" s="970"/>
      <c r="L51" s="54">
        <f>_xlfn.XLOOKUP($J51,'Fin. Data'!$A:$A,'Fin. Data'!B:B,,0)</f>
        <v>-504.9</v>
      </c>
      <c r="M51" s="481">
        <f>_xlfn.XLOOKUP($J51,'Fin. Data'!$A:$A,'Fin. Data'!C:C,,0)</f>
        <v>-1668.6999999999998</v>
      </c>
      <c r="N51" s="22">
        <f t="shared" si="1"/>
        <v>0.2401270093272474</v>
      </c>
      <c r="O51" s="22">
        <f t="shared" si="2"/>
        <v>0.41981641793869828</v>
      </c>
      <c r="P51" s="21"/>
      <c r="Q51" s="20">
        <f t="shared" si="3"/>
        <v>1.5938464036369546</v>
      </c>
      <c r="R51" s="20" t="e">
        <f t="shared" si="4"/>
        <v>#DIV/0!</v>
      </c>
      <c r="S51" s="20">
        <f t="shared" si="4"/>
        <v>0.96798418972332012</v>
      </c>
    </row>
    <row r="52" spans="2:19">
      <c r="B52" s="680">
        <f t="shared" si="0"/>
        <v>2021</v>
      </c>
      <c r="C52" s="137">
        <v>29698</v>
      </c>
      <c r="D52" s="110">
        <v>0.20859990571755674</v>
      </c>
      <c r="E52" s="137">
        <v>-600</v>
      </c>
      <c r="F52" s="136">
        <f>Inputs!D77</f>
        <v>-2183.7999999999997</v>
      </c>
      <c r="G52" s="111">
        <v>0.39062464954581139</v>
      </c>
      <c r="H52" s="137"/>
      <c r="I52" s="137">
        <v>-1312.9</v>
      </c>
      <c r="J52" s="967" t="s">
        <v>152</v>
      </c>
      <c r="K52" s="968"/>
      <c r="L52" s="54">
        <f>_xlfn.XLOOKUP($J52,'Fin. Data'!$A:$A,'Fin. Data'!B:B,,0)</f>
        <v>-5950.8</v>
      </c>
      <c r="M52" s="481">
        <f>_xlfn.XLOOKUP($J52,'Fin. Data'!$A:$A,'Fin. Data'!C:C,,0)</f>
        <v>-664.3</v>
      </c>
      <c r="N52" s="22">
        <f t="shared" si="1"/>
        <v>0.18811009761561848</v>
      </c>
      <c r="O52" s="22">
        <f t="shared" si="2"/>
        <v>0.13722208142116643</v>
      </c>
      <c r="P52" s="21"/>
      <c r="Q52" s="20">
        <f t="shared" si="3"/>
        <v>-1.6834840850051642</v>
      </c>
      <c r="R52" s="20" t="e">
        <f t="shared" si="4"/>
        <v>#DIV/0!</v>
      </c>
      <c r="S52" s="20">
        <f t="shared" si="4"/>
        <v>1.6368748744727859</v>
      </c>
    </row>
    <row r="53" spans="2:19">
      <c r="B53" s="680">
        <f>B54-1</f>
        <v>2022</v>
      </c>
      <c r="C53" s="137">
        <v>31616</v>
      </c>
      <c r="D53" s="110">
        <v>0.17816928137651822</v>
      </c>
      <c r="E53" s="137">
        <v>0</v>
      </c>
      <c r="F53" s="136">
        <f>Inputs!C$77</f>
        <v>-884.50000000000011</v>
      </c>
      <c r="G53" s="111">
        <v>0.34843090852968411</v>
      </c>
      <c r="H53" s="137"/>
      <c r="I53" s="137">
        <v>-2076.3999999999996</v>
      </c>
      <c r="J53" s="969" t="s">
        <v>153</v>
      </c>
      <c r="K53" s="970"/>
      <c r="L53" s="54">
        <f>_xlfn.XLOOKUP($J53,'Fin. Data'!$A:$A,'Fin. Data'!B:B,,0)</f>
        <v>0</v>
      </c>
      <c r="M53" s="481">
        <f>_xlfn.XLOOKUP($J53,'Fin. Data'!$A:$A,'Fin. Data'!C:C,,0)</f>
        <v>0</v>
      </c>
      <c r="N53" s="22">
        <f t="shared" si="1"/>
        <v>6.4583473634588273E-2</v>
      </c>
      <c r="O53" s="22">
        <f t="shared" si="2"/>
        <v>-0.14588033602585337</v>
      </c>
      <c r="P53" s="21"/>
      <c r="Q53" s="20">
        <f t="shared" si="3"/>
        <v>-0.5949720670391061</v>
      </c>
      <c r="R53" s="20" t="e">
        <f t="shared" si="4"/>
        <v>#DIV/0!</v>
      </c>
      <c r="S53" s="20">
        <f t="shared" si="4"/>
        <v>0.58153705537360012</v>
      </c>
    </row>
    <row r="54" spans="2:19">
      <c r="B54" s="680">
        <f>J20</f>
        <v>2023</v>
      </c>
      <c r="C54" s="137">
        <v>33723</v>
      </c>
      <c r="D54" s="110">
        <v>0.20620941197402368</v>
      </c>
      <c r="E54" s="137">
        <v>-6045.3</v>
      </c>
      <c r="F54" s="136">
        <f>Inputs!B77</f>
        <v>1948.0000000000002</v>
      </c>
      <c r="G54" s="111">
        <v>0.34006402363949767</v>
      </c>
      <c r="H54" s="137" t="s">
        <v>154</v>
      </c>
      <c r="I54" s="137">
        <v>-853.5</v>
      </c>
      <c r="J54" s="969" t="s">
        <v>155</v>
      </c>
      <c r="K54" s="970"/>
      <c r="L54" s="54">
        <f>_xlfn.XLOOKUP($J54,'Fin. Data'!$A:$A,'Fin. Data'!B:B,,0)</f>
        <v>-6045.3</v>
      </c>
      <c r="M54" s="481">
        <f>_xlfn.XLOOKUP($J54,'Fin. Data'!$A:$A,'Fin. Data'!C:C,,0)</f>
        <v>0</v>
      </c>
      <c r="N54" s="22">
        <f t="shared" si="1"/>
        <v>6.6643471659919129E-2</v>
      </c>
      <c r="O54" s="22">
        <f t="shared" si="2"/>
        <v>0.15737915302161065</v>
      </c>
      <c r="P54" s="21"/>
      <c r="Q54" s="20">
        <f t="shared" si="3"/>
        <v>-3.2023742227247034</v>
      </c>
      <c r="R54" s="20" t="e">
        <f t="shared" si="4"/>
        <v>#VALUE!</v>
      </c>
      <c r="S54" s="20">
        <f t="shared" si="4"/>
        <v>-0.5889520323637063</v>
      </c>
    </row>
    <row r="55" spans="2:19">
      <c r="B55" s="681" t="s">
        <v>156</v>
      </c>
      <c r="C55" s="113">
        <f>IFERROR((C54/C46)^(1/8)-1,"")</f>
        <v>0.22204462049495977</v>
      </c>
      <c r="D55" s="113">
        <f>IFERROR((D54/D46)^(1/8)-1,"")</f>
        <v>0.20914140722046137</v>
      </c>
      <c r="E55" s="131"/>
      <c r="F55" s="113">
        <f>IFERROR((F54/F46)^(1/8)-1,"")</f>
        <v>0.13733411436798959</v>
      </c>
      <c r="G55" s="131"/>
      <c r="H55" s="113" t="str">
        <f ca="1">IFERROR((H54/H46)^(1/8)-1,"")</f>
        <v/>
      </c>
      <c r="I55" s="131"/>
      <c r="J55" s="967" t="s">
        <v>157</v>
      </c>
      <c r="K55" s="968"/>
      <c r="L55" s="54">
        <f>_xlfn.XLOOKUP($J55,'Fin. Data'!$A:$A,'Fin. Data'!B:B,,0)</f>
        <v>82.7</v>
      </c>
      <c r="M55" s="481">
        <f>_xlfn.XLOOKUP($J55,'Fin. Data'!$A:$A,'Fin. Data'!C:C,,0)</f>
        <v>-170.1</v>
      </c>
      <c r="N55" s="22">
        <f t="shared" si="1"/>
        <v>-0.99999341563263955</v>
      </c>
      <c r="O55" s="22">
        <f t="shared" si="2"/>
        <v>1.4218532599312494E-2</v>
      </c>
      <c r="P55" s="21"/>
      <c r="Q55" s="20"/>
      <c r="R55" s="20"/>
      <c r="S55" s="20"/>
    </row>
    <row r="56" spans="2:19">
      <c r="B56" s="681" t="s">
        <v>158</v>
      </c>
      <c r="C56" s="113">
        <f>IFERROR(AVERAGE(N47:N54),"")</f>
        <v>0.22662006464123322</v>
      </c>
      <c r="D56" s="113">
        <f>IFERROR(AVERAGE(O47:O54),"")</f>
        <v>0.23462850790519652</v>
      </c>
      <c r="E56" s="131"/>
      <c r="F56" s="113">
        <f>IFERROR(AVERAGE(Q47:Q54),"")</f>
        <v>-1.2680996961627298</v>
      </c>
      <c r="G56" s="131"/>
      <c r="H56" s="113">
        <f>IFERROR(AVERAGE(S47:S54),"")</f>
        <v>0.32906161804666006</v>
      </c>
      <c r="I56" s="131"/>
      <c r="J56" s="971" t="s">
        <v>159</v>
      </c>
      <c r="K56" s="972"/>
      <c r="L56" s="140">
        <f>L48+L49+L52-L53-L54</f>
        <v>7910.6</v>
      </c>
      <c r="M56" s="423">
        <f>M48+M49+M52-M53-M54</f>
        <v>-714.40000000000009</v>
      </c>
    </row>
    <row r="57" spans="2:19">
      <c r="B57" s="681" t="s">
        <v>160</v>
      </c>
      <c r="C57" s="113">
        <f>IFERROR(STDEV(C47:C54)/AVERAGE(C47:C54),"")</f>
        <v>0.42644160475424442</v>
      </c>
      <c r="D57" s="113">
        <f>IFERROR(STDEV(D46:D54)/AVERAGE(D46:D54),"")</f>
        <v>0.51817824982767446</v>
      </c>
      <c r="E57" s="131"/>
      <c r="F57" s="113">
        <f>IFERROR(STDEV(F46:F54)/AVERAGE(F46:F54),"")</f>
        <v>2.3980836886211394</v>
      </c>
      <c r="G57" s="131"/>
      <c r="H57" s="113" t="str">
        <f ca="1">IFERROR(STDEV(H46:H54)/AVERAGE(H46:H54),"")</f>
        <v/>
      </c>
      <c r="I57" s="131"/>
      <c r="J57" s="973" t="s">
        <v>161</v>
      </c>
      <c r="K57" s="974"/>
      <c r="L57" s="418">
        <f>IFERROR(SUM(I51:I54)/(C54-C50),"")</f>
        <v>-0.34942876096410408</v>
      </c>
      <c r="M57" s="480">
        <f>IFERROR((SUM(I51:I54)-SUM(H51:H54))/(C54-C50),"")</f>
        <v>-0.34942876096410408</v>
      </c>
    </row>
    <row r="58" spans="2:19">
      <c r="B58" s="681" t="s">
        <v>162</v>
      </c>
      <c r="C58" s="113">
        <f>IFERROR(C54/C53-1,"")</f>
        <v>6.6643471659919129E-2</v>
      </c>
      <c r="D58" s="113">
        <f>IFERROR(D54/D53-1,"")</f>
        <v>0.15737915302161065</v>
      </c>
      <c r="E58" s="131"/>
      <c r="F58" s="113">
        <f>IFERROR(1-(F54/F53),"")</f>
        <v>3.2023742227247034</v>
      </c>
      <c r="G58" s="131"/>
      <c r="H58" s="113" t="str">
        <f>IFERROR(1-(H54/H53),"")</f>
        <v/>
      </c>
      <c r="I58" s="131"/>
      <c r="J58" s="975" t="s">
        <v>163</v>
      </c>
      <c r="K58" s="976"/>
      <c r="L58" s="419">
        <f>IFERROR(L57/E27,"")</f>
        <v>-0.5583503940863398</v>
      </c>
      <c r="M58" s="424">
        <f>IFERROR(M57/E27,"")</f>
        <v>-0.5583503940863398</v>
      </c>
    </row>
    <row r="59" spans="2:19" ht="18">
      <c r="B59" s="883" t="s">
        <v>164</v>
      </c>
      <c r="C59" s="884"/>
      <c r="D59" s="884"/>
      <c r="E59" s="884"/>
      <c r="F59" s="884"/>
      <c r="G59" s="884"/>
      <c r="H59" s="884"/>
      <c r="I59" s="884"/>
      <c r="J59" s="884"/>
      <c r="K59" s="884"/>
      <c r="L59" s="884"/>
      <c r="M59" s="885"/>
    </row>
    <row r="60" spans="2:19" ht="15.75">
      <c r="B60" s="857" t="s">
        <v>165</v>
      </c>
      <c r="C60" s="830"/>
      <c r="D60" s="830"/>
      <c r="E60" s="830"/>
      <c r="F60" s="830"/>
      <c r="G60" s="830"/>
      <c r="H60" s="830"/>
      <c r="I60" s="830"/>
      <c r="J60" s="830" t="s">
        <v>166</v>
      </c>
      <c r="K60" s="830"/>
      <c r="L60" s="830"/>
      <c r="M60" s="831"/>
    </row>
    <row r="61" spans="2:19">
      <c r="B61" s="977" t="s">
        <v>167</v>
      </c>
      <c r="C61" s="841"/>
      <c r="D61" s="841"/>
      <c r="E61" s="841" t="s">
        <v>168</v>
      </c>
      <c r="F61" s="841"/>
      <c r="G61" s="841"/>
      <c r="H61" s="841"/>
      <c r="I61" s="841"/>
      <c r="J61" s="841" t="s">
        <v>169</v>
      </c>
      <c r="K61" s="841"/>
      <c r="L61" s="841"/>
      <c r="M61" s="421" t="s">
        <v>170</v>
      </c>
    </row>
    <row r="62" spans="2:19" ht="15" customHeight="1">
      <c r="B62" s="978" t="s">
        <v>171</v>
      </c>
      <c r="C62" s="979"/>
      <c r="D62" s="980"/>
      <c r="E62" s="822" t="s">
        <v>172</v>
      </c>
      <c r="F62" s="823"/>
      <c r="G62" s="823"/>
      <c r="H62" s="823"/>
      <c r="I62" s="824"/>
      <c r="J62" s="845" t="s">
        <v>173</v>
      </c>
      <c r="K62" s="846"/>
      <c r="L62" s="846"/>
      <c r="M62" s="425">
        <v>8.4199999999999997E-2</v>
      </c>
    </row>
    <row r="63" spans="2:19" ht="17.25" customHeight="1">
      <c r="B63" s="981"/>
      <c r="C63" s="982"/>
      <c r="D63" s="983"/>
      <c r="E63" s="825"/>
      <c r="F63" s="826"/>
      <c r="G63" s="826"/>
      <c r="H63" s="826"/>
      <c r="I63" s="827"/>
      <c r="J63" s="845" t="s">
        <v>174</v>
      </c>
      <c r="K63" s="846"/>
      <c r="L63" s="846"/>
      <c r="M63" s="425">
        <v>7.1400000000000005E-2</v>
      </c>
    </row>
    <row r="64" spans="2:19" ht="17.25" customHeight="1">
      <c r="B64" s="981"/>
      <c r="C64" s="982"/>
      <c r="D64" s="983"/>
      <c r="E64" s="825"/>
      <c r="F64" s="826"/>
      <c r="G64" s="826"/>
      <c r="H64" s="826"/>
      <c r="I64" s="827"/>
      <c r="J64" s="845" t="s">
        <v>175</v>
      </c>
      <c r="K64" s="846"/>
      <c r="L64" s="846"/>
      <c r="M64" s="425">
        <v>5.0700000000000002E-2</v>
      </c>
    </row>
    <row r="65" spans="2:13">
      <c r="B65" s="981"/>
      <c r="C65" s="982"/>
      <c r="D65" s="983"/>
      <c r="E65" s="825"/>
      <c r="F65" s="826"/>
      <c r="G65" s="826"/>
      <c r="H65" s="826"/>
      <c r="I65" s="827"/>
      <c r="J65" s="845" t="s">
        <v>176</v>
      </c>
      <c r="K65" s="846"/>
      <c r="L65" s="846"/>
      <c r="M65" s="425">
        <v>3.8699999999999998E-2</v>
      </c>
    </row>
    <row r="66" spans="2:13" ht="12.75" customHeight="1">
      <c r="B66" s="981"/>
      <c r="C66" s="982"/>
      <c r="D66" s="983"/>
      <c r="E66" s="825"/>
      <c r="F66" s="826"/>
      <c r="G66" s="826"/>
      <c r="H66" s="826"/>
      <c r="I66" s="827"/>
      <c r="J66" s="845" t="s">
        <v>177</v>
      </c>
      <c r="K66" s="846"/>
      <c r="L66" s="846"/>
      <c r="M66" s="425">
        <v>2.7300000000000001E-2</v>
      </c>
    </row>
    <row r="67" spans="2:13">
      <c r="B67" s="981"/>
      <c r="C67" s="982"/>
      <c r="D67" s="983"/>
      <c r="E67" s="825"/>
      <c r="F67" s="826"/>
      <c r="G67" s="826"/>
      <c r="H67" s="826"/>
      <c r="I67" s="827"/>
      <c r="J67" s="845" t="s">
        <v>178</v>
      </c>
      <c r="K67" s="846"/>
      <c r="L67" s="846"/>
      <c r="M67" s="425">
        <v>2.7099999999999999E-2</v>
      </c>
    </row>
    <row r="68" spans="2:13">
      <c r="B68" s="981"/>
      <c r="C68" s="982"/>
      <c r="D68" s="983"/>
      <c r="E68" s="825"/>
      <c r="F68" s="826"/>
      <c r="G68" s="826"/>
      <c r="H68" s="826"/>
      <c r="I68" s="827"/>
      <c r="J68" s="845" t="s">
        <v>179</v>
      </c>
      <c r="K68" s="846"/>
      <c r="L68" s="846"/>
      <c r="M68" s="425">
        <v>2.1499999999999998E-2</v>
      </c>
    </row>
    <row r="69" spans="2:13">
      <c r="B69" s="981"/>
      <c r="C69" s="982"/>
      <c r="D69" s="983"/>
      <c r="E69" s="825"/>
      <c r="F69" s="826"/>
      <c r="G69" s="826"/>
      <c r="H69" s="826"/>
      <c r="I69" s="827"/>
      <c r="J69" s="845" t="s">
        <v>180</v>
      </c>
      <c r="K69" s="846"/>
      <c r="L69" s="846"/>
      <c r="M69" s="425">
        <v>2.0500000000000001E-2</v>
      </c>
    </row>
    <row r="70" spans="2:13">
      <c r="B70" s="981"/>
      <c r="C70" s="982"/>
      <c r="D70" s="983"/>
      <c r="E70" s="825"/>
      <c r="F70" s="826"/>
      <c r="G70" s="826"/>
      <c r="H70" s="826"/>
      <c r="I70" s="827"/>
      <c r="J70" s="845" t="s">
        <v>181</v>
      </c>
      <c r="K70" s="846"/>
      <c r="L70" s="846"/>
      <c r="M70" s="425">
        <v>1.9900000000000001E-2</v>
      </c>
    </row>
    <row r="71" spans="2:13">
      <c r="B71" s="984"/>
      <c r="C71" s="985"/>
      <c r="D71" s="986"/>
      <c r="E71" s="751"/>
      <c r="F71" s="820"/>
      <c r="G71" s="820"/>
      <c r="H71" s="820"/>
      <c r="I71" s="821"/>
      <c r="J71" s="845" t="s">
        <v>182</v>
      </c>
      <c r="K71" s="846"/>
      <c r="L71" s="846"/>
      <c r="M71" s="425">
        <v>1.5800000000000002E-2</v>
      </c>
    </row>
    <row r="72" spans="2:13">
      <c r="B72" s="977" t="s">
        <v>183</v>
      </c>
      <c r="C72" s="841"/>
      <c r="D72" s="841"/>
      <c r="E72" s="841" t="s">
        <v>184</v>
      </c>
      <c r="F72" s="841"/>
      <c r="G72" s="841"/>
      <c r="H72" s="841"/>
      <c r="I72" s="841"/>
      <c r="J72" s="845"/>
      <c r="K72" s="846"/>
      <c r="L72" s="846"/>
      <c r="M72" s="425"/>
    </row>
    <row r="73" spans="2:13" ht="15" customHeight="1">
      <c r="B73" s="842" t="s">
        <v>185</v>
      </c>
      <c r="C73" s="833"/>
      <c r="D73" s="834"/>
      <c r="E73" s="832" t="s">
        <v>186</v>
      </c>
      <c r="F73" s="833"/>
      <c r="G73" s="833"/>
      <c r="H73" s="833"/>
      <c r="I73" s="834"/>
      <c r="J73" s="845"/>
      <c r="K73" s="846"/>
      <c r="L73" s="846"/>
      <c r="M73" s="425"/>
    </row>
    <row r="74" spans="2:13" ht="15" customHeight="1">
      <c r="B74" s="843"/>
      <c r="C74" s="836"/>
      <c r="D74" s="837"/>
      <c r="E74" s="835"/>
      <c r="F74" s="836"/>
      <c r="G74" s="836"/>
      <c r="H74" s="836"/>
      <c r="I74" s="837"/>
      <c r="J74" s="845"/>
      <c r="K74" s="846"/>
      <c r="L74" s="846"/>
      <c r="M74" s="425"/>
    </row>
    <row r="75" spans="2:13" ht="15" customHeight="1">
      <c r="B75" s="843"/>
      <c r="C75" s="836"/>
      <c r="D75" s="837"/>
      <c r="E75" s="835"/>
      <c r="F75" s="836"/>
      <c r="G75" s="836"/>
      <c r="H75" s="836"/>
      <c r="I75" s="837"/>
      <c r="J75" s="845"/>
      <c r="K75" s="846"/>
      <c r="L75" s="846"/>
      <c r="M75" s="425"/>
    </row>
    <row r="76" spans="2:13" ht="15" customHeight="1">
      <c r="B76" s="843"/>
      <c r="C76" s="836"/>
      <c r="D76" s="837"/>
      <c r="E76" s="835"/>
      <c r="F76" s="836"/>
      <c r="G76" s="836"/>
      <c r="H76" s="836"/>
      <c r="I76" s="837"/>
      <c r="J76" s="845"/>
      <c r="K76" s="846"/>
      <c r="L76" s="846"/>
      <c r="M76" s="425"/>
    </row>
    <row r="77" spans="2:13" ht="27" customHeight="1">
      <c r="B77" s="843"/>
      <c r="C77" s="836"/>
      <c r="D77" s="837"/>
      <c r="E77" s="835"/>
      <c r="F77" s="836"/>
      <c r="G77" s="836"/>
      <c r="H77" s="836"/>
      <c r="I77" s="837"/>
      <c r="J77" s="845"/>
      <c r="K77" s="846"/>
      <c r="L77" s="846"/>
      <c r="M77" s="425"/>
    </row>
    <row r="78" spans="2:13">
      <c r="B78" s="843"/>
      <c r="C78" s="836"/>
      <c r="D78" s="837"/>
      <c r="E78" s="835"/>
      <c r="F78" s="836"/>
      <c r="G78" s="836"/>
      <c r="H78" s="836"/>
      <c r="I78" s="837"/>
      <c r="J78" s="845"/>
      <c r="K78" s="846"/>
      <c r="L78" s="846"/>
      <c r="M78" s="425"/>
    </row>
    <row r="79" spans="2:13">
      <c r="B79" s="843"/>
      <c r="C79" s="836"/>
      <c r="D79" s="837"/>
      <c r="E79" s="835"/>
      <c r="F79" s="836"/>
      <c r="G79" s="836"/>
      <c r="H79" s="836"/>
      <c r="I79" s="837"/>
      <c r="J79" s="845"/>
      <c r="K79" s="846"/>
      <c r="L79" s="846"/>
      <c r="M79" s="425"/>
    </row>
    <row r="80" spans="2:13">
      <c r="B80" s="843"/>
      <c r="C80" s="836"/>
      <c r="D80" s="837"/>
      <c r="E80" s="835"/>
      <c r="F80" s="836"/>
      <c r="G80" s="836"/>
      <c r="H80" s="836"/>
      <c r="I80" s="837"/>
      <c r="J80" s="847"/>
      <c r="K80" s="848"/>
      <c r="L80" s="848"/>
      <c r="M80" s="425"/>
    </row>
    <row r="81" spans="2:13" ht="24" customHeight="1">
      <c r="B81" s="844"/>
      <c r="C81" s="839"/>
      <c r="D81" s="840"/>
      <c r="E81" s="838"/>
      <c r="F81" s="839"/>
      <c r="G81" s="839"/>
      <c r="H81" s="839"/>
      <c r="I81" s="840"/>
      <c r="J81" s="847"/>
      <c r="K81" s="848"/>
      <c r="L81" s="848"/>
      <c r="M81" s="425"/>
    </row>
    <row r="82" spans="2:13" ht="15.75">
      <c r="B82" s="954" t="s">
        <v>187</v>
      </c>
      <c r="C82" s="955"/>
      <c r="D82" s="955"/>
      <c r="E82" s="955"/>
      <c r="F82" s="955"/>
      <c r="G82" s="830" t="s">
        <v>188</v>
      </c>
      <c r="H82" s="830"/>
      <c r="I82" s="830"/>
      <c r="J82" s="830"/>
      <c r="K82" s="830"/>
      <c r="L82" s="830"/>
      <c r="M82" s="831"/>
    </row>
    <row r="83" spans="2:13" s="11" customFormat="1">
      <c r="B83" s="1132"/>
      <c r="C83" s="849"/>
      <c r="D83" s="849"/>
      <c r="E83" s="849"/>
      <c r="F83" s="850"/>
      <c r="G83"/>
      <c r="H83"/>
      <c r="I83"/>
      <c r="J83"/>
      <c r="K83"/>
      <c r="L83"/>
      <c r="M83" s="51"/>
    </row>
    <row r="84" spans="2:13">
      <c r="B84" s="851"/>
      <c r="C84" s="852"/>
      <c r="D84" s="852"/>
      <c r="E84" s="852"/>
      <c r="F84" s="853"/>
      <c r="M84" s="51"/>
    </row>
    <row r="85" spans="2:13">
      <c r="B85" s="851"/>
      <c r="C85" s="852"/>
      <c r="D85" s="852"/>
      <c r="E85" s="852"/>
      <c r="F85" s="853"/>
      <c r="M85" s="51"/>
    </row>
    <row r="86" spans="2:13">
      <c r="B86" s="851"/>
      <c r="C86" s="852"/>
      <c r="D86" s="852"/>
      <c r="E86" s="852"/>
      <c r="F86" s="853"/>
      <c r="M86" s="51"/>
    </row>
    <row r="87" spans="2:13">
      <c r="B87" s="851"/>
      <c r="C87" s="852"/>
      <c r="D87" s="852"/>
      <c r="E87" s="852"/>
      <c r="F87" s="853"/>
      <c r="M87" s="51"/>
    </row>
    <row r="88" spans="2:13">
      <c r="B88" s="851"/>
      <c r="C88" s="852"/>
      <c r="D88" s="852"/>
      <c r="E88" s="852"/>
      <c r="F88" s="853"/>
      <c r="M88" s="51"/>
    </row>
    <row r="89" spans="2:13">
      <c r="B89" s="851"/>
      <c r="C89" s="852"/>
      <c r="D89" s="852"/>
      <c r="E89" s="852"/>
      <c r="F89" s="853"/>
      <c r="M89" s="51"/>
    </row>
    <row r="90" spans="2:13">
      <c r="B90" s="851"/>
      <c r="C90" s="852"/>
      <c r="D90" s="852"/>
      <c r="E90" s="852"/>
      <c r="F90" s="853"/>
      <c r="M90" s="51"/>
    </row>
    <row r="91" spans="2:13">
      <c r="B91" s="851"/>
      <c r="C91" s="852"/>
      <c r="D91" s="852"/>
      <c r="E91" s="852"/>
      <c r="F91" s="853"/>
      <c r="M91" s="51"/>
    </row>
    <row r="92" spans="2:13">
      <c r="B92" s="851"/>
      <c r="C92" s="852"/>
      <c r="D92" s="852"/>
      <c r="E92" s="852"/>
      <c r="F92" s="853"/>
      <c r="M92" s="51"/>
    </row>
    <row r="93" spans="2:13">
      <c r="B93" s="851"/>
      <c r="C93" s="852"/>
      <c r="D93" s="852"/>
      <c r="E93" s="852"/>
      <c r="F93" s="853"/>
      <c r="M93" s="51"/>
    </row>
    <row r="94" spans="2:13">
      <c r="B94" s="851"/>
      <c r="C94" s="852"/>
      <c r="D94" s="852"/>
      <c r="E94" s="852"/>
      <c r="F94" s="853"/>
      <c r="M94" s="51"/>
    </row>
    <row r="95" spans="2:13">
      <c r="B95" s="851"/>
      <c r="C95" s="852"/>
      <c r="D95" s="852"/>
      <c r="E95" s="852"/>
      <c r="F95" s="853"/>
      <c r="M95" s="51"/>
    </row>
    <row r="96" spans="2:13">
      <c r="B96" s="851"/>
      <c r="C96" s="852"/>
      <c r="D96" s="852"/>
      <c r="E96" s="852"/>
      <c r="F96" s="853"/>
      <c r="M96" s="51"/>
    </row>
    <row r="97" spans="2:14">
      <c r="B97" s="851"/>
      <c r="C97" s="852"/>
      <c r="D97" s="852"/>
      <c r="E97" s="852"/>
      <c r="F97" s="853"/>
      <c r="M97" s="51"/>
    </row>
    <row r="98" spans="2:14">
      <c r="B98" s="851"/>
      <c r="C98" s="852"/>
      <c r="D98" s="852"/>
      <c r="E98" s="852"/>
      <c r="F98" s="853"/>
      <c r="M98" s="51"/>
    </row>
    <row r="99" spans="2:14">
      <c r="B99" s="851"/>
      <c r="C99" s="852"/>
      <c r="D99" s="852"/>
      <c r="E99" s="852"/>
      <c r="F99" s="853"/>
      <c r="M99" s="51"/>
    </row>
    <row r="100" spans="2:14">
      <c r="B100" s="851"/>
      <c r="C100" s="852"/>
      <c r="D100" s="852"/>
      <c r="E100" s="852"/>
      <c r="F100" s="853"/>
      <c r="M100" s="51"/>
    </row>
    <row r="101" spans="2:14">
      <c r="B101" s="851"/>
      <c r="C101" s="852"/>
      <c r="D101" s="852"/>
      <c r="E101" s="852"/>
      <c r="F101" s="853"/>
      <c r="M101" s="51"/>
    </row>
    <row r="102" spans="2:14">
      <c r="B102" s="851"/>
      <c r="C102" s="852"/>
      <c r="D102" s="852"/>
      <c r="E102" s="852"/>
      <c r="F102" s="853"/>
      <c r="M102" s="51"/>
    </row>
    <row r="103" spans="2:14">
      <c r="B103" s="851"/>
      <c r="C103" s="852"/>
      <c r="D103" s="852"/>
      <c r="E103" s="852"/>
      <c r="F103" s="853"/>
      <c r="M103" s="51"/>
    </row>
    <row r="104" spans="2:14">
      <c r="B104" s="851"/>
      <c r="C104" s="852"/>
      <c r="D104" s="852"/>
      <c r="E104" s="852"/>
      <c r="F104" s="853"/>
      <c r="M104" s="51"/>
    </row>
    <row r="105" spans="2:14">
      <c r="B105" s="851"/>
      <c r="C105" s="852"/>
      <c r="D105" s="852"/>
      <c r="E105" s="852"/>
      <c r="F105" s="853"/>
      <c r="M105" s="51"/>
    </row>
    <row r="106" spans="2:14">
      <c r="B106" s="851"/>
      <c r="C106" s="852"/>
      <c r="D106" s="852"/>
      <c r="E106" s="852"/>
      <c r="F106" s="853"/>
      <c r="M106" s="51"/>
    </row>
    <row r="107" spans="2:14" ht="136.5" customHeight="1">
      <c r="B107" s="854"/>
      <c r="C107" s="855"/>
      <c r="D107" s="855"/>
      <c r="E107" s="855"/>
      <c r="F107" s="856"/>
      <c r="G107" s="828" t="e" vm="1">
        <v>#VALUE!</v>
      </c>
      <c r="H107" s="829"/>
      <c r="I107" s="410" t="e" vm="3">
        <v>#VALUE!</v>
      </c>
      <c r="J107" s="411" t="e" vm="4">
        <v>#VALUE!</v>
      </c>
      <c r="K107" s="412" t="e" vm="5">
        <v>#VALUE!</v>
      </c>
      <c r="L107" s="952" t="e" vm="6">
        <v>#VALUE!</v>
      </c>
      <c r="M107" s="953"/>
      <c r="N107" s="799"/>
    </row>
  </sheetData>
  <mergeCells count="128">
    <mergeCell ref="L107:M107"/>
    <mergeCell ref="B82:F82"/>
    <mergeCell ref="I35:M38"/>
    <mergeCell ref="I39:M39"/>
    <mergeCell ref="J47:K47"/>
    <mergeCell ref="J48:K48"/>
    <mergeCell ref="J49:K49"/>
    <mergeCell ref="J50:K50"/>
    <mergeCell ref="J51:K51"/>
    <mergeCell ref="J52:K52"/>
    <mergeCell ref="J53:K53"/>
    <mergeCell ref="J54:K54"/>
    <mergeCell ref="J55:K55"/>
    <mergeCell ref="J56:K56"/>
    <mergeCell ref="J57:K57"/>
    <mergeCell ref="J58:K58"/>
    <mergeCell ref="J76:L76"/>
    <mergeCell ref="J71:L71"/>
    <mergeCell ref="J72:L72"/>
    <mergeCell ref="J73:L73"/>
    <mergeCell ref="J74:L74"/>
    <mergeCell ref="B61:D61"/>
    <mergeCell ref="B72:D72"/>
    <mergeCell ref="B62:D71"/>
    <mergeCell ref="J60:M60"/>
    <mergeCell ref="E2:K2"/>
    <mergeCell ref="F20:G20"/>
    <mergeCell ref="F28:G28"/>
    <mergeCell ref="F26:G26"/>
    <mergeCell ref="J21:K21"/>
    <mergeCell ref="I22:J22"/>
    <mergeCell ref="I23:J23"/>
    <mergeCell ref="I24:J24"/>
    <mergeCell ref="I25:J25"/>
    <mergeCell ref="I26:J26"/>
    <mergeCell ref="I27:J27"/>
    <mergeCell ref="I28:J28"/>
    <mergeCell ref="F27:G27"/>
    <mergeCell ref="D4:G17"/>
    <mergeCell ref="D3:G3"/>
    <mergeCell ref="H3:M3"/>
    <mergeCell ref="F19:H19"/>
    <mergeCell ref="F22:G22"/>
    <mergeCell ref="K4:M4"/>
    <mergeCell ref="K5:M5"/>
    <mergeCell ref="M42:M43"/>
    <mergeCell ref="B17:C17"/>
    <mergeCell ref="B3:C16"/>
    <mergeCell ref="L19:M19"/>
    <mergeCell ref="B19:C19"/>
    <mergeCell ref="K6:M6"/>
    <mergeCell ref="K7:M7"/>
    <mergeCell ref="K8:M8"/>
    <mergeCell ref="K9:M9"/>
    <mergeCell ref="K10:M10"/>
    <mergeCell ref="K11:M11"/>
    <mergeCell ref="K12:M12"/>
    <mergeCell ref="K13:M13"/>
    <mergeCell ref="K14:M14"/>
    <mergeCell ref="K15:M15"/>
    <mergeCell ref="K16:M16"/>
    <mergeCell ref="K17:M17"/>
    <mergeCell ref="B29:C29"/>
    <mergeCell ref="D19:E19"/>
    <mergeCell ref="B18:M18"/>
    <mergeCell ref="B33:M33"/>
    <mergeCell ref="H40:H43"/>
    <mergeCell ref="J20:K20"/>
    <mergeCell ref="F32:G32"/>
    <mergeCell ref="F31:G31"/>
    <mergeCell ref="F29:G29"/>
    <mergeCell ref="F30:G30"/>
    <mergeCell ref="H35:H38"/>
    <mergeCell ref="C37:G37"/>
    <mergeCell ref="C38:G38"/>
    <mergeCell ref="C41:G41"/>
    <mergeCell ref="F23:G23"/>
    <mergeCell ref="F24:G24"/>
    <mergeCell ref="F25:G25"/>
    <mergeCell ref="F21:G21"/>
    <mergeCell ref="B83:F107"/>
    <mergeCell ref="B60:I60"/>
    <mergeCell ref="B34:G34"/>
    <mergeCell ref="I19:K19"/>
    <mergeCell ref="C43:G43"/>
    <mergeCell ref="C42:G42"/>
    <mergeCell ref="I29:J29"/>
    <mergeCell ref="I30:J30"/>
    <mergeCell ref="I31:J31"/>
    <mergeCell ref="I34:M34"/>
    <mergeCell ref="B39:G39"/>
    <mergeCell ref="C40:G40"/>
    <mergeCell ref="C35:G35"/>
    <mergeCell ref="B59:M59"/>
    <mergeCell ref="C36:G36"/>
    <mergeCell ref="J45:M45"/>
    <mergeCell ref="B44:M44"/>
    <mergeCell ref="I40:I41"/>
    <mergeCell ref="I42:I43"/>
    <mergeCell ref="J40:K41"/>
    <mergeCell ref="J42:K43"/>
    <mergeCell ref="L40:L41"/>
    <mergeCell ref="L42:L43"/>
    <mergeCell ref="M40:M41"/>
    <mergeCell ref="F71:I71"/>
    <mergeCell ref="E62:I70"/>
    <mergeCell ref="G107:H107"/>
    <mergeCell ref="G82:M82"/>
    <mergeCell ref="E73:I81"/>
    <mergeCell ref="J61:L61"/>
    <mergeCell ref="E72:I72"/>
    <mergeCell ref="B73:D81"/>
    <mergeCell ref="J64:L64"/>
    <mergeCell ref="J65:L65"/>
    <mergeCell ref="J66:L66"/>
    <mergeCell ref="J67:L67"/>
    <mergeCell ref="J68:L68"/>
    <mergeCell ref="J69:L69"/>
    <mergeCell ref="J70:L70"/>
    <mergeCell ref="J62:L62"/>
    <mergeCell ref="J63:L63"/>
    <mergeCell ref="E61:I61"/>
    <mergeCell ref="J75:L75"/>
    <mergeCell ref="J77:L77"/>
    <mergeCell ref="J78:L78"/>
    <mergeCell ref="J79:L79"/>
    <mergeCell ref="J81:L81"/>
    <mergeCell ref="J80:L80"/>
  </mergeCells>
  <phoneticPr fontId="0" type="noConversion"/>
  <conditionalFormatting sqref="C30">
    <cfRule type="expression" dxfId="33" priority="1">
      <formula>$C$8="Low"</formula>
    </cfRule>
  </conditionalFormatting>
  <conditionalFormatting sqref="C46:C54 D46:E46">
    <cfRule type="dataBar" priority="12">
      <dataBar>
        <cfvo type="min"/>
        <cfvo type="max"/>
        <color rgb="FF63C384"/>
      </dataBar>
      <extLst>
        <ext xmlns:x14="http://schemas.microsoft.com/office/spreadsheetml/2009/9/main" uri="{B025F937-C7B1-47D3-B67F-A62EFF666E3E}">
          <x14:id>{F4773E1D-8C81-41A2-B9F2-E9E8E2054B23}</x14:id>
        </ext>
      </extLst>
    </cfRule>
  </conditionalFormatting>
  <conditionalFormatting sqref="D46:D54">
    <cfRule type="dataBar" priority="11">
      <dataBar>
        <cfvo type="min"/>
        <cfvo type="max"/>
        <color rgb="FF638EC6"/>
      </dataBar>
      <extLst>
        <ext xmlns:x14="http://schemas.microsoft.com/office/spreadsheetml/2009/9/main" uri="{B025F937-C7B1-47D3-B67F-A62EFF666E3E}">
          <x14:id>{AB45923C-EAD5-474F-8382-F5BEE7164463}</x14:id>
        </ext>
      </extLst>
    </cfRule>
  </conditionalFormatting>
  <conditionalFormatting sqref="D47:D54">
    <cfRule type="dataBar" priority="18">
      <dataBar>
        <cfvo type="min"/>
        <cfvo type="max"/>
        <color rgb="FF638EC6"/>
      </dataBar>
      <extLst>
        <ext xmlns:x14="http://schemas.microsoft.com/office/spreadsheetml/2009/9/main" uri="{B025F937-C7B1-47D3-B67F-A62EFF666E3E}">
          <x14:id>{8F05AC94-FB75-41DC-A030-BD50695363B2}</x14:id>
        </ext>
      </extLst>
    </cfRule>
    <cfRule type="dataBar" priority="20">
      <dataBar>
        <cfvo type="min"/>
        <cfvo type="max"/>
        <color rgb="FF63C384"/>
      </dataBar>
      <extLst>
        <ext xmlns:x14="http://schemas.microsoft.com/office/spreadsheetml/2009/9/main" uri="{B025F937-C7B1-47D3-B67F-A62EFF666E3E}">
          <x14:id>{16E131EF-4CFA-4C45-B407-C7FA5F1CCD58}</x14:id>
        </ext>
      </extLst>
    </cfRule>
  </conditionalFormatting>
  <conditionalFormatting sqref="E46:E54">
    <cfRule type="dataBar" priority="10">
      <dataBar>
        <cfvo type="min"/>
        <cfvo type="max"/>
        <color rgb="FFFF555A"/>
      </dataBar>
      <extLst>
        <ext xmlns:x14="http://schemas.microsoft.com/office/spreadsheetml/2009/9/main" uri="{B025F937-C7B1-47D3-B67F-A62EFF666E3E}">
          <x14:id>{4C108334-4BC4-4B0F-A919-0620BA53FECB}</x14:id>
        </ext>
      </extLst>
    </cfRule>
  </conditionalFormatting>
  <conditionalFormatting sqref="E47:E54">
    <cfRule type="dataBar" priority="13">
      <dataBar>
        <cfvo type="min"/>
        <cfvo type="max"/>
        <color rgb="FF63C384"/>
      </dataBar>
      <extLst>
        <ext xmlns:x14="http://schemas.microsoft.com/office/spreadsheetml/2009/9/main" uri="{B025F937-C7B1-47D3-B67F-A62EFF666E3E}">
          <x14:id>{3D2B4733-6086-41B3-B3A7-1CB39146AAEB}</x14:id>
        </ext>
      </extLst>
    </cfRule>
  </conditionalFormatting>
  <conditionalFormatting sqref="E55:E58 G55:G58 I55:I58">
    <cfRule type="dataBar" priority="15">
      <dataBar>
        <cfvo type="min"/>
        <cfvo type="max"/>
        <color rgb="FF638EC6"/>
      </dataBar>
      <extLst>
        <ext xmlns:x14="http://schemas.microsoft.com/office/spreadsheetml/2009/9/main" uri="{B025F937-C7B1-47D3-B67F-A62EFF666E3E}">
          <x14:id>{4382A5A4-8938-4754-913D-04C8EB3E9944}</x14:id>
        </ext>
      </extLst>
    </cfRule>
    <cfRule type="dataBar" priority="16">
      <dataBar>
        <cfvo type="min"/>
        <cfvo type="max"/>
        <color rgb="FF63C384"/>
      </dataBar>
      <extLst>
        <ext xmlns:x14="http://schemas.microsoft.com/office/spreadsheetml/2009/9/main" uri="{B025F937-C7B1-47D3-B67F-A62EFF666E3E}">
          <x14:id>{CA48BEF9-536B-483E-93D1-1D70FAC05115}</x14:id>
        </ext>
      </extLst>
    </cfRule>
  </conditionalFormatting>
  <conditionalFormatting sqref="F46:F54">
    <cfRule type="dataBar" priority="17">
      <dataBar>
        <cfvo type="min"/>
        <cfvo type="max"/>
        <color rgb="FF63C384"/>
      </dataBar>
      <extLst>
        <ext xmlns:x14="http://schemas.microsoft.com/office/spreadsheetml/2009/9/main" uri="{B025F937-C7B1-47D3-B67F-A62EFF666E3E}">
          <x14:id>{FD1FEF9A-F365-4DFE-A927-1852D99D71EB}</x14:id>
        </ext>
      </extLst>
    </cfRule>
  </conditionalFormatting>
  <conditionalFormatting sqref="G46:G54">
    <cfRule type="dataBar" priority="19">
      <dataBar>
        <cfvo type="min"/>
        <cfvo type="max"/>
        <color rgb="FF63C384"/>
      </dataBar>
      <extLst>
        <ext xmlns:x14="http://schemas.microsoft.com/office/spreadsheetml/2009/9/main" uri="{B025F937-C7B1-47D3-B67F-A62EFF666E3E}">
          <x14:id>{ADD19CCF-E818-42F8-BF99-60EF2D3A801A}</x14:id>
        </ext>
      </extLst>
    </cfRule>
  </conditionalFormatting>
  <conditionalFormatting sqref="H21:H25">
    <cfRule type="dataBar" priority="9">
      <dataBar>
        <cfvo type="min"/>
        <cfvo type="max"/>
        <color rgb="FF638EC6"/>
      </dataBar>
      <extLst>
        <ext xmlns:x14="http://schemas.microsoft.com/office/spreadsheetml/2009/9/main" uri="{B025F937-C7B1-47D3-B67F-A62EFF666E3E}">
          <x14:id>{FB1A4ECC-D3E1-4C53-9ADF-103FFC3A87EE}</x14:id>
        </ext>
      </extLst>
    </cfRule>
  </conditionalFormatting>
  <conditionalFormatting sqref="H27:H31">
    <cfRule type="dataBar" priority="8">
      <dataBar>
        <cfvo type="min"/>
        <cfvo type="max"/>
        <color rgb="FF638EC6"/>
      </dataBar>
      <extLst>
        <ext xmlns:x14="http://schemas.microsoft.com/office/spreadsheetml/2009/9/main" uri="{B025F937-C7B1-47D3-B67F-A62EFF666E3E}">
          <x14:id>{6EB89896-7685-489D-A212-BEDCDA6C1614}</x14:id>
        </ext>
      </extLst>
    </cfRule>
  </conditionalFormatting>
  <conditionalFormatting sqref="H46:H54">
    <cfRule type="dataBar" priority="22">
      <dataBar>
        <cfvo type="min"/>
        <cfvo type="max"/>
        <color rgb="FF63C384"/>
      </dataBar>
      <extLst>
        <ext xmlns:x14="http://schemas.microsoft.com/office/spreadsheetml/2009/9/main" uri="{B025F937-C7B1-47D3-B67F-A62EFF666E3E}">
          <x14:id>{595E424D-F3AE-4040-A937-2E859AA15AD2}</x14:id>
        </ext>
      </extLst>
    </cfRule>
  </conditionalFormatting>
  <conditionalFormatting sqref="I46:I54">
    <cfRule type="dataBar" priority="14">
      <dataBar>
        <cfvo type="min"/>
        <cfvo type="max"/>
        <color rgb="FF63C384"/>
      </dataBar>
      <extLst>
        <ext xmlns:x14="http://schemas.microsoft.com/office/spreadsheetml/2009/9/main" uri="{B025F937-C7B1-47D3-B67F-A62EFF666E3E}">
          <x14:id>{60823727-C433-4BFE-A422-F2DB16A0B39B}</x14:id>
        </ext>
      </extLst>
    </cfRule>
  </conditionalFormatting>
  <conditionalFormatting sqref="J42:K43">
    <cfRule type="cellIs" dxfId="32" priority="2" operator="lessThan">
      <formula>0</formula>
    </cfRule>
    <cfRule type="cellIs" dxfId="31" priority="3" operator="greaterThan">
      <formula>0</formula>
    </cfRule>
  </conditionalFormatting>
  <conditionalFormatting sqref="M40:M43">
    <cfRule type="cellIs" dxfId="30" priority="4" operator="lessThan">
      <formula>0</formula>
    </cfRule>
    <cfRule type="cellIs" dxfId="29" priority="5" operator="greaterThan">
      <formula>0</formula>
    </cfRule>
  </conditionalFormatting>
  <printOptions horizontalCentered="1" verticalCentered="1"/>
  <pageMargins left="0" right="0" top="0.19685039370078741" bottom="0.19685039370078741" header="0" footer="0"/>
  <pageSetup paperSize="134" scale="64" orientation="landscape" r:id="rId1"/>
  <headerFooter alignWithMargins="0"/>
  <ignoredErrors>
    <ignoredError sqref="N47:S57" evalError="1"/>
  </ignoredErrors>
  <drawing r:id="rId2"/>
  <legacyDrawing r:id="rId3"/>
  <extLst>
    <ext xmlns:x14="http://schemas.microsoft.com/office/spreadsheetml/2009/9/main" uri="{78C0D931-6437-407d-A8EE-F0AAD7539E65}">
      <x14:conditionalFormattings>
        <x14:conditionalFormatting xmlns:xm="http://schemas.microsoft.com/office/excel/2006/main">
          <x14:cfRule type="dataBar" id="{F4773E1D-8C81-41A2-B9F2-E9E8E2054B23}">
            <x14:dataBar minLength="0" maxLength="100" border="1" negativeBarBorderColorSameAsPositive="0">
              <x14:cfvo type="autoMin"/>
              <x14:cfvo type="autoMax"/>
              <x14:borderColor rgb="FF63C384"/>
              <x14:negativeFillColor rgb="FFFF0000"/>
              <x14:negativeBorderColor rgb="FFFF0000"/>
              <x14:axisColor rgb="FF000000"/>
            </x14:dataBar>
          </x14:cfRule>
          <xm:sqref>C46:C54 D46:E46</xm:sqref>
        </x14:conditionalFormatting>
        <x14:conditionalFormatting xmlns:xm="http://schemas.microsoft.com/office/excel/2006/main">
          <x14:cfRule type="dataBar" id="{AB45923C-EAD5-474F-8382-F5BEE7164463}">
            <x14:dataBar minLength="0" maxLength="100" gradient="0">
              <x14:cfvo type="autoMin"/>
              <x14:cfvo type="autoMax"/>
              <x14:negativeFillColor rgb="FFFF0000"/>
              <x14:axisColor rgb="FF000000"/>
            </x14:dataBar>
          </x14:cfRule>
          <xm:sqref>D46:D54</xm:sqref>
        </x14:conditionalFormatting>
        <x14:conditionalFormatting xmlns:xm="http://schemas.microsoft.com/office/excel/2006/main">
          <x14:cfRule type="dataBar" id="{8F05AC94-FB75-41DC-A030-BD50695363B2}">
            <x14:dataBar minLength="0" maxLength="100" gradient="0">
              <x14:cfvo type="autoMin"/>
              <x14:cfvo type="autoMax"/>
              <x14:negativeFillColor rgb="FFFF0000"/>
              <x14:axisColor rgb="FF000000"/>
            </x14:dataBar>
          </x14:cfRule>
          <x14:cfRule type="dataBar" id="{16E131EF-4CFA-4C45-B407-C7FA5F1CCD58}">
            <x14:dataBar minLength="0" maxLength="100" gradient="0">
              <x14:cfvo type="autoMin"/>
              <x14:cfvo type="autoMax"/>
              <x14:negativeFillColor rgb="FFFF0000"/>
              <x14:axisColor rgb="FF000000"/>
            </x14:dataBar>
          </x14:cfRule>
          <xm:sqref>D47:D54</xm:sqref>
        </x14:conditionalFormatting>
        <x14:conditionalFormatting xmlns:xm="http://schemas.microsoft.com/office/excel/2006/main">
          <x14:cfRule type="dataBar" id="{4C108334-4BC4-4B0F-A919-0620BA53FECB}">
            <x14:dataBar minLength="0" maxLength="100" border="1" negativeBarBorderColorSameAsPositive="0">
              <x14:cfvo type="autoMin"/>
              <x14:cfvo type="autoMax"/>
              <x14:borderColor rgb="FFFF555A"/>
              <x14:negativeFillColor rgb="FFFF0000"/>
              <x14:negativeBorderColor rgb="FFFF0000"/>
              <x14:axisColor rgb="FF000000"/>
            </x14:dataBar>
          </x14:cfRule>
          <xm:sqref>E46:E54</xm:sqref>
        </x14:conditionalFormatting>
        <x14:conditionalFormatting xmlns:xm="http://schemas.microsoft.com/office/excel/2006/main">
          <x14:cfRule type="dataBar" id="{3D2B4733-6086-41B3-B3A7-1CB39146AAEB}">
            <x14:dataBar minLength="0" maxLength="100" border="1" negativeBarBorderColorSameAsPositive="0">
              <x14:cfvo type="autoMin"/>
              <x14:cfvo type="autoMax"/>
              <x14:borderColor rgb="FF63C384"/>
              <x14:negativeFillColor rgb="FFFF0000"/>
              <x14:negativeBorderColor rgb="FFFF0000"/>
              <x14:axisColor rgb="FF000000"/>
            </x14:dataBar>
          </x14:cfRule>
          <xm:sqref>E47:E54</xm:sqref>
        </x14:conditionalFormatting>
        <x14:conditionalFormatting xmlns:xm="http://schemas.microsoft.com/office/excel/2006/main">
          <x14:cfRule type="dataBar" id="{4382A5A4-8938-4754-913D-04C8EB3E9944}">
            <x14:dataBar minLength="0" maxLength="100" gradient="0">
              <x14:cfvo type="autoMin"/>
              <x14:cfvo type="autoMax"/>
              <x14:negativeFillColor rgb="FFFF0000"/>
              <x14:axisColor rgb="FF000000"/>
            </x14:dataBar>
          </x14:cfRule>
          <x14:cfRule type="dataBar" id="{CA48BEF9-536B-483E-93D1-1D70FAC05115}">
            <x14:dataBar minLength="0" maxLength="100" gradient="0">
              <x14:cfvo type="autoMin"/>
              <x14:cfvo type="autoMax"/>
              <x14:negativeFillColor rgb="FFFF0000"/>
              <x14:axisColor rgb="FF000000"/>
            </x14:dataBar>
          </x14:cfRule>
          <xm:sqref>E55:E58 G55:G58 I55:I58</xm:sqref>
        </x14:conditionalFormatting>
        <x14:conditionalFormatting xmlns:xm="http://schemas.microsoft.com/office/excel/2006/main">
          <x14:cfRule type="dataBar" id="{FD1FEF9A-F365-4DFE-A927-1852D99D71EB}">
            <x14:dataBar minLength="0" maxLength="100" gradient="0">
              <x14:cfvo type="autoMin"/>
              <x14:cfvo type="autoMax"/>
              <x14:negativeFillColor rgb="FFFF0000"/>
              <x14:axisColor rgb="FF000000"/>
            </x14:dataBar>
          </x14:cfRule>
          <xm:sqref>F46:F54</xm:sqref>
        </x14:conditionalFormatting>
        <x14:conditionalFormatting xmlns:xm="http://schemas.microsoft.com/office/excel/2006/main">
          <x14:cfRule type="dataBar" id="{ADD19CCF-E818-42F8-BF99-60EF2D3A801A}">
            <x14:dataBar minLength="0" maxLength="100" border="1" negativeBarBorderColorSameAsPositive="0">
              <x14:cfvo type="autoMin"/>
              <x14:cfvo type="autoMax"/>
              <x14:borderColor rgb="FF63C384"/>
              <x14:negativeFillColor rgb="FFFF0000"/>
              <x14:negativeBorderColor rgb="FFFF0000"/>
              <x14:axisColor rgb="FF000000"/>
            </x14:dataBar>
          </x14:cfRule>
          <xm:sqref>G46:G54</xm:sqref>
        </x14:conditionalFormatting>
        <x14:conditionalFormatting xmlns:xm="http://schemas.microsoft.com/office/excel/2006/main">
          <x14:cfRule type="dataBar" id="{FB1A4ECC-D3E1-4C53-9ADF-103FFC3A87EE}">
            <x14:dataBar minLength="0" maxLength="100" border="1" negativeBarBorderColorSameAsPositive="0">
              <x14:cfvo type="autoMin"/>
              <x14:cfvo type="autoMax"/>
              <x14:borderColor rgb="FF638EC6"/>
              <x14:negativeFillColor rgb="FFFF0000"/>
              <x14:negativeBorderColor rgb="FFFF0000"/>
              <x14:axisColor rgb="FF000000"/>
            </x14:dataBar>
          </x14:cfRule>
          <xm:sqref>H21:H25</xm:sqref>
        </x14:conditionalFormatting>
        <x14:conditionalFormatting xmlns:xm="http://schemas.microsoft.com/office/excel/2006/main">
          <x14:cfRule type="dataBar" id="{6EB89896-7685-489D-A212-BEDCDA6C1614}">
            <x14:dataBar minLength="0" maxLength="100" border="1" negativeBarBorderColorSameAsPositive="0">
              <x14:cfvo type="autoMin"/>
              <x14:cfvo type="autoMax"/>
              <x14:borderColor rgb="FF638EC6"/>
              <x14:negativeFillColor rgb="FFFF0000"/>
              <x14:negativeBorderColor rgb="FFFF0000"/>
              <x14:axisColor rgb="FF000000"/>
            </x14:dataBar>
          </x14:cfRule>
          <xm:sqref>H27:H31</xm:sqref>
        </x14:conditionalFormatting>
        <x14:conditionalFormatting xmlns:xm="http://schemas.microsoft.com/office/excel/2006/main">
          <x14:cfRule type="dataBar" id="{595E424D-F3AE-4040-A937-2E859AA15AD2}">
            <x14:dataBar minLength="0" maxLength="100" border="1" negativeBarBorderColorSameAsPositive="0">
              <x14:cfvo type="autoMin"/>
              <x14:cfvo type="autoMax"/>
              <x14:borderColor rgb="FF63C384"/>
              <x14:negativeFillColor rgb="FFFF0000"/>
              <x14:negativeBorderColor rgb="FFFF0000"/>
              <x14:axisColor rgb="FF000000"/>
            </x14:dataBar>
          </x14:cfRule>
          <xm:sqref>H46:H54</xm:sqref>
        </x14:conditionalFormatting>
        <x14:conditionalFormatting xmlns:xm="http://schemas.microsoft.com/office/excel/2006/main">
          <x14:cfRule type="dataBar" id="{60823727-C433-4BFE-A422-F2DB16A0B39B}">
            <x14:dataBar minLength="0" maxLength="100" border="1" negativeBarBorderColorSameAsPositive="0">
              <x14:cfvo type="autoMin"/>
              <x14:cfvo type="autoMax"/>
              <x14:borderColor rgb="FF63C384"/>
              <x14:negativeFillColor rgb="FFFF0000"/>
              <x14:negativeBorderColor rgb="FFFF0000"/>
              <x14:axisColor rgb="FF000000"/>
            </x14:dataBar>
          </x14:cfRule>
          <xm:sqref>I46:I54</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theme="9"/>
  </sheetPr>
  <dimension ref="B1:Y75"/>
  <sheetViews>
    <sheetView showGridLines="0" zoomScale="85" zoomScaleNormal="85" workbookViewId="0">
      <selection activeCell="AC20" sqref="AC20"/>
    </sheetView>
  </sheetViews>
  <sheetFormatPr defaultColWidth="11.42578125" defaultRowHeight="12.75"/>
  <cols>
    <col min="1" max="1" width="2.140625" customWidth="1"/>
    <col min="2" max="2" width="11" customWidth="1"/>
    <col min="3" max="3" width="42.85546875" customWidth="1"/>
    <col min="4" max="4" width="15.42578125" style="2" customWidth="1"/>
    <col min="5" max="9" width="15.42578125" customWidth="1"/>
    <col min="10" max="11" width="11.42578125" bestFit="1" customWidth="1"/>
    <col min="17" max="17" width="23.42578125" customWidth="1"/>
  </cols>
  <sheetData>
    <row r="1" spans="2:25" ht="7.5" customHeight="1"/>
    <row r="2" spans="2:25" ht="20.25">
      <c r="B2" s="1034" t="str">
        <f>"Regions "&amp;"("&amp;OP!$J$20&amp;")"</f>
        <v>Regions (2023)</v>
      </c>
      <c r="C2" s="1035"/>
      <c r="D2" s="1035"/>
      <c r="E2" s="1035"/>
      <c r="F2" s="1035"/>
      <c r="G2" s="1035"/>
      <c r="H2" s="1035"/>
      <c r="I2" s="1035"/>
      <c r="J2" s="1035"/>
      <c r="K2" s="1035"/>
      <c r="L2" s="1035"/>
      <c r="M2" s="1035"/>
      <c r="N2" s="1035"/>
      <c r="O2" s="1035"/>
      <c r="P2" s="1035"/>
      <c r="Q2" s="1030" t="s">
        <v>189</v>
      </c>
      <c r="R2" s="1031"/>
      <c r="S2" s="1031"/>
      <c r="T2" s="1031"/>
      <c r="U2" s="1031"/>
      <c r="V2" s="1031"/>
      <c r="W2" s="1031"/>
      <c r="X2" s="1031"/>
      <c r="Y2" s="1032"/>
    </row>
    <row r="3" spans="2:25" ht="18.75" thickBot="1">
      <c r="B3" s="177"/>
      <c r="C3" s="178"/>
      <c r="D3" s="1045" t="s">
        <v>190</v>
      </c>
      <c r="E3" s="1045"/>
      <c r="F3" s="1045"/>
      <c r="G3" s="1045"/>
      <c r="H3" s="1045"/>
      <c r="I3" s="1046"/>
      <c r="J3" s="153"/>
      <c r="K3" s="1033" t="s">
        <v>191</v>
      </c>
      <c r="L3" s="1033"/>
      <c r="M3" s="1033"/>
      <c r="N3" s="1033"/>
      <c r="O3" s="1033"/>
      <c r="P3" s="1033"/>
      <c r="Q3" s="142"/>
      <c r="Y3" s="171"/>
    </row>
    <row r="4" spans="2:25" ht="13.5" thickBot="1">
      <c r="B4" s="160" t="s">
        <v>192</v>
      </c>
      <c r="C4" s="161" t="s">
        <v>193</v>
      </c>
      <c r="D4" s="162">
        <v>2023</v>
      </c>
      <c r="E4" s="162">
        <f>D4-1</f>
        <v>2022</v>
      </c>
      <c r="F4" s="162">
        <f>E4-1</f>
        <v>2021</v>
      </c>
      <c r="G4" s="162">
        <f>F4-1</f>
        <v>2020</v>
      </c>
      <c r="H4" s="162">
        <f>G4-1</f>
        <v>2019</v>
      </c>
      <c r="I4" s="162">
        <f>H4-1</f>
        <v>2018</v>
      </c>
      <c r="J4" s="154"/>
      <c r="K4" s="162">
        <f>OP!J20</f>
        <v>2023</v>
      </c>
      <c r="L4" s="162">
        <f t="shared" ref="L4:P4" si="0">K4-1</f>
        <v>2022</v>
      </c>
      <c r="M4" s="162">
        <f t="shared" si="0"/>
        <v>2021</v>
      </c>
      <c r="N4" s="162">
        <f t="shared" si="0"/>
        <v>2020</v>
      </c>
      <c r="O4" s="162">
        <f t="shared" si="0"/>
        <v>2019</v>
      </c>
      <c r="P4" s="179">
        <f t="shared" si="0"/>
        <v>2018</v>
      </c>
      <c r="Q4" s="142"/>
      <c r="Y4" s="171"/>
    </row>
    <row r="5" spans="2:25">
      <c r="B5" s="158">
        <v>0.44350000000000001</v>
      </c>
      <c r="C5" s="159" t="s">
        <v>194</v>
      </c>
      <c r="D5" s="163">
        <v>14957</v>
      </c>
      <c r="E5" s="163">
        <v>14230</v>
      </c>
      <c r="F5" s="163">
        <v>13154</v>
      </c>
      <c r="G5" s="163">
        <v>11695</v>
      </c>
      <c r="H5" s="163"/>
      <c r="I5" s="163"/>
      <c r="J5" s="155"/>
      <c r="K5" s="311">
        <f t="shared" ref="K5:M5" si="1">(D5-E5)/E5</f>
        <v>5.1089248067463108E-2</v>
      </c>
      <c r="L5" s="311">
        <f t="shared" si="1"/>
        <v>8.1800212863007454E-2</v>
      </c>
      <c r="M5" s="311">
        <f t="shared" si="1"/>
        <v>0.12475416844805473</v>
      </c>
      <c r="N5" s="311"/>
      <c r="O5" s="311"/>
      <c r="P5" s="311" t="s">
        <v>86</v>
      </c>
      <c r="Q5" s="142"/>
      <c r="Y5" s="171"/>
    </row>
    <row r="6" spans="2:25">
      <c r="B6" s="158">
        <v>0.313</v>
      </c>
      <c r="C6" s="159" t="s">
        <v>195</v>
      </c>
      <c r="D6" s="163">
        <v>10556</v>
      </c>
      <c r="E6" s="163">
        <v>9745</v>
      </c>
      <c r="F6" s="163">
        <v>9700</v>
      </c>
      <c r="G6" s="163">
        <v>7772</v>
      </c>
      <c r="H6" s="163"/>
      <c r="I6" s="163"/>
      <c r="J6" s="155"/>
      <c r="K6" s="311">
        <f t="shared" ref="K6:M8" si="2">(D6-E6)/E6</f>
        <v>8.3222165212929702E-2</v>
      </c>
      <c r="L6" s="311">
        <f t="shared" si="2"/>
        <v>4.6391752577319588E-3</v>
      </c>
      <c r="M6" s="311">
        <f t="shared" si="2"/>
        <v>0.2480699948533196</v>
      </c>
      <c r="N6" s="311"/>
      <c r="O6" s="311"/>
      <c r="P6" s="311" t="s">
        <v>86</v>
      </c>
      <c r="Q6" s="142"/>
      <c r="Y6" s="171"/>
    </row>
    <row r="7" spans="2:25">
      <c r="B7" s="158">
        <v>0.1318</v>
      </c>
      <c r="C7" s="159" t="s">
        <v>196</v>
      </c>
      <c r="D7" s="163">
        <v>4446</v>
      </c>
      <c r="E7" s="163">
        <v>4070</v>
      </c>
      <c r="F7" s="163">
        <v>3577</v>
      </c>
      <c r="G7" s="163">
        <v>3157</v>
      </c>
      <c r="H7" s="163"/>
      <c r="I7" s="163"/>
      <c r="J7" s="155"/>
      <c r="K7" s="311">
        <f t="shared" si="2"/>
        <v>9.238329238329239E-2</v>
      </c>
      <c r="L7" s="311">
        <f t="shared" si="2"/>
        <v>0.13782499301090298</v>
      </c>
      <c r="M7" s="311">
        <f t="shared" si="2"/>
        <v>0.13303769401330376</v>
      </c>
      <c r="N7" s="311"/>
      <c r="O7" s="311"/>
      <c r="P7" s="311" t="s">
        <v>86</v>
      </c>
      <c r="Q7" s="142"/>
      <c r="Y7" s="171"/>
    </row>
    <row r="8" spans="2:25">
      <c r="B8" s="158">
        <v>0.1116</v>
      </c>
      <c r="C8" s="159" t="s">
        <v>197</v>
      </c>
      <c r="D8" s="163">
        <v>3764</v>
      </c>
      <c r="E8" s="163">
        <v>3570</v>
      </c>
      <c r="F8" s="163">
        <v>3267</v>
      </c>
      <c r="G8" s="163">
        <v>2372</v>
      </c>
      <c r="H8" s="163"/>
      <c r="I8" s="163"/>
      <c r="J8" s="155"/>
      <c r="K8" s="311">
        <f t="shared" si="2"/>
        <v>5.4341736694677872E-2</v>
      </c>
      <c r="L8" s="311">
        <f t="shared" si="2"/>
        <v>9.2745638200183653E-2</v>
      </c>
      <c r="M8" s="311">
        <f t="shared" si="2"/>
        <v>0.37731871838111297</v>
      </c>
      <c r="N8" s="311"/>
      <c r="O8" s="311"/>
      <c r="P8" s="311" t="s">
        <v>86</v>
      </c>
      <c r="Q8" s="142"/>
      <c r="Y8" s="171"/>
    </row>
    <row r="9" spans="2:25">
      <c r="B9" s="158"/>
      <c r="C9" s="159"/>
      <c r="D9" s="163"/>
      <c r="E9" s="163"/>
      <c r="F9" s="163"/>
      <c r="G9" s="163"/>
      <c r="H9" s="163"/>
      <c r="I9" s="163"/>
      <c r="J9" s="155"/>
      <c r="K9" s="311"/>
      <c r="L9" s="311"/>
      <c r="M9" s="311"/>
      <c r="N9" s="311"/>
      <c r="O9" s="311"/>
      <c r="P9" s="311" t="s">
        <v>86</v>
      </c>
      <c r="Q9" s="142"/>
      <c r="Y9" s="171"/>
    </row>
    <row r="10" spans="2:25" ht="13.5" thickBot="1">
      <c r="B10" s="158"/>
      <c r="C10" s="145"/>
      <c r="D10" s="151"/>
      <c r="E10" s="151"/>
      <c r="F10" s="151"/>
      <c r="G10" s="151"/>
      <c r="H10" s="151"/>
      <c r="I10" s="151"/>
      <c r="J10" s="155"/>
      <c r="K10" s="311"/>
      <c r="L10" s="311"/>
      <c r="M10" s="311"/>
      <c r="N10" s="311"/>
      <c r="O10" s="311"/>
      <c r="P10" s="311" t="s">
        <v>86</v>
      </c>
      <c r="Q10" s="142"/>
      <c r="Y10" s="171"/>
    </row>
    <row r="11" spans="2:25" hidden="1">
      <c r="B11" s="147">
        <f t="shared" ref="B11:B12" si="3">IFERROR(D11/$D$13,"")</f>
        <v>0</v>
      </c>
      <c r="C11" s="145"/>
      <c r="D11" s="151"/>
      <c r="E11" s="151"/>
      <c r="F11" s="151"/>
      <c r="G11" s="151"/>
      <c r="H11" s="151"/>
      <c r="I11" s="151"/>
      <c r="J11" s="155"/>
      <c r="K11" s="151"/>
      <c r="L11" s="151"/>
      <c r="M11" s="151"/>
      <c r="N11" s="151"/>
      <c r="O11" s="151"/>
      <c r="P11" s="180"/>
      <c r="Q11" s="142"/>
      <c r="Y11" s="171"/>
    </row>
    <row r="12" spans="2:25" hidden="1">
      <c r="B12" s="148">
        <f t="shared" si="3"/>
        <v>0</v>
      </c>
      <c r="C12" s="164"/>
      <c r="D12" s="152"/>
      <c r="E12" s="152"/>
      <c r="F12" s="152"/>
      <c r="G12" s="152"/>
      <c r="H12" s="152"/>
      <c r="I12" s="152"/>
      <c r="J12" s="155"/>
      <c r="K12" s="152"/>
      <c r="L12" s="152"/>
      <c r="M12" s="152"/>
      <c r="N12" s="152"/>
      <c r="O12" s="152"/>
      <c r="P12" s="181"/>
      <c r="Q12" s="142"/>
      <c r="Y12" s="171"/>
    </row>
    <row r="13" spans="2:25" ht="13.5" thickBot="1">
      <c r="B13" s="150">
        <f>SUM(B5:B12)</f>
        <v>0.99990000000000001</v>
      </c>
      <c r="C13" s="165" t="s">
        <v>198</v>
      </c>
      <c r="D13" s="146">
        <f>SUM(D5:D12)</f>
        <v>33723</v>
      </c>
      <c r="E13" s="146">
        <f t="shared" ref="E13:I13" si="4">SUM(E5:E12)</f>
        <v>31615</v>
      </c>
      <c r="F13" s="146">
        <f t="shared" si="4"/>
        <v>29698</v>
      </c>
      <c r="G13" s="146">
        <f t="shared" si="4"/>
        <v>24996</v>
      </c>
      <c r="H13" s="146">
        <f t="shared" si="4"/>
        <v>0</v>
      </c>
      <c r="I13" s="146">
        <f t="shared" si="4"/>
        <v>0</v>
      </c>
      <c r="J13" s="156"/>
      <c r="K13" s="312">
        <f>(D13-E13)/E13</f>
        <v>6.6677210185038749E-2</v>
      </c>
      <c r="L13" s="312">
        <f>(E13-F13)/F13</f>
        <v>6.4549801333423126E-2</v>
      </c>
      <c r="M13" s="312">
        <f>(F13-G13)/G13</f>
        <v>0.1881100976156185</v>
      </c>
      <c r="N13" s="312" t="e">
        <f t="shared" ref="N13:O13" si="5">(G13-H13)/H13</f>
        <v>#DIV/0!</v>
      </c>
      <c r="O13" s="312" t="e">
        <f t="shared" si="5"/>
        <v>#DIV/0!</v>
      </c>
      <c r="P13" s="312" t="s">
        <v>86</v>
      </c>
      <c r="Q13" s="142"/>
      <c r="Y13" s="171"/>
    </row>
    <row r="14" spans="2:25">
      <c r="B14" s="175"/>
      <c r="C14" s="6"/>
      <c r="D14" s="15"/>
      <c r="E14" s="15"/>
      <c r="F14" s="15"/>
      <c r="G14" s="15"/>
      <c r="H14" s="15"/>
      <c r="I14" s="15"/>
      <c r="J14" s="15"/>
      <c r="K14" s="15"/>
      <c r="L14" s="15"/>
      <c r="M14" s="15"/>
      <c r="N14" s="15"/>
      <c r="O14" s="15"/>
      <c r="P14" s="15"/>
      <c r="Q14" s="142"/>
      <c r="Y14" s="171"/>
    </row>
    <row r="15" spans="2:25" ht="21" thickBot="1">
      <c r="B15" s="1034" t="str">
        <f>"Categories "&amp;"("&amp;OP!$J$20&amp;")"</f>
        <v>Categories (2023)</v>
      </c>
      <c r="C15" s="1035"/>
      <c r="D15" s="1035"/>
      <c r="E15" s="1035"/>
      <c r="F15" s="1035"/>
      <c r="G15" s="1035"/>
      <c r="H15" s="1035"/>
      <c r="I15" s="1035"/>
      <c r="J15" s="1035"/>
      <c r="K15" s="1035"/>
      <c r="L15" s="1035"/>
      <c r="M15" s="1035"/>
      <c r="N15" s="1035"/>
      <c r="O15" s="1035"/>
      <c r="P15" s="1035"/>
      <c r="Q15" s="142"/>
      <c r="S15" s="316"/>
      <c r="Y15" s="171"/>
    </row>
    <row r="16" spans="2:25" ht="21" thickBot="1">
      <c r="B16" s="177"/>
      <c r="C16" s="178"/>
      <c r="D16" s="1010" t="s">
        <v>190</v>
      </c>
      <c r="E16" s="1011"/>
      <c r="F16" s="1011"/>
      <c r="G16" s="1011"/>
      <c r="H16" s="1011"/>
      <c r="I16" s="1012"/>
      <c r="J16" s="153"/>
      <c r="K16" s="1036" t="s">
        <v>191</v>
      </c>
      <c r="L16" s="1037"/>
      <c r="M16" s="1037"/>
      <c r="N16" s="1037"/>
      <c r="O16" s="1037"/>
      <c r="P16" s="1037"/>
      <c r="Q16" s="142"/>
      <c r="Y16" s="171"/>
    </row>
    <row r="17" spans="2:25">
      <c r="B17" s="176" t="s">
        <v>192</v>
      </c>
      <c r="C17" s="141" t="s">
        <v>199</v>
      </c>
      <c r="D17" s="149">
        <v>2023</v>
      </c>
      <c r="E17" s="149">
        <f>D17-1</f>
        <v>2022</v>
      </c>
      <c r="F17" s="149">
        <f>E17-1</f>
        <v>2021</v>
      </c>
      <c r="G17" s="149">
        <f>F17-1</f>
        <v>2020</v>
      </c>
      <c r="H17" s="149">
        <f>G17-1</f>
        <v>2019</v>
      </c>
      <c r="I17" s="149">
        <f>H17-1</f>
        <v>2018</v>
      </c>
      <c r="J17" s="154"/>
      <c r="K17" s="157">
        <f>OP!J20</f>
        <v>2023</v>
      </c>
      <c r="L17" s="157">
        <f t="shared" ref="L17:P17" si="6">K17-1</f>
        <v>2022</v>
      </c>
      <c r="M17" s="157">
        <f t="shared" si="6"/>
        <v>2021</v>
      </c>
      <c r="N17" s="157">
        <f t="shared" si="6"/>
        <v>2020</v>
      </c>
      <c r="O17" s="157">
        <f t="shared" si="6"/>
        <v>2019</v>
      </c>
      <c r="P17" s="182">
        <f t="shared" si="6"/>
        <v>2018</v>
      </c>
      <c r="Q17" s="142"/>
      <c r="Y17" s="171"/>
    </row>
    <row r="18" spans="2:25">
      <c r="B18" s="158">
        <f t="shared" ref="B18:B23" si="7">IFERROR(D18/$D$24,"")</f>
        <v>0.99754356758178186</v>
      </c>
      <c r="C18" s="144" t="s">
        <v>200</v>
      </c>
      <c r="D18" s="163">
        <v>33640.457999999999</v>
      </c>
      <c r="E18" s="163">
        <v>31468.851999999999</v>
      </c>
      <c r="F18" s="163">
        <v>29515.495999999999</v>
      </c>
      <c r="G18" s="163">
        <v>24756.674999999999</v>
      </c>
      <c r="H18" s="163">
        <v>19859.23</v>
      </c>
      <c r="I18" s="163">
        <v>15428.752</v>
      </c>
      <c r="J18" s="155"/>
      <c r="K18" s="313">
        <f>(D18-E18)/E18</f>
        <v>6.9008109987615682E-2</v>
      </c>
      <c r="L18" s="313">
        <f t="shared" ref="L18:O24" si="8">(E18-F18)/F18</f>
        <v>6.6180693693915896E-2</v>
      </c>
      <c r="M18" s="313">
        <f t="shared" si="8"/>
        <v>0.19222375379569348</v>
      </c>
      <c r="N18" s="313">
        <f t="shared" si="8"/>
        <v>0.24660800041089206</v>
      </c>
      <c r="O18" s="313">
        <f t="shared" si="8"/>
        <v>0.28715725030773709</v>
      </c>
      <c r="P18" s="313" t="s">
        <v>86</v>
      </c>
      <c r="Q18" s="142"/>
      <c r="Y18" s="171"/>
    </row>
    <row r="19" spans="2:25">
      <c r="B19" s="158">
        <f t="shared" si="7"/>
        <v>2.4564324182181833E-3</v>
      </c>
      <c r="C19" s="601" t="s">
        <v>201</v>
      </c>
      <c r="D19" s="163">
        <v>82.838999999999999</v>
      </c>
      <c r="E19" s="163">
        <v>145.69800000000001</v>
      </c>
      <c r="F19" s="163">
        <v>182.34800000000001</v>
      </c>
      <c r="G19" s="163">
        <v>239.381</v>
      </c>
      <c r="H19" s="163">
        <v>297.21699999999998</v>
      </c>
      <c r="I19" s="163">
        <v>365.589</v>
      </c>
      <c r="J19" s="155"/>
      <c r="K19" s="313"/>
      <c r="L19" s="313"/>
      <c r="M19" s="313"/>
      <c r="N19" s="313"/>
      <c r="O19" s="313"/>
      <c r="P19" s="602"/>
      <c r="Q19" s="142"/>
      <c r="Y19" s="171"/>
    </row>
    <row r="20" spans="2:25">
      <c r="B20" s="158">
        <f t="shared" si="7"/>
        <v>0</v>
      </c>
      <c r="C20" s="145"/>
      <c r="D20" s="163"/>
      <c r="E20" s="819"/>
      <c r="F20" s="163"/>
      <c r="G20" s="163"/>
      <c r="H20" s="163"/>
      <c r="I20" s="163"/>
      <c r="J20" s="155"/>
      <c r="K20" s="314"/>
      <c r="L20" s="314"/>
      <c r="M20" s="314"/>
      <c r="N20" s="314"/>
      <c r="O20" s="314"/>
      <c r="P20" s="314"/>
      <c r="Q20" s="142"/>
      <c r="Y20" s="171"/>
    </row>
    <row r="21" spans="2:25">
      <c r="B21" s="158">
        <f t="shared" si="7"/>
        <v>0</v>
      </c>
      <c r="C21" s="145"/>
      <c r="D21" s="163"/>
      <c r="E21" s="163"/>
      <c r="F21" s="163"/>
      <c r="G21" s="163"/>
      <c r="H21" s="163"/>
      <c r="I21" s="163"/>
      <c r="J21" s="155"/>
      <c r="K21" s="314"/>
      <c r="L21" s="314"/>
      <c r="M21" s="314"/>
      <c r="N21" s="314"/>
      <c r="O21" s="314"/>
      <c r="P21" s="314"/>
      <c r="Q21" s="142"/>
      <c r="Y21" s="171"/>
    </row>
    <row r="22" spans="2:25">
      <c r="B22" s="158">
        <f t="shared" si="7"/>
        <v>0</v>
      </c>
      <c r="C22" s="145"/>
      <c r="D22" s="163"/>
      <c r="E22" s="163"/>
      <c r="F22" s="163"/>
      <c r="G22" s="163"/>
      <c r="H22" s="163"/>
      <c r="I22" s="163"/>
      <c r="J22" s="155"/>
      <c r="K22" s="314"/>
      <c r="L22" s="314"/>
      <c r="M22" s="314"/>
      <c r="N22" s="314"/>
      <c r="O22" s="314"/>
      <c r="P22" s="314"/>
      <c r="Q22" s="142"/>
      <c r="Y22" s="171"/>
    </row>
    <row r="23" spans="2:25">
      <c r="B23" s="158">
        <f t="shared" si="7"/>
        <v>0</v>
      </c>
      <c r="C23" s="164"/>
      <c r="D23" s="163"/>
      <c r="E23" s="163"/>
      <c r="F23" s="163"/>
      <c r="G23" s="163"/>
      <c r="H23" s="163"/>
      <c r="I23" s="163"/>
      <c r="J23" s="155"/>
      <c r="K23" s="315"/>
      <c r="L23" s="315"/>
      <c r="M23" s="315"/>
      <c r="N23" s="315"/>
      <c r="O23" s="315"/>
      <c r="P23" s="315" t="s">
        <v>86</v>
      </c>
      <c r="Q23" s="142"/>
      <c r="Y23" s="171"/>
    </row>
    <row r="24" spans="2:25">
      <c r="B24" s="150">
        <f>SUM(B18:B23)</f>
        <v>1</v>
      </c>
      <c r="C24" s="165" t="s">
        <v>198</v>
      </c>
      <c r="D24" s="146">
        <f>SUM(D18:D23)</f>
        <v>33723.296999999999</v>
      </c>
      <c r="E24" s="146">
        <f t="shared" ref="E24:I24" si="9">SUM(E18:E23)</f>
        <v>31614.55</v>
      </c>
      <c r="F24" s="146">
        <f t="shared" si="9"/>
        <v>29697.844000000001</v>
      </c>
      <c r="G24" s="146">
        <f t="shared" si="9"/>
        <v>24996.056</v>
      </c>
      <c r="H24" s="146">
        <f t="shared" si="9"/>
        <v>20156.447</v>
      </c>
      <c r="I24" s="146">
        <f t="shared" si="9"/>
        <v>15794.341</v>
      </c>
      <c r="J24" s="156"/>
      <c r="K24" s="753">
        <f>(D24-E24)/E24</f>
        <v>6.6701787626266995E-2</v>
      </c>
      <c r="L24" s="312">
        <f t="shared" si="8"/>
        <v>6.4540240698954379E-2</v>
      </c>
      <c r="M24" s="752">
        <f t="shared" ref="M24" si="10">(F24-G24)/G24</f>
        <v>0.18810119484449869</v>
      </c>
      <c r="N24" s="312">
        <f t="shared" ref="N24" si="11">(G24-H24)/H24</f>
        <v>0.24010228588401519</v>
      </c>
      <c r="O24" s="312">
        <f t="shared" ref="O24" si="12">(H24-I24)/I24</f>
        <v>0.27618157667990073</v>
      </c>
      <c r="P24" s="312" t="s">
        <v>86</v>
      </c>
      <c r="Q24" s="142"/>
      <c r="Y24" s="171"/>
    </row>
    <row r="25" spans="2:25" ht="13.5" thickBot="1">
      <c r="C25" s="14"/>
      <c r="D25" s="15"/>
      <c r="E25" s="16"/>
      <c r="F25" s="15"/>
      <c r="G25" s="16"/>
      <c r="H25" s="15"/>
      <c r="I25" s="16"/>
      <c r="J25" s="44"/>
      <c r="Q25" s="142"/>
      <c r="Y25" s="171"/>
    </row>
    <row r="26" spans="2:25" ht="21" thickBot="1">
      <c r="B26" s="1010" t="s">
        <v>88</v>
      </c>
      <c r="C26" s="1012"/>
      <c r="D26" s="1010" t="s">
        <v>202</v>
      </c>
      <c r="E26" s="1011"/>
      <c r="F26" s="1011"/>
      <c r="G26" s="1011"/>
      <c r="H26" s="1011"/>
      <c r="I26" s="1043" t="s">
        <v>203</v>
      </c>
      <c r="J26" s="1044"/>
      <c r="K26" s="1044"/>
      <c r="L26" s="1044"/>
      <c r="M26" s="1044"/>
      <c r="N26" s="1044"/>
      <c r="O26" s="1044"/>
      <c r="P26" s="1044"/>
      <c r="Q26" s="142"/>
      <c r="Y26" s="171"/>
    </row>
    <row r="27" spans="2:25" ht="30.6" customHeight="1" thickBot="1">
      <c r="B27" s="1021" t="s">
        <v>204</v>
      </c>
      <c r="C27" s="1022"/>
      <c r="D27" s="1038" t="s">
        <v>205</v>
      </c>
      <c r="E27" s="1039"/>
      <c r="F27" s="1039"/>
      <c r="G27" s="1039"/>
      <c r="H27" s="1039"/>
      <c r="I27" s="142"/>
      <c r="Q27" s="142"/>
      <c r="Y27" s="171"/>
    </row>
    <row r="28" spans="2:25" ht="41.25" customHeight="1" thickBot="1">
      <c r="B28" s="1021" t="s">
        <v>201</v>
      </c>
      <c r="C28" s="1022"/>
      <c r="D28" s="1038" t="s">
        <v>206</v>
      </c>
      <c r="E28" s="1039"/>
      <c r="F28" s="1039"/>
      <c r="G28" s="1039"/>
      <c r="H28" s="1039"/>
      <c r="I28" s="142"/>
      <c r="O28" s="11"/>
      <c r="Q28" s="142"/>
      <c r="Y28" s="171"/>
    </row>
    <row r="29" spans="2:25" ht="28.35" customHeight="1" thickBot="1">
      <c r="B29" s="1021"/>
      <c r="C29" s="1022"/>
      <c r="D29" s="1040"/>
      <c r="E29" s="1039"/>
      <c r="F29" s="1039"/>
      <c r="G29" s="1039"/>
      <c r="H29" s="1039"/>
      <c r="I29" s="142"/>
      <c r="Q29" s="142"/>
      <c r="Y29" s="171"/>
    </row>
    <row r="30" spans="2:25" ht="30.6" customHeight="1" thickBot="1">
      <c r="B30" s="1021"/>
      <c r="C30" s="1022"/>
      <c r="D30" s="1040"/>
      <c r="E30" s="1039"/>
      <c r="F30" s="1039"/>
      <c r="G30" s="1039"/>
      <c r="H30" s="1039"/>
      <c r="I30" s="142"/>
      <c r="Q30" s="142"/>
      <c r="Y30" s="171"/>
    </row>
    <row r="31" spans="2:25" ht="41.25" customHeight="1" thickBot="1">
      <c r="B31" s="1021"/>
      <c r="C31" s="1022"/>
      <c r="D31" s="1040"/>
      <c r="E31" s="1039"/>
      <c r="F31" s="1039"/>
      <c r="G31" s="1039"/>
      <c r="H31" s="1039"/>
      <c r="I31" s="142"/>
      <c r="Q31" s="142"/>
      <c r="Y31" s="171"/>
    </row>
    <row r="32" spans="2:25" ht="28.35" hidden="1" customHeight="1">
      <c r="B32" s="1021"/>
      <c r="C32" s="1022"/>
      <c r="D32" s="1041"/>
      <c r="E32" s="1042"/>
      <c r="F32" s="1042"/>
      <c r="G32" s="1042"/>
      <c r="H32" s="1042"/>
      <c r="I32" s="142"/>
      <c r="M32" s="172"/>
      <c r="N32" s="172"/>
      <c r="O32" s="172"/>
      <c r="P32" s="172"/>
      <c r="Q32" s="142"/>
      <c r="Y32" s="171"/>
    </row>
    <row r="33" spans="2:25" ht="56.25" customHeight="1" thickBot="1">
      <c r="I33" s="143"/>
      <c r="J33" s="172"/>
      <c r="K33" s="172"/>
      <c r="L33" s="172"/>
      <c r="Q33" s="143"/>
      <c r="R33" s="172"/>
      <c r="S33" s="172"/>
      <c r="T33" s="172"/>
      <c r="U33" s="172"/>
      <c r="V33" s="172"/>
      <c r="W33" s="172"/>
      <c r="X33" s="172"/>
      <c r="Y33" s="174"/>
    </row>
    <row r="34" spans="2:25" ht="21" thickBot="1">
      <c r="B34" s="1010" t="s">
        <v>207</v>
      </c>
      <c r="C34" s="1011"/>
      <c r="D34" s="1011"/>
      <c r="E34" s="1011"/>
      <c r="F34" s="1011"/>
      <c r="G34" s="1011"/>
      <c r="H34" s="1011"/>
      <c r="I34" s="1012"/>
      <c r="J34" s="994" t="s">
        <v>208</v>
      </c>
      <c r="K34" s="995"/>
      <c r="L34" s="995"/>
      <c r="M34" s="995"/>
      <c r="N34" s="995"/>
      <c r="O34" s="995"/>
      <c r="P34" s="995"/>
      <c r="Q34" s="996"/>
    </row>
    <row r="35" spans="2:25">
      <c r="B35" s="1003" t="s">
        <v>209</v>
      </c>
      <c r="C35" s="1005"/>
      <c r="D35" s="1003" t="s">
        <v>202</v>
      </c>
      <c r="E35" s="1004"/>
      <c r="F35" s="1004"/>
      <c r="G35" s="1004"/>
      <c r="H35" s="1004"/>
      <c r="I35" s="1005"/>
      <c r="J35" s="166"/>
      <c r="K35" s="169"/>
      <c r="L35" s="169"/>
      <c r="M35" s="169"/>
      <c r="N35" s="169"/>
      <c r="O35" s="169"/>
      <c r="P35" s="169"/>
      <c r="Q35" s="170"/>
    </row>
    <row r="36" spans="2:25" ht="23.25" customHeight="1">
      <c r="B36" s="1013" t="s">
        <v>210</v>
      </c>
      <c r="C36" s="1014"/>
      <c r="D36" s="1027" t="s">
        <v>211</v>
      </c>
      <c r="E36" s="1028"/>
      <c r="F36" s="1028"/>
      <c r="G36" s="1028"/>
      <c r="H36" s="1028"/>
      <c r="I36" s="1029"/>
      <c r="J36" s="142"/>
      <c r="Q36" s="171"/>
    </row>
    <row r="37" spans="2:25" ht="39" customHeight="1">
      <c r="B37" s="1023" t="s">
        <v>212</v>
      </c>
      <c r="C37" s="1024"/>
      <c r="D37" s="1027" t="s">
        <v>213</v>
      </c>
      <c r="E37" s="1028"/>
      <c r="F37" s="1028"/>
      <c r="G37" s="1028"/>
      <c r="H37" s="1028"/>
      <c r="I37" s="1029"/>
      <c r="J37" s="142"/>
      <c r="Q37" s="171"/>
    </row>
    <row r="38" spans="2:25">
      <c r="B38" s="1003" t="s">
        <v>214</v>
      </c>
      <c r="C38" s="1004"/>
      <c r="D38" s="1004"/>
      <c r="E38" s="1004"/>
      <c r="F38" s="1004"/>
      <c r="G38" s="1004"/>
      <c r="H38" s="1004"/>
      <c r="I38" s="1005"/>
      <c r="J38" s="142"/>
      <c r="Q38" s="171"/>
    </row>
    <row r="39" spans="2:25" ht="13.5" customHeight="1">
      <c r="B39" s="1006" t="s">
        <v>215</v>
      </c>
      <c r="C39" s="1007"/>
      <c r="D39" s="1015" t="s">
        <v>216</v>
      </c>
      <c r="E39" s="1016"/>
      <c r="F39" s="1017"/>
      <c r="G39" s="1015" t="s">
        <v>217</v>
      </c>
      <c r="H39" s="1016"/>
      <c r="I39" s="1017"/>
      <c r="J39" s="142"/>
      <c r="Q39" s="171"/>
      <c r="T39" s="11"/>
      <c r="U39" s="11"/>
    </row>
    <row r="40" spans="2:25">
      <c r="B40" s="1008" t="s">
        <v>218</v>
      </c>
      <c r="C40" s="1009"/>
      <c r="D40" s="1000">
        <v>9.8900000000000002E-2</v>
      </c>
      <c r="E40" s="1001"/>
      <c r="F40" s="1002"/>
      <c r="G40" s="997" t="s">
        <v>219</v>
      </c>
      <c r="H40" s="998"/>
      <c r="I40" s="999"/>
      <c r="J40" s="142"/>
      <c r="Q40" s="171"/>
      <c r="T40" s="11"/>
      <c r="U40" s="11"/>
    </row>
    <row r="41" spans="2:25">
      <c r="B41" s="1008" t="s">
        <v>220</v>
      </c>
      <c r="C41" s="1009"/>
      <c r="D41" s="1000">
        <v>0.215</v>
      </c>
      <c r="E41" s="1001"/>
      <c r="F41" s="1002"/>
      <c r="G41" s="997" t="s">
        <v>221</v>
      </c>
      <c r="H41" s="998"/>
      <c r="I41" s="999"/>
      <c r="J41" s="142"/>
      <c r="Q41" s="171"/>
      <c r="T41" s="11"/>
      <c r="U41" s="11"/>
    </row>
    <row r="42" spans="2:25">
      <c r="B42" s="1025"/>
      <c r="C42" s="1026"/>
      <c r="D42" s="1000"/>
      <c r="E42" s="1001"/>
      <c r="F42" s="1002"/>
      <c r="G42" s="997"/>
      <c r="H42" s="998"/>
      <c r="I42" s="999"/>
      <c r="J42" s="142"/>
      <c r="Q42" s="171"/>
      <c r="T42" s="11"/>
      <c r="U42" s="11"/>
    </row>
    <row r="43" spans="2:25">
      <c r="B43" s="1025"/>
      <c r="C43" s="1026"/>
      <c r="D43" s="1018"/>
      <c r="E43" s="1019"/>
      <c r="F43" s="1020"/>
      <c r="G43" s="991"/>
      <c r="H43" s="992"/>
      <c r="I43" s="993"/>
      <c r="J43" s="142"/>
      <c r="Q43" s="171"/>
      <c r="T43" s="11"/>
      <c r="U43" s="11"/>
    </row>
    <row r="44" spans="2:25" ht="20.25">
      <c r="B44" s="1010" t="s">
        <v>222</v>
      </c>
      <c r="C44" s="1011"/>
      <c r="D44" s="1011"/>
      <c r="E44" s="1011"/>
      <c r="F44" s="1011"/>
      <c r="G44" s="1011"/>
      <c r="H44" s="1011"/>
      <c r="I44" s="1012"/>
      <c r="J44" s="142"/>
      <c r="Q44" s="171"/>
      <c r="T44" s="11"/>
      <c r="U44" s="11"/>
    </row>
    <row r="45" spans="2:25">
      <c r="B45" s="317"/>
      <c r="C45" s="167"/>
      <c r="D45" s="168"/>
      <c r="E45" s="169"/>
      <c r="F45" s="169"/>
      <c r="G45" s="169"/>
      <c r="H45" s="169"/>
      <c r="I45" s="170"/>
      <c r="J45" s="142"/>
      <c r="Q45" s="171"/>
      <c r="T45" s="11"/>
      <c r="U45" s="11"/>
    </row>
    <row r="46" spans="2:25">
      <c r="B46" s="142"/>
      <c r="I46" s="171"/>
      <c r="J46" s="142"/>
      <c r="Q46" s="171"/>
      <c r="T46" s="11"/>
      <c r="U46" s="11"/>
    </row>
    <row r="47" spans="2:25" ht="12.75" customHeight="1">
      <c r="B47" s="987" t="s">
        <v>223</v>
      </c>
      <c r="C47" s="988"/>
      <c r="D47" s="988"/>
      <c r="E47" s="988"/>
      <c r="F47" s="988"/>
      <c r="G47" s="988"/>
      <c r="H47" s="988"/>
      <c r="I47" s="989"/>
      <c r="J47" s="142"/>
      <c r="Q47" s="171"/>
      <c r="T47" s="11"/>
      <c r="U47" s="11"/>
    </row>
    <row r="48" spans="2:25">
      <c r="B48" s="990"/>
      <c r="C48" s="988"/>
      <c r="D48" s="988"/>
      <c r="E48" s="988"/>
      <c r="F48" s="988"/>
      <c r="G48" s="988"/>
      <c r="H48" s="988"/>
      <c r="I48" s="989"/>
      <c r="J48" s="142"/>
      <c r="Q48" s="171"/>
      <c r="T48" s="11"/>
      <c r="U48" s="11"/>
    </row>
    <row r="49" spans="2:21">
      <c r="B49" s="990"/>
      <c r="C49" s="988"/>
      <c r="D49" s="988"/>
      <c r="E49" s="988"/>
      <c r="F49" s="988"/>
      <c r="G49" s="988"/>
      <c r="H49" s="988"/>
      <c r="I49" s="989"/>
      <c r="J49" s="142"/>
      <c r="Q49" s="171"/>
      <c r="T49" s="11"/>
      <c r="U49" s="11"/>
    </row>
    <row r="50" spans="2:21">
      <c r="B50" s="990"/>
      <c r="C50" s="988"/>
      <c r="D50" s="988"/>
      <c r="E50" s="988"/>
      <c r="F50" s="988"/>
      <c r="G50" s="988"/>
      <c r="H50" s="988"/>
      <c r="I50" s="989"/>
      <c r="J50" s="142"/>
      <c r="Q50" s="171"/>
      <c r="T50" s="11"/>
      <c r="U50" s="11"/>
    </row>
    <row r="51" spans="2:21">
      <c r="B51" s="990"/>
      <c r="C51" s="988"/>
      <c r="D51" s="988"/>
      <c r="E51" s="988"/>
      <c r="F51" s="988"/>
      <c r="G51" s="988"/>
      <c r="H51" s="988"/>
      <c r="I51" s="989"/>
      <c r="J51" s="142"/>
      <c r="Q51" s="171"/>
      <c r="T51" s="11"/>
      <c r="U51" s="11"/>
    </row>
    <row r="52" spans="2:21">
      <c r="B52" s="990"/>
      <c r="C52" s="988"/>
      <c r="D52" s="988"/>
      <c r="E52" s="988"/>
      <c r="F52" s="988"/>
      <c r="G52" s="988"/>
      <c r="H52" s="988"/>
      <c r="I52" s="989"/>
      <c r="J52" s="142"/>
      <c r="Q52" s="171"/>
      <c r="T52" s="11"/>
      <c r="U52" s="11"/>
    </row>
    <row r="53" spans="2:21">
      <c r="B53" s="990"/>
      <c r="C53" s="988"/>
      <c r="D53" s="988"/>
      <c r="E53" s="988"/>
      <c r="F53" s="988"/>
      <c r="G53" s="988"/>
      <c r="H53" s="988"/>
      <c r="I53" s="989"/>
      <c r="J53" s="142"/>
      <c r="Q53" s="171"/>
      <c r="T53" s="11"/>
      <c r="U53" s="11"/>
    </row>
    <row r="54" spans="2:21">
      <c r="B54" s="990"/>
      <c r="C54" s="988"/>
      <c r="D54" s="988"/>
      <c r="E54" s="988"/>
      <c r="F54" s="988"/>
      <c r="G54" s="988"/>
      <c r="H54" s="988"/>
      <c r="I54" s="989"/>
      <c r="J54" s="142"/>
      <c r="Q54" s="171"/>
      <c r="T54" s="11"/>
      <c r="U54" s="11"/>
    </row>
    <row r="55" spans="2:21">
      <c r="B55" s="990"/>
      <c r="C55" s="988"/>
      <c r="D55" s="988"/>
      <c r="E55" s="988"/>
      <c r="F55" s="988"/>
      <c r="G55" s="988"/>
      <c r="H55" s="988"/>
      <c r="I55" s="989"/>
      <c r="J55" s="142"/>
      <c r="Q55" s="171"/>
      <c r="T55" s="11"/>
      <c r="U55" s="11"/>
    </row>
    <row r="56" spans="2:21">
      <c r="B56" s="142"/>
      <c r="I56" s="171"/>
      <c r="J56" s="142"/>
      <c r="Q56" s="171"/>
      <c r="T56" s="11"/>
      <c r="U56" s="11"/>
    </row>
    <row r="57" spans="2:21">
      <c r="B57" s="142"/>
      <c r="I57" s="171"/>
      <c r="J57" s="142"/>
      <c r="Q57" s="171"/>
      <c r="T57" s="11"/>
      <c r="U57" s="11"/>
    </row>
    <row r="58" spans="2:21">
      <c r="B58" s="142"/>
      <c r="I58" s="171"/>
      <c r="J58" s="142"/>
      <c r="Q58" s="171"/>
      <c r="T58" s="11"/>
      <c r="U58" s="11"/>
    </row>
    <row r="59" spans="2:21">
      <c r="B59" s="142"/>
      <c r="I59" s="171"/>
      <c r="J59" s="142"/>
      <c r="Q59" s="171"/>
      <c r="T59" s="11"/>
      <c r="U59" s="11"/>
    </row>
    <row r="60" spans="2:21">
      <c r="B60" s="142"/>
      <c r="I60" s="171"/>
      <c r="J60" s="142"/>
      <c r="Q60" s="171"/>
      <c r="T60" s="11"/>
      <c r="U60" s="11"/>
    </row>
    <row r="61" spans="2:21" ht="13.5" thickBot="1">
      <c r="B61" s="143"/>
      <c r="C61" s="172"/>
      <c r="D61" s="173"/>
      <c r="E61" s="172"/>
      <c r="F61" s="172"/>
      <c r="G61" s="172"/>
      <c r="H61" s="172"/>
      <c r="I61" s="174"/>
      <c r="J61" s="143"/>
      <c r="K61" s="172"/>
      <c r="L61" s="172"/>
      <c r="M61" s="172"/>
      <c r="N61" s="172"/>
      <c r="O61" s="172"/>
      <c r="P61" s="172"/>
      <c r="Q61" s="174"/>
      <c r="T61" s="11"/>
      <c r="U61" s="11"/>
    </row>
    <row r="62" spans="2:21">
      <c r="T62" s="11"/>
      <c r="U62" s="11"/>
    </row>
    <row r="63" spans="2:21">
      <c r="T63" s="11"/>
      <c r="U63" s="11"/>
    </row>
    <row r="64" spans="2:21">
      <c r="T64" s="11"/>
      <c r="U64" s="11"/>
    </row>
    <row r="65" spans="15:21">
      <c r="T65" s="11"/>
      <c r="U65" s="11"/>
    </row>
    <row r="66" spans="15:21">
      <c r="O66" s="318"/>
      <c r="T66" s="11"/>
      <c r="U66" s="11"/>
    </row>
    <row r="67" spans="15:21">
      <c r="O67" s="318"/>
      <c r="T67" s="11"/>
      <c r="U67" s="11"/>
    </row>
    <row r="68" spans="15:21">
      <c r="O68" s="318"/>
      <c r="T68" s="11"/>
      <c r="U68" s="11"/>
    </row>
    <row r="69" spans="15:21">
      <c r="T69" s="11"/>
      <c r="U69" s="11"/>
    </row>
    <row r="70" spans="15:21">
      <c r="T70" s="11"/>
      <c r="U70" s="11"/>
    </row>
    <row r="71" spans="15:21">
      <c r="T71" s="11"/>
      <c r="U71" s="11"/>
    </row>
    <row r="72" spans="15:21">
      <c r="T72" s="11"/>
      <c r="U72" s="11"/>
    </row>
    <row r="73" spans="15:21">
      <c r="T73" s="11"/>
      <c r="U73" s="11"/>
    </row>
    <row r="74" spans="15:21">
      <c r="T74" s="11"/>
      <c r="U74" s="11"/>
    </row>
    <row r="75" spans="15:21">
      <c r="T75" s="11"/>
      <c r="U75" s="11"/>
    </row>
  </sheetData>
  <mergeCells count="48">
    <mergeCell ref="Q2:Y2"/>
    <mergeCell ref="K3:P3"/>
    <mergeCell ref="B2:P2"/>
    <mergeCell ref="K16:P16"/>
    <mergeCell ref="B32:C32"/>
    <mergeCell ref="B15:P15"/>
    <mergeCell ref="D16:I16"/>
    <mergeCell ref="D26:H26"/>
    <mergeCell ref="D27:H27"/>
    <mergeCell ref="D28:H28"/>
    <mergeCell ref="D29:H29"/>
    <mergeCell ref="D30:H30"/>
    <mergeCell ref="D31:H31"/>
    <mergeCell ref="D32:H32"/>
    <mergeCell ref="I26:P26"/>
    <mergeCell ref="D3:I3"/>
    <mergeCell ref="B27:C27"/>
    <mergeCell ref="B30:C30"/>
    <mergeCell ref="B31:C31"/>
    <mergeCell ref="B26:C26"/>
    <mergeCell ref="B29:C29"/>
    <mergeCell ref="D35:I35"/>
    <mergeCell ref="D39:F39"/>
    <mergeCell ref="G39:I39"/>
    <mergeCell ref="D43:F43"/>
    <mergeCell ref="B28:C28"/>
    <mergeCell ref="B37:C37"/>
    <mergeCell ref="B41:C41"/>
    <mergeCell ref="B42:C42"/>
    <mergeCell ref="B43:C43"/>
    <mergeCell ref="D36:I36"/>
    <mergeCell ref="D37:I37"/>
    <mergeCell ref="B47:I55"/>
    <mergeCell ref="G43:I43"/>
    <mergeCell ref="J34:Q34"/>
    <mergeCell ref="G41:I41"/>
    <mergeCell ref="G42:I42"/>
    <mergeCell ref="D40:F40"/>
    <mergeCell ref="D41:F41"/>
    <mergeCell ref="D42:F42"/>
    <mergeCell ref="B38:I38"/>
    <mergeCell ref="B39:C39"/>
    <mergeCell ref="B40:C40"/>
    <mergeCell ref="G40:I40"/>
    <mergeCell ref="B34:I34"/>
    <mergeCell ref="B44:I44"/>
    <mergeCell ref="B35:C35"/>
    <mergeCell ref="B36:C36"/>
  </mergeCells>
  <phoneticPr fontId="0" type="noConversion"/>
  <conditionalFormatting sqref="B5:B12">
    <cfRule type="dataBar" priority="69">
      <dataBar>
        <cfvo type="min"/>
        <cfvo type="max"/>
        <color rgb="FF638EC6"/>
      </dataBar>
      <extLst>
        <ext xmlns:x14="http://schemas.microsoft.com/office/spreadsheetml/2009/9/main" uri="{B025F937-C7B1-47D3-B67F-A62EFF666E3E}">
          <x14:id>{6E381EE6-DF6C-4880-BDC6-793A4FBC9886}</x14:id>
        </ext>
      </extLst>
    </cfRule>
  </conditionalFormatting>
  <conditionalFormatting sqref="B18:B23">
    <cfRule type="dataBar" priority="40">
      <dataBar>
        <cfvo type="min"/>
        <cfvo type="max"/>
        <color rgb="FF638EC6"/>
      </dataBar>
      <extLst>
        <ext xmlns:x14="http://schemas.microsoft.com/office/spreadsheetml/2009/9/main" uri="{B025F937-C7B1-47D3-B67F-A62EFF666E3E}">
          <x14:id>{070902CC-8EB6-43DB-B9AD-5811F17D394B}</x14:id>
        </ext>
      </extLst>
    </cfRule>
  </conditionalFormatting>
  <conditionalFormatting sqref="D5:D12">
    <cfRule type="dataBar" priority="52">
      <dataBar>
        <cfvo type="min"/>
        <cfvo type="max"/>
        <color rgb="FF63C384"/>
      </dataBar>
      <extLst>
        <ext xmlns:x14="http://schemas.microsoft.com/office/spreadsheetml/2009/9/main" uri="{B025F937-C7B1-47D3-B67F-A62EFF666E3E}">
          <x14:id>{767D33FE-8570-4B26-81B7-5505E2A08A62}</x14:id>
        </ext>
      </extLst>
    </cfRule>
  </conditionalFormatting>
  <conditionalFormatting sqref="D18:D23">
    <cfRule type="dataBar" priority="10">
      <dataBar>
        <cfvo type="min"/>
        <cfvo type="max"/>
        <color rgb="FF63C384"/>
      </dataBar>
      <extLst>
        <ext xmlns:x14="http://schemas.microsoft.com/office/spreadsheetml/2009/9/main" uri="{B025F937-C7B1-47D3-B67F-A62EFF666E3E}">
          <x14:id>{3F107DCC-63A1-497B-B919-528218A545C1}</x14:id>
        </ext>
      </extLst>
    </cfRule>
  </conditionalFormatting>
  <conditionalFormatting sqref="D5:I10">
    <cfRule type="dataBar" priority="26">
      <dataBar>
        <cfvo type="min"/>
        <cfvo type="max"/>
        <color rgb="FF63C384"/>
      </dataBar>
      <extLst>
        <ext xmlns:x14="http://schemas.microsoft.com/office/spreadsheetml/2009/9/main" uri="{B025F937-C7B1-47D3-B67F-A62EFF666E3E}">
          <x14:id>{83BDDF4E-0A7D-4B3E-A60B-AD52AC0FFA68}</x14:id>
        </ext>
      </extLst>
    </cfRule>
  </conditionalFormatting>
  <conditionalFormatting sqref="D18:I23">
    <cfRule type="dataBar" priority="4">
      <dataBar>
        <cfvo type="min"/>
        <cfvo type="max"/>
        <color rgb="FF63C384"/>
      </dataBar>
      <extLst>
        <ext xmlns:x14="http://schemas.microsoft.com/office/spreadsheetml/2009/9/main" uri="{B025F937-C7B1-47D3-B67F-A62EFF666E3E}">
          <x14:id>{5BBC426E-7FA9-4F5C-AC78-B3996BA8F931}</x14:id>
        </ext>
      </extLst>
    </cfRule>
  </conditionalFormatting>
  <conditionalFormatting sqref="E5:E8">
    <cfRule type="dataBar" priority="3">
      <dataBar>
        <cfvo type="min"/>
        <cfvo type="max"/>
        <color rgb="FF63C384"/>
      </dataBar>
      <extLst>
        <ext xmlns:x14="http://schemas.microsoft.com/office/spreadsheetml/2009/9/main" uri="{B025F937-C7B1-47D3-B67F-A62EFF666E3E}">
          <x14:id>{ADC36E97-2294-4BDE-ABCF-9A1F4C0673D1}</x14:id>
        </ext>
      </extLst>
    </cfRule>
  </conditionalFormatting>
  <conditionalFormatting sqref="E5:E12">
    <cfRule type="dataBar" priority="51">
      <dataBar>
        <cfvo type="min"/>
        <cfvo type="max"/>
        <color rgb="FF63C384"/>
      </dataBar>
      <extLst>
        <ext xmlns:x14="http://schemas.microsoft.com/office/spreadsheetml/2009/9/main" uri="{B025F937-C7B1-47D3-B67F-A62EFF666E3E}">
          <x14:id>{740A2B96-C6E5-4177-AC04-9573B81E30EC}</x14:id>
        </ext>
      </extLst>
    </cfRule>
  </conditionalFormatting>
  <conditionalFormatting sqref="E18:E23">
    <cfRule type="dataBar" priority="9">
      <dataBar>
        <cfvo type="min"/>
        <cfvo type="max"/>
        <color rgb="FF63C384"/>
      </dataBar>
      <extLst>
        <ext xmlns:x14="http://schemas.microsoft.com/office/spreadsheetml/2009/9/main" uri="{B025F937-C7B1-47D3-B67F-A62EFF666E3E}">
          <x14:id>{5AA7A103-2149-42E1-9BBB-48A01258D43D}</x14:id>
        </ext>
      </extLst>
    </cfRule>
  </conditionalFormatting>
  <conditionalFormatting sqref="F5:F8">
    <cfRule type="dataBar" priority="2">
      <dataBar>
        <cfvo type="min"/>
        <cfvo type="max"/>
        <color rgb="FF63C384"/>
      </dataBar>
      <extLst>
        <ext xmlns:x14="http://schemas.microsoft.com/office/spreadsheetml/2009/9/main" uri="{B025F937-C7B1-47D3-B67F-A62EFF666E3E}">
          <x14:id>{F5AB6133-6678-4BEA-8B2C-5EBC2C5A8D4D}</x14:id>
        </ext>
      </extLst>
    </cfRule>
  </conditionalFormatting>
  <conditionalFormatting sqref="F5:F12">
    <cfRule type="dataBar" priority="50">
      <dataBar>
        <cfvo type="min"/>
        <cfvo type="max"/>
        <color rgb="FF63C384"/>
      </dataBar>
      <extLst>
        <ext xmlns:x14="http://schemas.microsoft.com/office/spreadsheetml/2009/9/main" uri="{B025F937-C7B1-47D3-B67F-A62EFF666E3E}">
          <x14:id>{5EFE30C4-0901-404E-9108-731E3BE4821E}</x14:id>
        </ext>
      </extLst>
    </cfRule>
  </conditionalFormatting>
  <conditionalFormatting sqref="F18:F23">
    <cfRule type="dataBar" priority="8">
      <dataBar>
        <cfvo type="min"/>
        <cfvo type="max"/>
        <color rgb="FF63C384"/>
      </dataBar>
      <extLst>
        <ext xmlns:x14="http://schemas.microsoft.com/office/spreadsheetml/2009/9/main" uri="{B025F937-C7B1-47D3-B67F-A62EFF666E3E}">
          <x14:id>{5EE1521A-2483-44CA-9CCA-E5FC63E6246F}</x14:id>
        </ext>
      </extLst>
    </cfRule>
  </conditionalFormatting>
  <conditionalFormatting sqref="G5:G8">
    <cfRule type="dataBar" priority="1">
      <dataBar>
        <cfvo type="min"/>
        <cfvo type="max"/>
        <color rgb="FF63C384"/>
      </dataBar>
      <extLst>
        <ext xmlns:x14="http://schemas.microsoft.com/office/spreadsheetml/2009/9/main" uri="{B025F937-C7B1-47D3-B67F-A62EFF666E3E}">
          <x14:id>{DC2F024C-78EB-4B83-BBDB-FC89D0CCC1C9}</x14:id>
        </ext>
      </extLst>
    </cfRule>
  </conditionalFormatting>
  <conditionalFormatting sqref="G5:G12">
    <cfRule type="dataBar" priority="49">
      <dataBar>
        <cfvo type="min"/>
        <cfvo type="max"/>
        <color rgb="FF63C384"/>
      </dataBar>
      <extLst>
        <ext xmlns:x14="http://schemas.microsoft.com/office/spreadsheetml/2009/9/main" uri="{B025F937-C7B1-47D3-B67F-A62EFF666E3E}">
          <x14:id>{A1F44ECC-EF2B-4606-87E9-B7F443AC18BF}</x14:id>
        </ext>
      </extLst>
    </cfRule>
  </conditionalFormatting>
  <conditionalFormatting sqref="G18:G23">
    <cfRule type="dataBar" priority="7">
      <dataBar>
        <cfvo type="min"/>
        <cfvo type="max"/>
        <color rgb="FF63C384"/>
      </dataBar>
      <extLst>
        <ext xmlns:x14="http://schemas.microsoft.com/office/spreadsheetml/2009/9/main" uri="{B025F937-C7B1-47D3-B67F-A62EFF666E3E}">
          <x14:id>{00DC50B7-1706-4DFB-A90F-9F95CB19CA6D}</x14:id>
        </ext>
      </extLst>
    </cfRule>
  </conditionalFormatting>
  <conditionalFormatting sqref="H5:H12">
    <cfRule type="dataBar" priority="48">
      <dataBar>
        <cfvo type="min"/>
        <cfvo type="max"/>
        <color rgb="FF63C384"/>
      </dataBar>
      <extLst>
        <ext xmlns:x14="http://schemas.microsoft.com/office/spreadsheetml/2009/9/main" uri="{B025F937-C7B1-47D3-B67F-A62EFF666E3E}">
          <x14:id>{4320827E-AAAF-46DA-9F47-1F13F9C2B2E6}</x14:id>
        </ext>
      </extLst>
    </cfRule>
  </conditionalFormatting>
  <conditionalFormatting sqref="H18:H23">
    <cfRule type="dataBar" priority="6">
      <dataBar>
        <cfvo type="min"/>
        <cfvo type="max"/>
        <color rgb="FF63C384"/>
      </dataBar>
      <extLst>
        <ext xmlns:x14="http://schemas.microsoft.com/office/spreadsheetml/2009/9/main" uri="{B025F937-C7B1-47D3-B67F-A62EFF666E3E}">
          <x14:id>{EED505F4-1AE5-4E85-A25F-1DAC1EADC97D}</x14:id>
        </ext>
      </extLst>
    </cfRule>
  </conditionalFormatting>
  <conditionalFormatting sqref="I5:I12">
    <cfRule type="dataBar" priority="47">
      <dataBar>
        <cfvo type="min"/>
        <cfvo type="max"/>
        <color rgb="FF63C384"/>
      </dataBar>
      <extLst>
        <ext xmlns:x14="http://schemas.microsoft.com/office/spreadsheetml/2009/9/main" uri="{B025F937-C7B1-47D3-B67F-A62EFF666E3E}">
          <x14:id>{5091493A-8CC0-4646-874A-93DEE51CD4AB}</x14:id>
        </ext>
      </extLst>
    </cfRule>
  </conditionalFormatting>
  <conditionalFormatting sqref="I18:I23">
    <cfRule type="dataBar" priority="5">
      <dataBar>
        <cfvo type="min"/>
        <cfvo type="max"/>
        <color rgb="FF63C384"/>
      </dataBar>
      <extLst>
        <ext xmlns:x14="http://schemas.microsoft.com/office/spreadsheetml/2009/9/main" uri="{B025F937-C7B1-47D3-B67F-A62EFF666E3E}">
          <x14:id>{A192D211-7CF8-4DE2-A7D7-7E84CEAE76AC}</x14:id>
        </ext>
      </extLst>
    </cfRule>
  </conditionalFormatting>
  <conditionalFormatting sqref="K5:K12">
    <cfRule type="dataBar" priority="59">
      <dataBar>
        <cfvo type="min"/>
        <cfvo type="max"/>
        <color rgb="FF63C384"/>
      </dataBar>
      <extLst>
        <ext xmlns:x14="http://schemas.microsoft.com/office/spreadsheetml/2009/9/main" uri="{B025F937-C7B1-47D3-B67F-A62EFF666E3E}">
          <x14:id>{5A27FB5F-AC6D-40FD-B152-7630C251B9C8}</x14:id>
        </ext>
      </extLst>
    </cfRule>
  </conditionalFormatting>
  <conditionalFormatting sqref="K18:K22">
    <cfRule type="dataBar" priority="17">
      <dataBar>
        <cfvo type="min"/>
        <cfvo type="max"/>
        <color rgb="FF63C384"/>
      </dataBar>
      <extLst>
        <ext xmlns:x14="http://schemas.microsoft.com/office/spreadsheetml/2009/9/main" uri="{B025F937-C7B1-47D3-B67F-A62EFF666E3E}">
          <x14:id>{60785AC6-7D44-400D-A2D8-9BBBDC5C548B}</x14:id>
        </ext>
      </extLst>
    </cfRule>
  </conditionalFormatting>
  <conditionalFormatting sqref="K18:O22">
    <cfRule type="dataBar" priority="37">
      <dataBar>
        <cfvo type="min"/>
        <cfvo type="max"/>
        <color rgb="FF63C384"/>
      </dataBar>
      <extLst>
        <ext xmlns:x14="http://schemas.microsoft.com/office/spreadsheetml/2009/9/main" uri="{B025F937-C7B1-47D3-B67F-A62EFF666E3E}">
          <x14:id>{BE9D279A-ADD8-46F4-B26E-577DEFFA037B}</x14:id>
        </ext>
      </extLst>
    </cfRule>
  </conditionalFormatting>
  <conditionalFormatting sqref="K18:O23">
    <cfRule type="dataBar" priority="65">
      <dataBar>
        <cfvo type="min"/>
        <cfvo type="max"/>
        <color rgb="FF63C384"/>
      </dataBar>
      <extLst>
        <ext xmlns:x14="http://schemas.microsoft.com/office/spreadsheetml/2009/9/main" uri="{B025F937-C7B1-47D3-B67F-A62EFF666E3E}">
          <x14:id>{589E11FE-E342-4D21-9EB3-CB0F15AE87A6}</x14:id>
        </ext>
      </extLst>
    </cfRule>
    <cfRule type="dataBar" priority="29">
      <dataBar>
        <cfvo type="min"/>
        <cfvo type="max"/>
        <color rgb="FF63C384"/>
      </dataBar>
      <extLst>
        <ext xmlns:x14="http://schemas.microsoft.com/office/spreadsheetml/2009/9/main" uri="{B025F937-C7B1-47D3-B67F-A62EFF666E3E}">
          <x14:id>{CBC457F7-3DB8-46A0-988B-11CCF8FF31E5}</x14:id>
        </ext>
      </extLst>
    </cfRule>
  </conditionalFormatting>
  <conditionalFormatting sqref="K5:P10">
    <cfRule type="dataBar" priority="32">
      <dataBar>
        <cfvo type="min"/>
        <cfvo type="max"/>
        <color rgb="FF63C384"/>
      </dataBar>
      <extLst>
        <ext xmlns:x14="http://schemas.microsoft.com/office/spreadsheetml/2009/9/main" uri="{B025F937-C7B1-47D3-B67F-A62EFF666E3E}">
          <x14:id>{1642E512-5328-4DB9-81F4-5A67EFFA2D7A}</x14:id>
        </ext>
      </extLst>
    </cfRule>
    <cfRule type="dataBar" priority="33">
      <dataBar>
        <cfvo type="min"/>
        <cfvo type="max"/>
        <color rgb="FF63C384"/>
      </dataBar>
      <extLst>
        <ext xmlns:x14="http://schemas.microsoft.com/office/spreadsheetml/2009/9/main" uri="{B025F937-C7B1-47D3-B67F-A62EFF666E3E}">
          <x14:id>{5832A442-CC22-41FC-AD17-86122538435B}</x14:id>
        </ext>
      </extLst>
    </cfRule>
  </conditionalFormatting>
  <conditionalFormatting sqref="K18:P22">
    <cfRule type="dataBar" priority="11">
      <dataBar>
        <cfvo type="min"/>
        <cfvo type="max"/>
        <color rgb="FF63C384"/>
      </dataBar>
      <extLst>
        <ext xmlns:x14="http://schemas.microsoft.com/office/spreadsheetml/2009/9/main" uri="{B025F937-C7B1-47D3-B67F-A62EFF666E3E}">
          <x14:id>{A85696C3-3FD4-4347-BBC8-6CEF041D9BC2}</x14:id>
        </ext>
      </extLst>
    </cfRule>
    <cfRule type="dataBar" priority="35">
      <dataBar>
        <cfvo type="min"/>
        <cfvo type="max"/>
        <color rgb="FF63C384"/>
      </dataBar>
      <extLst>
        <ext xmlns:x14="http://schemas.microsoft.com/office/spreadsheetml/2009/9/main" uri="{B025F937-C7B1-47D3-B67F-A62EFF666E3E}">
          <x14:id>{00030478-9DDE-4C48-B970-8BFEEA7887D7}</x14:id>
        </ext>
      </extLst>
    </cfRule>
    <cfRule type="dataBar" priority="28">
      <dataBar>
        <cfvo type="min"/>
        <cfvo type="max"/>
        <color rgb="FF63C384"/>
      </dataBar>
      <extLst>
        <ext xmlns:x14="http://schemas.microsoft.com/office/spreadsheetml/2009/9/main" uri="{B025F937-C7B1-47D3-B67F-A62EFF666E3E}">
          <x14:id>{4CBCF4A4-EFBB-41F0-984E-0C4EF2D8C81C}</x14:id>
        </ext>
      </extLst>
    </cfRule>
    <cfRule type="dataBar" priority="30">
      <dataBar>
        <cfvo type="min"/>
        <cfvo type="max"/>
        <color rgb="FF63C384"/>
      </dataBar>
      <extLst>
        <ext xmlns:x14="http://schemas.microsoft.com/office/spreadsheetml/2009/9/main" uri="{B025F937-C7B1-47D3-B67F-A62EFF666E3E}">
          <x14:id>{9095667E-69EE-4811-BEDE-AFA010708C3B}</x14:id>
        </ext>
      </extLst>
    </cfRule>
  </conditionalFormatting>
  <conditionalFormatting sqref="K18:P23">
    <cfRule type="dataBar" priority="31">
      <dataBar>
        <cfvo type="min"/>
        <cfvo type="max"/>
        <color rgb="FF63C384"/>
      </dataBar>
      <extLst>
        <ext xmlns:x14="http://schemas.microsoft.com/office/spreadsheetml/2009/9/main" uri="{B025F937-C7B1-47D3-B67F-A62EFF666E3E}">
          <x14:id>{EC7F1560-4E75-4756-AE37-09B82982D1AB}</x14:id>
        </ext>
      </extLst>
    </cfRule>
  </conditionalFormatting>
  <conditionalFormatting sqref="K23:P23">
    <cfRule type="dataBar" priority="18">
      <dataBar>
        <cfvo type="min"/>
        <cfvo type="max"/>
        <color rgb="FF63C384"/>
      </dataBar>
      <extLst>
        <ext xmlns:x14="http://schemas.microsoft.com/office/spreadsheetml/2009/9/main" uri="{B025F937-C7B1-47D3-B67F-A62EFF666E3E}">
          <x14:id>{624EF9E9-FC69-4C57-8B92-4F6320D43BF6}</x14:id>
        </ext>
      </extLst>
    </cfRule>
    <cfRule type="dataBar" priority="34">
      <dataBar>
        <cfvo type="min"/>
        <cfvo type="max"/>
        <color rgb="FF63C384"/>
      </dataBar>
      <extLst>
        <ext xmlns:x14="http://schemas.microsoft.com/office/spreadsheetml/2009/9/main" uri="{B025F937-C7B1-47D3-B67F-A62EFF666E3E}">
          <x14:id>{904D660B-3592-4479-B026-ACD9350A3616}</x14:id>
        </ext>
      </extLst>
    </cfRule>
    <cfRule type="dataBar" priority="36">
      <dataBar>
        <cfvo type="min"/>
        <cfvo type="max"/>
        <color rgb="FF63C384"/>
      </dataBar>
      <extLst>
        <ext xmlns:x14="http://schemas.microsoft.com/office/spreadsheetml/2009/9/main" uri="{B025F937-C7B1-47D3-B67F-A62EFF666E3E}">
          <x14:id>{FE2287FA-B40E-40F5-8AA8-262EA0BD4636}</x14:id>
        </ext>
      </extLst>
    </cfRule>
    <cfRule type="dataBar" priority="27">
      <dataBar>
        <cfvo type="min"/>
        <cfvo type="max"/>
        <color rgb="FF63C384"/>
      </dataBar>
      <extLst>
        <ext xmlns:x14="http://schemas.microsoft.com/office/spreadsheetml/2009/9/main" uri="{B025F937-C7B1-47D3-B67F-A62EFF666E3E}">
          <x14:id>{1C8C07B2-BD7C-4727-B188-3301C366D456}</x14:id>
        </ext>
      </extLst>
    </cfRule>
  </conditionalFormatting>
  <conditionalFormatting sqref="L5:L12">
    <cfRule type="dataBar" priority="57">
      <dataBar>
        <cfvo type="min"/>
        <cfvo type="max"/>
        <color rgb="FF63C384"/>
      </dataBar>
      <extLst>
        <ext xmlns:x14="http://schemas.microsoft.com/office/spreadsheetml/2009/9/main" uri="{B025F937-C7B1-47D3-B67F-A62EFF666E3E}">
          <x14:id>{086E2BE5-AF7D-45A1-A497-EB3FB49CEB4D}</x14:id>
        </ext>
      </extLst>
    </cfRule>
  </conditionalFormatting>
  <conditionalFormatting sqref="L18:L22">
    <cfRule type="dataBar" priority="16">
      <dataBar>
        <cfvo type="min"/>
        <cfvo type="max"/>
        <color rgb="FF63C384"/>
      </dataBar>
      <extLst>
        <ext xmlns:x14="http://schemas.microsoft.com/office/spreadsheetml/2009/9/main" uri="{B025F937-C7B1-47D3-B67F-A62EFF666E3E}">
          <x14:id>{4BEF7755-0998-42F9-BE2B-3DDE71DD6879}</x14:id>
        </ext>
      </extLst>
    </cfRule>
  </conditionalFormatting>
  <conditionalFormatting sqref="M11:M12">
    <cfRule type="dataBar" priority="56">
      <dataBar>
        <cfvo type="min"/>
        <cfvo type="max"/>
        <color rgb="FF63C384"/>
      </dataBar>
      <extLst>
        <ext xmlns:x14="http://schemas.microsoft.com/office/spreadsheetml/2009/9/main" uri="{B025F937-C7B1-47D3-B67F-A62EFF666E3E}">
          <x14:id>{CF921376-951B-44A1-A35C-F489AA25CABD}</x14:id>
        </ext>
      </extLst>
    </cfRule>
  </conditionalFormatting>
  <conditionalFormatting sqref="M20:M22">
    <cfRule type="dataBar" priority="15">
      <dataBar>
        <cfvo type="min"/>
        <cfvo type="max"/>
        <color rgb="FF63C384"/>
      </dataBar>
      <extLst>
        <ext xmlns:x14="http://schemas.microsoft.com/office/spreadsheetml/2009/9/main" uri="{B025F937-C7B1-47D3-B67F-A62EFF666E3E}">
          <x14:id>{56FDBD16-DDEB-4D7A-98AA-9D8D76CB1BBA}</x14:id>
        </ext>
      </extLst>
    </cfRule>
  </conditionalFormatting>
  <conditionalFormatting sqref="M5:P10">
    <cfRule type="dataBar" priority="38">
      <dataBar>
        <cfvo type="min"/>
        <cfvo type="max"/>
        <color rgb="FF63C384"/>
      </dataBar>
      <extLst>
        <ext xmlns:x14="http://schemas.microsoft.com/office/spreadsheetml/2009/9/main" uri="{B025F937-C7B1-47D3-B67F-A62EFF666E3E}">
          <x14:id>{418255D3-2B96-41A9-9582-87939D7FAE81}</x14:id>
        </ext>
      </extLst>
    </cfRule>
  </conditionalFormatting>
  <conditionalFormatting sqref="N11:N12">
    <cfRule type="dataBar" priority="55">
      <dataBar>
        <cfvo type="min"/>
        <cfvo type="max"/>
        <color rgb="FF63C384"/>
      </dataBar>
      <extLst>
        <ext xmlns:x14="http://schemas.microsoft.com/office/spreadsheetml/2009/9/main" uri="{B025F937-C7B1-47D3-B67F-A62EFF666E3E}">
          <x14:id>{13101FF6-2EA7-4030-B4D6-DA0DA1C2F6A6}</x14:id>
        </ext>
      </extLst>
    </cfRule>
  </conditionalFormatting>
  <conditionalFormatting sqref="N18:N22">
    <cfRule type="dataBar" priority="14">
      <dataBar>
        <cfvo type="min"/>
        <cfvo type="max"/>
        <color rgb="FF63C384"/>
      </dataBar>
      <extLst>
        <ext xmlns:x14="http://schemas.microsoft.com/office/spreadsheetml/2009/9/main" uri="{B025F937-C7B1-47D3-B67F-A62EFF666E3E}">
          <x14:id>{E359D2BF-B4C7-4D3A-9103-4CBEE70A31B4}</x14:id>
        </ext>
      </extLst>
    </cfRule>
  </conditionalFormatting>
  <conditionalFormatting sqref="O11:O12">
    <cfRule type="dataBar" priority="54">
      <dataBar>
        <cfvo type="min"/>
        <cfvo type="max"/>
        <color rgb="FF63C384"/>
      </dataBar>
      <extLst>
        <ext xmlns:x14="http://schemas.microsoft.com/office/spreadsheetml/2009/9/main" uri="{B025F937-C7B1-47D3-B67F-A62EFF666E3E}">
          <x14:id>{1F18C40A-A33A-4D0B-B57F-47D9D6CF0D64}</x14:id>
        </ext>
      </extLst>
    </cfRule>
  </conditionalFormatting>
  <conditionalFormatting sqref="O18:O22">
    <cfRule type="dataBar" priority="13">
      <dataBar>
        <cfvo type="min"/>
        <cfvo type="max"/>
        <color rgb="FF63C384"/>
      </dataBar>
      <extLst>
        <ext xmlns:x14="http://schemas.microsoft.com/office/spreadsheetml/2009/9/main" uri="{B025F937-C7B1-47D3-B67F-A62EFF666E3E}">
          <x14:id>{26AC0999-7FF4-4431-B91F-7A7C0E85B670}</x14:id>
        </ext>
      </extLst>
    </cfRule>
  </conditionalFormatting>
  <conditionalFormatting sqref="P11:P12">
    <cfRule type="dataBar" priority="53">
      <dataBar>
        <cfvo type="min"/>
        <cfvo type="max"/>
        <color rgb="FF63C384"/>
      </dataBar>
      <extLst>
        <ext xmlns:x14="http://schemas.microsoft.com/office/spreadsheetml/2009/9/main" uri="{B025F937-C7B1-47D3-B67F-A62EFF666E3E}">
          <x14:id>{BA11135A-0895-4A01-87D0-A486C9D5843C}</x14:id>
        </ext>
      </extLst>
    </cfRule>
  </conditionalFormatting>
  <conditionalFormatting sqref="P18:P22">
    <cfRule type="dataBar" priority="12">
      <dataBar>
        <cfvo type="min"/>
        <cfvo type="max"/>
        <color rgb="FF63C384"/>
      </dataBar>
      <extLst>
        <ext xmlns:x14="http://schemas.microsoft.com/office/spreadsheetml/2009/9/main" uri="{B025F937-C7B1-47D3-B67F-A62EFF666E3E}">
          <x14:id>{00154FAC-2C70-4EF2-A308-BA8404420986}</x14:id>
        </ext>
      </extLst>
    </cfRule>
  </conditionalFormatting>
  <conditionalFormatting sqref="P18:P23">
    <cfRule type="dataBar" priority="60">
      <dataBar>
        <cfvo type="min"/>
        <cfvo type="max"/>
        <color rgb="FF63C384"/>
      </dataBar>
      <extLst>
        <ext xmlns:x14="http://schemas.microsoft.com/office/spreadsheetml/2009/9/main" uri="{B025F937-C7B1-47D3-B67F-A62EFF666E3E}">
          <x14:id>{A1AE97AD-5647-4F9F-A100-6C15C1895B18}</x14:id>
        </ext>
      </extLst>
    </cfRule>
  </conditionalFormatting>
  <conditionalFormatting sqref="P23">
    <cfRule type="dataBar" priority="20">
      <dataBar>
        <cfvo type="min"/>
        <cfvo type="max"/>
        <color rgb="FF63C384"/>
      </dataBar>
      <extLst>
        <ext xmlns:x14="http://schemas.microsoft.com/office/spreadsheetml/2009/9/main" uri="{B025F937-C7B1-47D3-B67F-A62EFF666E3E}">
          <x14:id>{657DE2C6-03A4-4EDE-99AD-798EB4DDA82C}</x14:id>
        </ext>
      </extLst>
    </cfRule>
    <cfRule type="dataBar" priority="19">
      <dataBar>
        <cfvo type="min"/>
        <cfvo type="max"/>
        <color rgb="FF63C384"/>
      </dataBar>
      <extLst>
        <ext xmlns:x14="http://schemas.microsoft.com/office/spreadsheetml/2009/9/main" uri="{B025F937-C7B1-47D3-B67F-A62EFF666E3E}">
          <x14:id>{44059659-321E-4F16-A91E-71EB67462F51}</x14:id>
        </ext>
      </extLst>
    </cfRule>
    <cfRule type="dataBar" priority="21">
      <dataBar>
        <cfvo type="min"/>
        <cfvo type="max"/>
        <color rgb="FF63C384"/>
      </dataBar>
      <extLst>
        <ext xmlns:x14="http://schemas.microsoft.com/office/spreadsheetml/2009/9/main" uri="{B025F937-C7B1-47D3-B67F-A62EFF666E3E}">
          <x14:id>{ECB61C77-2C43-48F4-8A50-733EB85A1CEE}</x14:id>
        </ext>
      </extLst>
    </cfRule>
    <cfRule type="dataBar" priority="23">
      <dataBar>
        <cfvo type="min"/>
        <cfvo type="max"/>
        <color rgb="FF63C384"/>
      </dataBar>
      <extLst>
        <ext xmlns:x14="http://schemas.microsoft.com/office/spreadsheetml/2009/9/main" uri="{B025F937-C7B1-47D3-B67F-A62EFF666E3E}">
          <x14:id>{E25FCA19-5187-42DE-ACC0-FA124C432602}</x14:id>
        </ext>
      </extLst>
    </cfRule>
    <cfRule type="dataBar" priority="22">
      <dataBar>
        <cfvo type="min"/>
        <cfvo type="max"/>
        <color rgb="FF63C384"/>
      </dataBar>
      <extLst>
        <ext xmlns:x14="http://schemas.microsoft.com/office/spreadsheetml/2009/9/main" uri="{B025F937-C7B1-47D3-B67F-A62EFF666E3E}">
          <x14:id>{CA13E27F-6DDD-451D-9981-58C3F52DF064}</x14:id>
        </ext>
      </extLst>
    </cfRule>
  </conditionalFormatting>
  <hyperlinks>
    <hyperlink ref="B40" r:id="rId1" display="https://www.statista.com/outlook/amo/esports/streaming/worldwide" xr:uid="{D451F842-0DA5-47FD-8C6E-CB2640B0AA00}"/>
    <hyperlink ref="B40:C40" r:id="rId2" display="Statista" xr:uid="{3D9075E9-C422-4C16-BFA8-11197E95F94C}"/>
    <hyperlink ref="B41" r:id="rId3" display="https://www.grandviewresearch.com/industry-analysis/video-streaming-market" xr:uid="{F7B9CBC3-4318-4075-BDA7-9A8FFFAE3EAD}"/>
    <hyperlink ref="B41:C41" r:id="rId4" display="Grand View Research" xr:uid="{4372C2F2-E02A-4CE7-BCDB-5F96BA403B8A}"/>
  </hyperlinks>
  <pageMargins left="0.75" right="0.75" top="1" bottom="1" header="0" footer="0"/>
  <pageSetup orientation="landscape" r:id="rId5"/>
  <headerFooter alignWithMargins="0"/>
  <drawing r:id="rId6"/>
  <legacyDrawing r:id="rId7"/>
  <extLst>
    <ext xmlns:x14="http://schemas.microsoft.com/office/spreadsheetml/2009/9/main" uri="{78C0D931-6437-407d-A8EE-F0AAD7539E65}">
      <x14:conditionalFormattings>
        <x14:conditionalFormatting xmlns:xm="http://schemas.microsoft.com/office/excel/2006/main">
          <x14:cfRule type="dataBar" id="{6E381EE6-DF6C-4880-BDC6-793A4FBC9886}">
            <x14:dataBar minLength="0" maxLength="100" border="1" negativeBarBorderColorSameAsPositive="0">
              <x14:cfvo type="autoMin"/>
              <x14:cfvo type="autoMax"/>
              <x14:borderColor rgb="FF638EC6"/>
              <x14:negativeFillColor rgb="FFFF0000"/>
              <x14:negativeBorderColor rgb="FFFF0000"/>
              <x14:axisColor rgb="FF000000"/>
            </x14:dataBar>
          </x14:cfRule>
          <xm:sqref>B5:B12</xm:sqref>
        </x14:conditionalFormatting>
        <x14:conditionalFormatting xmlns:xm="http://schemas.microsoft.com/office/excel/2006/main">
          <x14:cfRule type="dataBar" id="{070902CC-8EB6-43DB-B9AD-5811F17D394B}">
            <x14:dataBar minLength="0" maxLength="100" border="1" negativeBarBorderColorSameAsPositive="0">
              <x14:cfvo type="autoMin"/>
              <x14:cfvo type="autoMax"/>
              <x14:borderColor rgb="FF638EC6"/>
              <x14:negativeFillColor rgb="FFFF0000"/>
              <x14:negativeBorderColor rgb="FFFF0000"/>
              <x14:axisColor rgb="FF000000"/>
            </x14:dataBar>
          </x14:cfRule>
          <xm:sqref>B18:B23</xm:sqref>
        </x14:conditionalFormatting>
        <x14:conditionalFormatting xmlns:xm="http://schemas.microsoft.com/office/excel/2006/main">
          <x14:cfRule type="dataBar" id="{767D33FE-8570-4B26-81B7-5505E2A08A62}">
            <x14:dataBar minLength="0" maxLength="100" gradient="0">
              <x14:cfvo type="autoMin"/>
              <x14:cfvo type="autoMax"/>
              <x14:negativeFillColor rgb="FFFF0000"/>
              <x14:axisColor rgb="FF000000"/>
            </x14:dataBar>
          </x14:cfRule>
          <xm:sqref>D5:D12</xm:sqref>
        </x14:conditionalFormatting>
        <x14:conditionalFormatting xmlns:xm="http://schemas.microsoft.com/office/excel/2006/main">
          <x14:cfRule type="dataBar" id="{3F107DCC-63A1-497B-B919-528218A545C1}">
            <x14:dataBar minLength="0" maxLength="100" gradient="0">
              <x14:cfvo type="autoMin"/>
              <x14:cfvo type="autoMax"/>
              <x14:negativeFillColor rgb="FFFF0000"/>
              <x14:axisColor rgb="FF000000"/>
            </x14:dataBar>
          </x14:cfRule>
          <xm:sqref>D18:D23</xm:sqref>
        </x14:conditionalFormatting>
        <x14:conditionalFormatting xmlns:xm="http://schemas.microsoft.com/office/excel/2006/main">
          <x14:cfRule type="dataBar" id="{83BDDF4E-0A7D-4B3E-A60B-AD52AC0FFA68}">
            <x14:dataBar minLength="0" maxLength="100" gradient="0">
              <x14:cfvo type="autoMin"/>
              <x14:cfvo type="autoMax"/>
              <x14:negativeFillColor rgb="FFFF0000"/>
              <x14:axisColor rgb="FF000000"/>
            </x14:dataBar>
          </x14:cfRule>
          <xm:sqref>D5:I10</xm:sqref>
        </x14:conditionalFormatting>
        <x14:conditionalFormatting xmlns:xm="http://schemas.microsoft.com/office/excel/2006/main">
          <x14:cfRule type="dataBar" id="{5BBC426E-7FA9-4F5C-AC78-B3996BA8F931}">
            <x14:dataBar minLength="0" maxLength="100" gradient="0">
              <x14:cfvo type="autoMin"/>
              <x14:cfvo type="autoMax"/>
              <x14:negativeFillColor rgb="FFFF0000"/>
              <x14:axisColor rgb="FF000000"/>
            </x14:dataBar>
          </x14:cfRule>
          <xm:sqref>D18:I23</xm:sqref>
        </x14:conditionalFormatting>
        <x14:conditionalFormatting xmlns:xm="http://schemas.microsoft.com/office/excel/2006/main">
          <x14:cfRule type="dataBar" id="{ADC36E97-2294-4BDE-ABCF-9A1F4C0673D1}">
            <x14:dataBar minLength="0" maxLength="100" gradient="0">
              <x14:cfvo type="autoMin"/>
              <x14:cfvo type="autoMax"/>
              <x14:negativeFillColor rgb="FFFF0000"/>
              <x14:axisColor rgb="FF000000"/>
            </x14:dataBar>
          </x14:cfRule>
          <xm:sqref>E5:E8</xm:sqref>
        </x14:conditionalFormatting>
        <x14:conditionalFormatting xmlns:xm="http://schemas.microsoft.com/office/excel/2006/main">
          <x14:cfRule type="dataBar" id="{740A2B96-C6E5-4177-AC04-9573B81E30EC}">
            <x14:dataBar minLength="0" maxLength="100" gradient="0">
              <x14:cfvo type="autoMin"/>
              <x14:cfvo type="autoMax"/>
              <x14:negativeFillColor rgb="FFFF0000"/>
              <x14:axisColor rgb="FF000000"/>
            </x14:dataBar>
          </x14:cfRule>
          <xm:sqref>E5:E12</xm:sqref>
        </x14:conditionalFormatting>
        <x14:conditionalFormatting xmlns:xm="http://schemas.microsoft.com/office/excel/2006/main">
          <x14:cfRule type="dataBar" id="{5AA7A103-2149-42E1-9BBB-48A01258D43D}">
            <x14:dataBar minLength="0" maxLength="100" gradient="0">
              <x14:cfvo type="autoMin"/>
              <x14:cfvo type="autoMax"/>
              <x14:negativeFillColor rgb="FFFF0000"/>
              <x14:axisColor rgb="FF000000"/>
            </x14:dataBar>
          </x14:cfRule>
          <xm:sqref>E18:E23</xm:sqref>
        </x14:conditionalFormatting>
        <x14:conditionalFormatting xmlns:xm="http://schemas.microsoft.com/office/excel/2006/main">
          <x14:cfRule type="dataBar" id="{F5AB6133-6678-4BEA-8B2C-5EBC2C5A8D4D}">
            <x14:dataBar minLength="0" maxLength="100" gradient="0">
              <x14:cfvo type="autoMin"/>
              <x14:cfvo type="autoMax"/>
              <x14:negativeFillColor rgb="FFFF0000"/>
              <x14:axisColor rgb="FF000000"/>
            </x14:dataBar>
          </x14:cfRule>
          <xm:sqref>F5:F8</xm:sqref>
        </x14:conditionalFormatting>
        <x14:conditionalFormatting xmlns:xm="http://schemas.microsoft.com/office/excel/2006/main">
          <x14:cfRule type="dataBar" id="{5EFE30C4-0901-404E-9108-731E3BE4821E}">
            <x14:dataBar minLength="0" maxLength="100" gradient="0">
              <x14:cfvo type="autoMin"/>
              <x14:cfvo type="autoMax"/>
              <x14:negativeFillColor rgb="FFFF0000"/>
              <x14:axisColor rgb="FF000000"/>
            </x14:dataBar>
          </x14:cfRule>
          <xm:sqref>F5:F12</xm:sqref>
        </x14:conditionalFormatting>
        <x14:conditionalFormatting xmlns:xm="http://schemas.microsoft.com/office/excel/2006/main">
          <x14:cfRule type="dataBar" id="{5EE1521A-2483-44CA-9CCA-E5FC63E6246F}">
            <x14:dataBar minLength="0" maxLength="100" gradient="0">
              <x14:cfvo type="autoMin"/>
              <x14:cfvo type="autoMax"/>
              <x14:negativeFillColor rgb="FFFF0000"/>
              <x14:axisColor rgb="FF000000"/>
            </x14:dataBar>
          </x14:cfRule>
          <xm:sqref>F18:F23</xm:sqref>
        </x14:conditionalFormatting>
        <x14:conditionalFormatting xmlns:xm="http://schemas.microsoft.com/office/excel/2006/main">
          <x14:cfRule type="dataBar" id="{DC2F024C-78EB-4B83-BBDB-FC89D0CCC1C9}">
            <x14:dataBar minLength="0" maxLength="100" gradient="0">
              <x14:cfvo type="autoMin"/>
              <x14:cfvo type="autoMax"/>
              <x14:negativeFillColor rgb="FFFF0000"/>
              <x14:axisColor rgb="FF000000"/>
            </x14:dataBar>
          </x14:cfRule>
          <xm:sqref>G5:G8</xm:sqref>
        </x14:conditionalFormatting>
        <x14:conditionalFormatting xmlns:xm="http://schemas.microsoft.com/office/excel/2006/main">
          <x14:cfRule type="dataBar" id="{A1F44ECC-EF2B-4606-87E9-B7F443AC18BF}">
            <x14:dataBar minLength="0" maxLength="100" gradient="0">
              <x14:cfvo type="autoMin"/>
              <x14:cfvo type="autoMax"/>
              <x14:negativeFillColor rgb="FFFF0000"/>
              <x14:axisColor rgb="FF000000"/>
            </x14:dataBar>
          </x14:cfRule>
          <xm:sqref>G5:G12</xm:sqref>
        </x14:conditionalFormatting>
        <x14:conditionalFormatting xmlns:xm="http://schemas.microsoft.com/office/excel/2006/main">
          <x14:cfRule type="dataBar" id="{00DC50B7-1706-4DFB-A90F-9F95CB19CA6D}">
            <x14:dataBar minLength="0" maxLength="100" gradient="0">
              <x14:cfvo type="autoMin"/>
              <x14:cfvo type="autoMax"/>
              <x14:negativeFillColor rgb="FFFF0000"/>
              <x14:axisColor rgb="FF000000"/>
            </x14:dataBar>
          </x14:cfRule>
          <xm:sqref>G18:G23</xm:sqref>
        </x14:conditionalFormatting>
        <x14:conditionalFormatting xmlns:xm="http://schemas.microsoft.com/office/excel/2006/main">
          <x14:cfRule type="dataBar" id="{4320827E-AAAF-46DA-9F47-1F13F9C2B2E6}">
            <x14:dataBar minLength="0" maxLength="100" gradient="0">
              <x14:cfvo type="autoMin"/>
              <x14:cfvo type="autoMax"/>
              <x14:negativeFillColor rgb="FFFF0000"/>
              <x14:axisColor rgb="FF000000"/>
            </x14:dataBar>
          </x14:cfRule>
          <xm:sqref>H5:H12</xm:sqref>
        </x14:conditionalFormatting>
        <x14:conditionalFormatting xmlns:xm="http://schemas.microsoft.com/office/excel/2006/main">
          <x14:cfRule type="dataBar" id="{EED505F4-1AE5-4E85-A25F-1DAC1EADC97D}">
            <x14:dataBar minLength="0" maxLength="100" gradient="0">
              <x14:cfvo type="autoMin"/>
              <x14:cfvo type="autoMax"/>
              <x14:negativeFillColor rgb="FFFF0000"/>
              <x14:axisColor rgb="FF000000"/>
            </x14:dataBar>
          </x14:cfRule>
          <xm:sqref>H18:H23</xm:sqref>
        </x14:conditionalFormatting>
        <x14:conditionalFormatting xmlns:xm="http://schemas.microsoft.com/office/excel/2006/main">
          <x14:cfRule type="dataBar" id="{5091493A-8CC0-4646-874A-93DEE51CD4AB}">
            <x14:dataBar minLength="0" maxLength="100" gradient="0">
              <x14:cfvo type="autoMin"/>
              <x14:cfvo type="autoMax"/>
              <x14:negativeFillColor rgb="FFFF0000"/>
              <x14:axisColor rgb="FF000000"/>
            </x14:dataBar>
          </x14:cfRule>
          <xm:sqref>I5:I12</xm:sqref>
        </x14:conditionalFormatting>
        <x14:conditionalFormatting xmlns:xm="http://schemas.microsoft.com/office/excel/2006/main">
          <x14:cfRule type="dataBar" id="{A192D211-7CF8-4DE2-A7D7-7E84CEAE76AC}">
            <x14:dataBar minLength="0" maxLength="100" gradient="0">
              <x14:cfvo type="autoMin"/>
              <x14:cfvo type="autoMax"/>
              <x14:negativeFillColor rgb="FFFF0000"/>
              <x14:axisColor rgb="FF000000"/>
            </x14:dataBar>
          </x14:cfRule>
          <xm:sqref>I18:I23</xm:sqref>
        </x14:conditionalFormatting>
        <x14:conditionalFormatting xmlns:xm="http://schemas.microsoft.com/office/excel/2006/main">
          <x14:cfRule type="dataBar" id="{5A27FB5F-AC6D-40FD-B152-7630C251B9C8}">
            <x14:dataBar minLength="0" maxLength="100" gradient="0">
              <x14:cfvo type="autoMin"/>
              <x14:cfvo type="autoMax"/>
              <x14:negativeFillColor rgb="FFFF0000"/>
              <x14:axisColor rgb="FF000000"/>
            </x14:dataBar>
          </x14:cfRule>
          <xm:sqref>K5:K12</xm:sqref>
        </x14:conditionalFormatting>
        <x14:conditionalFormatting xmlns:xm="http://schemas.microsoft.com/office/excel/2006/main">
          <x14:cfRule type="dataBar" id="{60785AC6-7D44-400D-A2D8-9BBBDC5C548B}">
            <x14:dataBar minLength="0" maxLength="100" gradient="0">
              <x14:cfvo type="autoMin"/>
              <x14:cfvo type="autoMax"/>
              <x14:negativeFillColor rgb="FFFF0000"/>
              <x14:axisColor rgb="FF000000"/>
            </x14:dataBar>
          </x14:cfRule>
          <xm:sqref>K18:K22</xm:sqref>
        </x14:conditionalFormatting>
        <x14:conditionalFormatting xmlns:xm="http://schemas.microsoft.com/office/excel/2006/main">
          <x14:cfRule type="dataBar" id="{BE9D279A-ADD8-46F4-B26E-577DEFFA037B}">
            <x14:dataBar minLength="0" maxLength="100" border="1" negativeBarBorderColorSameAsPositive="0">
              <x14:cfvo type="autoMin"/>
              <x14:cfvo type="autoMax"/>
              <x14:borderColor rgb="FF63C384"/>
              <x14:negativeFillColor rgb="FFFF0000"/>
              <x14:negativeBorderColor rgb="FFFF0000"/>
              <x14:axisColor rgb="FF000000"/>
            </x14:dataBar>
          </x14:cfRule>
          <xm:sqref>K18:O22</xm:sqref>
        </x14:conditionalFormatting>
        <x14:conditionalFormatting xmlns:xm="http://schemas.microsoft.com/office/excel/2006/main">
          <x14:cfRule type="dataBar" id="{589E11FE-E342-4D21-9EB3-CB0F15AE87A6}">
            <x14:dataBar minLength="0" maxLength="100" gradient="0">
              <x14:cfvo type="autoMin"/>
              <x14:cfvo type="autoMax"/>
              <x14:negativeFillColor rgb="FFFF0000"/>
              <x14:axisColor rgb="FF000000"/>
            </x14:dataBar>
          </x14:cfRule>
          <x14:cfRule type="dataBar" id="{CBC457F7-3DB8-46A0-988B-11CCF8FF31E5}">
            <x14:dataBar minLength="0" maxLength="100" gradient="0">
              <x14:cfvo type="autoMin"/>
              <x14:cfvo type="autoMax"/>
              <x14:negativeFillColor rgb="FFFF0000"/>
              <x14:axisColor rgb="FF000000"/>
            </x14:dataBar>
          </x14:cfRule>
          <xm:sqref>K18:O23</xm:sqref>
        </x14:conditionalFormatting>
        <x14:conditionalFormatting xmlns:xm="http://schemas.microsoft.com/office/excel/2006/main">
          <x14:cfRule type="dataBar" id="{1642E512-5328-4DB9-81F4-5A67EFFA2D7A}">
            <x14:dataBar minLength="0" maxLength="100" gradient="0">
              <x14:cfvo type="autoMin"/>
              <x14:cfvo type="autoMax"/>
              <x14:negativeFillColor rgb="FFFF0000"/>
              <x14:axisColor rgb="FF000000"/>
            </x14:dataBar>
          </x14:cfRule>
          <x14:cfRule type="dataBar" id="{5832A442-CC22-41FC-AD17-86122538435B}">
            <x14:dataBar minLength="0" maxLength="100" border="1" negativeBarBorderColorSameAsPositive="0">
              <x14:cfvo type="autoMin"/>
              <x14:cfvo type="autoMax"/>
              <x14:borderColor rgb="FF63C384"/>
              <x14:negativeFillColor rgb="FFFF0000"/>
              <x14:negativeBorderColor rgb="FFFF0000"/>
              <x14:axisColor rgb="FF000000"/>
            </x14:dataBar>
          </x14:cfRule>
          <xm:sqref>K5:P10</xm:sqref>
        </x14:conditionalFormatting>
        <x14:conditionalFormatting xmlns:xm="http://schemas.microsoft.com/office/excel/2006/main">
          <x14:cfRule type="dataBar" id="{A85696C3-3FD4-4347-BBC8-6CEF041D9BC2}">
            <x14:dataBar minLength="0" maxLength="100" gradient="0">
              <x14:cfvo type="autoMin"/>
              <x14:cfvo type="autoMax"/>
              <x14:negativeFillColor rgb="FFFF0000"/>
              <x14:axisColor rgb="FF000000"/>
            </x14:dataBar>
          </x14:cfRule>
          <x14:cfRule type="dataBar" id="{00030478-9DDE-4C48-B970-8BFEEA7887D7}">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4CBCF4A4-EFBB-41F0-984E-0C4EF2D8C81C}">
            <x14:dataBar minLength="0" maxLength="100" gradient="0">
              <x14:cfvo type="autoMin"/>
              <x14:cfvo type="autoMax"/>
              <x14:negativeFillColor rgb="FFFF0000"/>
              <x14:axisColor rgb="FF000000"/>
            </x14:dataBar>
          </x14:cfRule>
          <x14:cfRule type="dataBar" id="{9095667E-69EE-4811-BEDE-AFA010708C3B}">
            <x14:dataBar minLength="0" maxLength="100" gradient="0">
              <x14:cfvo type="autoMin"/>
              <x14:cfvo type="autoMax"/>
              <x14:negativeFillColor rgb="FFFF0000"/>
              <x14:axisColor rgb="FF000000"/>
            </x14:dataBar>
          </x14:cfRule>
          <xm:sqref>K18:P22</xm:sqref>
        </x14:conditionalFormatting>
        <x14:conditionalFormatting xmlns:xm="http://schemas.microsoft.com/office/excel/2006/main">
          <x14:cfRule type="dataBar" id="{EC7F1560-4E75-4756-AE37-09B82982D1AB}">
            <x14:dataBar minLength="0" maxLength="100" gradient="0">
              <x14:cfvo type="autoMin"/>
              <x14:cfvo type="autoMax"/>
              <x14:negativeFillColor rgb="FFFF0000"/>
              <x14:axisColor rgb="FF000000"/>
            </x14:dataBar>
          </x14:cfRule>
          <xm:sqref>K18:P23</xm:sqref>
        </x14:conditionalFormatting>
        <x14:conditionalFormatting xmlns:xm="http://schemas.microsoft.com/office/excel/2006/main">
          <x14:cfRule type="dataBar" id="{624EF9E9-FC69-4C57-8B92-4F6320D43BF6}">
            <x14:dataBar minLength="0" maxLength="100" gradient="0">
              <x14:cfvo type="autoMin"/>
              <x14:cfvo type="autoMax"/>
              <x14:negativeFillColor rgb="FFFF0000"/>
              <x14:axisColor rgb="FF000000"/>
            </x14:dataBar>
          </x14:cfRule>
          <x14:cfRule type="dataBar" id="{904D660B-3592-4479-B026-ACD9350A3616}">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FE2287FA-B40E-40F5-8AA8-262EA0BD4636}">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1C8C07B2-BD7C-4727-B188-3301C366D456}">
            <x14:dataBar minLength="0" maxLength="100" gradient="0">
              <x14:cfvo type="autoMin"/>
              <x14:cfvo type="autoMax"/>
              <x14:negativeFillColor rgb="FFFF0000"/>
              <x14:axisColor rgb="FF000000"/>
            </x14:dataBar>
          </x14:cfRule>
          <xm:sqref>K23:P23</xm:sqref>
        </x14:conditionalFormatting>
        <x14:conditionalFormatting xmlns:xm="http://schemas.microsoft.com/office/excel/2006/main">
          <x14:cfRule type="dataBar" id="{086E2BE5-AF7D-45A1-A497-EB3FB49CEB4D}">
            <x14:dataBar minLength="0" maxLength="100" gradient="0">
              <x14:cfvo type="autoMin"/>
              <x14:cfvo type="autoMax"/>
              <x14:negativeFillColor rgb="FFFF0000"/>
              <x14:axisColor rgb="FF000000"/>
            </x14:dataBar>
          </x14:cfRule>
          <xm:sqref>L5:L12</xm:sqref>
        </x14:conditionalFormatting>
        <x14:conditionalFormatting xmlns:xm="http://schemas.microsoft.com/office/excel/2006/main">
          <x14:cfRule type="dataBar" id="{4BEF7755-0998-42F9-BE2B-3DDE71DD6879}">
            <x14:dataBar minLength="0" maxLength="100" gradient="0">
              <x14:cfvo type="autoMin"/>
              <x14:cfvo type="autoMax"/>
              <x14:negativeFillColor rgb="FFFF0000"/>
              <x14:axisColor rgb="FF000000"/>
            </x14:dataBar>
          </x14:cfRule>
          <xm:sqref>L18:L22</xm:sqref>
        </x14:conditionalFormatting>
        <x14:conditionalFormatting xmlns:xm="http://schemas.microsoft.com/office/excel/2006/main">
          <x14:cfRule type="dataBar" id="{CF921376-951B-44A1-A35C-F489AA25CABD}">
            <x14:dataBar minLength="0" maxLength="100" gradient="0">
              <x14:cfvo type="autoMin"/>
              <x14:cfvo type="autoMax"/>
              <x14:negativeFillColor rgb="FFFF0000"/>
              <x14:axisColor rgb="FF000000"/>
            </x14:dataBar>
          </x14:cfRule>
          <xm:sqref>M11:M12</xm:sqref>
        </x14:conditionalFormatting>
        <x14:conditionalFormatting xmlns:xm="http://schemas.microsoft.com/office/excel/2006/main">
          <x14:cfRule type="dataBar" id="{56FDBD16-DDEB-4D7A-98AA-9D8D76CB1BBA}">
            <x14:dataBar minLength="0" maxLength="100" gradient="0">
              <x14:cfvo type="autoMin"/>
              <x14:cfvo type="autoMax"/>
              <x14:negativeFillColor rgb="FFFF0000"/>
              <x14:axisColor rgb="FF000000"/>
            </x14:dataBar>
          </x14:cfRule>
          <xm:sqref>M20:M22</xm:sqref>
        </x14:conditionalFormatting>
        <x14:conditionalFormatting xmlns:xm="http://schemas.microsoft.com/office/excel/2006/main">
          <x14:cfRule type="dataBar" id="{418255D3-2B96-41A9-9582-87939D7FAE81}">
            <x14:dataBar minLength="0" maxLength="100" gradient="0">
              <x14:cfvo type="autoMin"/>
              <x14:cfvo type="autoMax"/>
              <x14:negativeFillColor rgb="FFFF0000"/>
              <x14:axisColor rgb="FF000000"/>
            </x14:dataBar>
          </x14:cfRule>
          <xm:sqref>M5:P10</xm:sqref>
        </x14:conditionalFormatting>
        <x14:conditionalFormatting xmlns:xm="http://schemas.microsoft.com/office/excel/2006/main">
          <x14:cfRule type="dataBar" id="{13101FF6-2EA7-4030-B4D6-DA0DA1C2F6A6}">
            <x14:dataBar minLength="0" maxLength="100" gradient="0">
              <x14:cfvo type="autoMin"/>
              <x14:cfvo type="autoMax"/>
              <x14:negativeFillColor rgb="FFFF0000"/>
              <x14:axisColor rgb="FF000000"/>
            </x14:dataBar>
          </x14:cfRule>
          <xm:sqref>N11:N12</xm:sqref>
        </x14:conditionalFormatting>
        <x14:conditionalFormatting xmlns:xm="http://schemas.microsoft.com/office/excel/2006/main">
          <x14:cfRule type="dataBar" id="{E359D2BF-B4C7-4D3A-9103-4CBEE70A31B4}">
            <x14:dataBar minLength="0" maxLength="100" gradient="0">
              <x14:cfvo type="autoMin"/>
              <x14:cfvo type="autoMax"/>
              <x14:negativeFillColor rgb="FFFF0000"/>
              <x14:axisColor rgb="FF000000"/>
            </x14:dataBar>
          </x14:cfRule>
          <xm:sqref>N18:N22</xm:sqref>
        </x14:conditionalFormatting>
        <x14:conditionalFormatting xmlns:xm="http://schemas.microsoft.com/office/excel/2006/main">
          <x14:cfRule type="dataBar" id="{1F18C40A-A33A-4D0B-B57F-47D9D6CF0D64}">
            <x14:dataBar minLength="0" maxLength="100" gradient="0">
              <x14:cfvo type="autoMin"/>
              <x14:cfvo type="autoMax"/>
              <x14:negativeFillColor rgb="FFFF0000"/>
              <x14:axisColor rgb="FF000000"/>
            </x14:dataBar>
          </x14:cfRule>
          <xm:sqref>O11:O12</xm:sqref>
        </x14:conditionalFormatting>
        <x14:conditionalFormatting xmlns:xm="http://schemas.microsoft.com/office/excel/2006/main">
          <x14:cfRule type="dataBar" id="{26AC0999-7FF4-4431-B91F-7A7C0E85B670}">
            <x14:dataBar minLength="0" maxLength="100" gradient="0">
              <x14:cfvo type="autoMin"/>
              <x14:cfvo type="autoMax"/>
              <x14:negativeFillColor rgb="FFFF0000"/>
              <x14:axisColor rgb="FF000000"/>
            </x14:dataBar>
          </x14:cfRule>
          <xm:sqref>O18:O22</xm:sqref>
        </x14:conditionalFormatting>
        <x14:conditionalFormatting xmlns:xm="http://schemas.microsoft.com/office/excel/2006/main">
          <x14:cfRule type="dataBar" id="{BA11135A-0895-4A01-87D0-A486C9D5843C}">
            <x14:dataBar minLength="0" maxLength="100" gradient="0">
              <x14:cfvo type="autoMin"/>
              <x14:cfvo type="autoMax"/>
              <x14:negativeFillColor rgb="FFFF0000"/>
              <x14:axisColor rgb="FF000000"/>
            </x14:dataBar>
          </x14:cfRule>
          <xm:sqref>P11:P12</xm:sqref>
        </x14:conditionalFormatting>
        <x14:conditionalFormatting xmlns:xm="http://schemas.microsoft.com/office/excel/2006/main">
          <x14:cfRule type="dataBar" id="{00154FAC-2C70-4EF2-A308-BA8404420986}">
            <x14:dataBar minLength="0" maxLength="100" gradient="0">
              <x14:cfvo type="autoMin"/>
              <x14:cfvo type="autoMax"/>
              <x14:negativeFillColor rgb="FFFF0000"/>
              <x14:axisColor rgb="FF000000"/>
            </x14:dataBar>
          </x14:cfRule>
          <xm:sqref>P18:P22</xm:sqref>
        </x14:conditionalFormatting>
        <x14:conditionalFormatting xmlns:xm="http://schemas.microsoft.com/office/excel/2006/main">
          <x14:cfRule type="dataBar" id="{A1AE97AD-5647-4F9F-A100-6C15C1895B18}">
            <x14:dataBar minLength="0" maxLength="100" gradient="0">
              <x14:cfvo type="autoMin"/>
              <x14:cfvo type="autoMax"/>
              <x14:negativeFillColor rgb="FFFF0000"/>
              <x14:axisColor rgb="FF000000"/>
            </x14:dataBar>
          </x14:cfRule>
          <xm:sqref>P18:P23</xm:sqref>
        </x14:conditionalFormatting>
        <x14:conditionalFormatting xmlns:xm="http://schemas.microsoft.com/office/excel/2006/main">
          <x14:cfRule type="dataBar" id="{657DE2C6-03A4-4EDE-99AD-798EB4DDA82C}">
            <x14:dataBar minLength="0" maxLength="100" gradient="0">
              <x14:cfvo type="autoMin"/>
              <x14:cfvo type="autoMax"/>
              <x14:negativeFillColor rgb="FFFF0000"/>
              <x14:axisColor rgb="FF000000"/>
            </x14:dataBar>
          </x14:cfRule>
          <x14:cfRule type="dataBar" id="{44059659-321E-4F16-A91E-71EB67462F51}">
            <x14:dataBar minLength="0" maxLength="100" gradient="0">
              <x14:cfvo type="autoMin"/>
              <x14:cfvo type="autoMax"/>
              <x14:negativeFillColor rgb="FFFF0000"/>
              <x14:axisColor rgb="FF000000"/>
            </x14:dataBar>
          </x14:cfRule>
          <x14:cfRule type="dataBar" id="{ECB61C77-2C43-48F4-8A50-733EB85A1CEE}">
            <x14:dataBar minLength="0" maxLength="100" gradient="0">
              <x14:cfvo type="autoMin"/>
              <x14:cfvo type="autoMax"/>
              <x14:negativeFillColor rgb="FFFF0000"/>
              <x14:axisColor rgb="FF000000"/>
            </x14:dataBar>
          </x14:cfRule>
          <x14:cfRule type="dataBar" id="{E25FCA19-5187-42DE-ACC0-FA124C432602}">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CA13E27F-6DDD-451D-9981-58C3F52DF064}">
            <x14:dataBar minLength="0" maxLength="100" gradient="0">
              <x14:cfvo type="autoMin"/>
              <x14:cfvo type="autoMax"/>
              <x14:negativeFillColor rgb="FFFF0000"/>
              <x14:axisColor rgb="FF000000"/>
            </x14:dataBar>
          </x14:cfRule>
          <xm:sqref>P23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6"/>
  <sheetViews>
    <sheetView workbookViewId="0"/>
  </sheetViews>
  <sheetFormatPr defaultColWidth="11.42578125" defaultRowHeight="12.75"/>
  <cols>
    <col min="1" max="1" width="27.140625" bestFit="1" customWidth="1"/>
  </cols>
  <sheetData>
    <row r="1" spans="1:1">
      <c r="A1" t="s">
        <v>224</v>
      </c>
    </row>
    <row r="2" spans="1:1">
      <c r="A2" t="s">
        <v>225</v>
      </c>
    </row>
    <row r="3" spans="1:1">
      <c r="A3" t="s">
        <v>226</v>
      </c>
    </row>
    <row r="4" spans="1:1">
      <c r="A4" t="s">
        <v>227</v>
      </c>
    </row>
    <row r="5" spans="1:1">
      <c r="A5" t="s">
        <v>228</v>
      </c>
    </row>
    <row r="6" spans="1:1">
      <c r="A6" s="11" t="s">
        <v>229</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sheetPr>
  <dimension ref="A1:T103"/>
  <sheetViews>
    <sheetView showGridLines="0" topLeftCell="A3" zoomScale="82" zoomScaleNormal="107" workbookViewId="0">
      <selection activeCell="P4" sqref="P4"/>
    </sheetView>
  </sheetViews>
  <sheetFormatPr defaultColWidth="11.42578125" defaultRowHeight="12.75"/>
  <cols>
    <col min="1" max="1" width="0.42578125" customWidth="1"/>
    <col min="2" max="2" width="31.7109375" bestFit="1" customWidth="1"/>
    <col min="3" max="4" width="32" customWidth="1"/>
    <col min="5" max="5" width="33.42578125" customWidth="1"/>
    <col min="6" max="6" width="33.85546875" customWidth="1"/>
    <col min="7" max="7" width="32" customWidth="1"/>
    <col min="8" max="8" width="15.42578125" customWidth="1"/>
    <col min="9" max="9" width="10.7109375" customWidth="1"/>
  </cols>
  <sheetData>
    <row r="1" spans="2:20" ht="15">
      <c r="B1" s="203" t="s">
        <v>230</v>
      </c>
      <c r="C1" s="204" t="s">
        <v>231</v>
      </c>
      <c r="D1" s="1060" t="s">
        <v>202</v>
      </c>
      <c r="E1" s="1060"/>
      <c r="F1" s="1060"/>
      <c r="G1" s="1060"/>
    </row>
    <row r="2" spans="2:20" ht="81.75" customHeight="1">
      <c r="B2" s="205"/>
      <c r="C2" s="410" t="e" vm="3">
        <v>#VALUE!</v>
      </c>
      <c r="D2" s="1058" t="s">
        <v>232</v>
      </c>
      <c r="E2" s="1059"/>
      <c r="F2" s="1059"/>
      <c r="G2" s="1059"/>
    </row>
    <row r="3" spans="2:20" ht="81.75" customHeight="1">
      <c r="B3" s="205"/>
      <c r="C3" s="411" t="e" vm="4">
        <v>#VALUE!</v>
      </c>
      <c r="D3" s="1058" t="s">
        <v>233</v>
      </c>
      <c r="E3" s="1059"/>
      <c r="F3" s="1059"/>
      <c r="G3" s="1059"/>
    </row>
    <row r="4" spans="2:20" ht="81.75" customHeight="1">
      <c r="B4" s="205"/>
      <c r="C4" s="412" t="e" vm="5">
        <v>#VALUE!</v>
      </c>
      <c r="D4" s="1058" t="s">
        <v>234</v>
      </c>
      <c r="E4" s="1059"/>
      <c r="F4" s="1059"/>
      <c r="G4" s="1059"/>
    </row>
    <row r="5" spans="2:20" ht="81.75" customHeight="1">
      <c r="B5" s="205"/>
      <c r="C5" s="413" t="e" vm="6">
        <v>#VALUE!</v>
      </c>
      <c r="D5" s="1058" t="s">
        <v>235</v>
      </c>
      <c r="E5" s="1059"/>
      <c r="F5" s="1059"/>
      <c r="G5" s="1059"/>
      <c r="T5" t="s">
        <v>154</v>
      </c>
    </row>
    <row r="6" spans="2:20" ht="13.5" thickBot="1">
      <c r="B6" s="11"/>
    </row>
    <row r="7" spans="2:20" ht="36" customHeight="1" thickBot="1">
      <c r="B7" s="202" t="s">
        <v>236</v>
      </c>
      <c r="C7" s="405" t="e" vm="1">
        <f>OP!E2</f>
        <v>#VALUE!</v>
      </c>
      <c r="D7" s="406" t="e" vm="3">
        <f>C2</f>
        <v>#VALUE!</v>
      </c>
      <c r="E7" s="407" t="e" vm="4">
        <f>C3</f>
        <v>#VALUE!</v>
      </c>
      <c r="F7" s="408" t="e" vm="5">
        <f>C4</f>
        <v>#VALUE!</v>
      </c>
      <c r="G7" s="692" t="e" vm="6">
        <f>C5</f>
        <v>#VALUE!</v>
      </c>
      <c r="H7" s="198" t="s">
        <v>237</v>
      </c>
      <c r="I7" s="655" t="s">
        <v>238</v>
      </c>
    </row>
    <row r="8" spans="2:20" ht="16.5" customHeight="1" thickBot="1">
      <c r="B8" s="196" t="s">
        <v>239</v>
      </c>
      <c r="C8" s="185"/>
      <c r="D8" s="186"/>
      <c r="E8" s="186"/>
      <c r="F8" s="186"/>
      <c r="G8" s="186"/>
      <c r="H8" s="187" t="str">
        <f t="shared" ref="H8:H21" si="0">IFERROR(AVERAGE(C8:G8),"")</f>
        <v/>
      </c>
      <c r="I8" s="630"/>
      <c r="K8" s="1050" t="s">
        <v>240</v>
      </c>
      <c r="L8" s="1051"/>
      <c r="M8" s="1052"/>
    </row>
    <row r="9" spans="2:20" ht="13.5" customHeight="1" thickBot="1">
      <c r="B9" s="195" t="s">
        <v>241</v>
      </c>
      <c r="C9" s="183" cm="1">
        <f t="array" aca="1" ref="C9" ca="1">_FV(C7,"Market cap",TRUE)/1000000</f>
        <v>349827.43445900001</v>
      </c>
      <c r="D9" s="183" cm="1">
        <f t="array" aca="1" ref="D9" ca="1">_FV(D7,"Market cap",TRUE)/1000000</f>
        <v>182700.75438</v>
      </c>
      <c r="E9" s="183" cm="1">
        <f t="array" aca="1" ref="E9" ca="1">_FV(E7,"Market cap",TRUE)/1000000</f>
        <v>22545.29406</v>
      </c>
      <c r="F9" s="183" cm="1">
        <f t="array" aca="1" ref="F9" ca="1">_FV(F7,"Market cap",TRUE)/1000000</f>
        <v>2194587.7371</v>
      </c>
      <c r="G9" s="183" cm="1">
        <f t="array" aca="1" ref="G9" ca="1">_FV(G7,"Market cap",TRUE)/1000000</f>
        <v>3387938.9682399998</v>
      </c>
      <c r="H9" s="585">
        <f t="shared" ca="1" si="0"/>
        <v>1227520.0376478001</v>
      </c>
      <c r="I9" s="631">
        <f ca="1">SQRT((C9-H9)^2)</f>
        <v>877692.60318880004</v>
      </c>
      <c r="K9" s="1053"/>
      <c r="L9" s="1048" t="s">
        <v>242</v>
      </c>
      <c r="M9" s="1049"/>
    </row>
    <row r="10" spans="2:20" ht="13.5" thickBot="1">
      <c r="B10" s="556" t="s">
        <v>243</v>
      </c>
      <c r="C10" s="557">
        <f>C55</f>
        <v>33723</v>
      </c>
      <c r="D10" s="557">
        <f t="shared" ref="D10:G10" si="1">D55</f>
        <v>88935</v>
      </c>
      <c r="E10" s="557">
        <f t="shared" si="1"/>
        <v>41321</v>
      </c>
      <c r="F10" s="557">
        <f t="shared" si="1"/>
        <v>574785</v>
      </c>
      <c r="G10" s="557">
        <f t="shared" si="1"/>
        <v>385706</v>
      </c>
      <c r="H10" s="586">
        <f t="shared" si="0"/>
        <v>224894</v>
      </c>
      <c r="I10" s="632">
        <f>SQRT((C10-H10)^2)</f>
        <v>191171</v>
      </c>
      <c r="K10" s="1053"/>
      <c r="L10" s="1048"/>
      <c r="M10" s="1049"/>
    </row>
    <row r="11" spans="2:20" ht="16.5" customHeight="1" thickBot="1">
      <c r="B11" s="196" t="s">
        <v>244</v>
      </c>
      <c r="C11" s="201"/>
      <c r="D11" s="201"/>
      <c r="E11" s="201"/>
      <c r="F11" s="201"/>
      <c r="G11" s="201"/>
      <c r="H11" s="587" t="str">
        <f t="shared" si="0"/>
        <v/>
      </c>
      <c r="I11" s="633"/>
      <c r="K11" s="1047"/>
      <c r="L11" s="1048" t="s">
        <v>245</v>
      </c>
      <c r="M11" s="1049"/>
    </row>
    <row r="12" spans="2:20" ht="13.5" thickBot="1">
      <c r="B12" s="195" t="s">
        <v>246</v>
      </c>
      <c r="C12" s="566">
        <f>C55/C54-1</f>
        <v>6.6643471659919129E-2</v>
      </c>
      <c r="D12" s="566">
        <f t="shared" ref="D12:G12" si="2">D55/D54-1</f>
        <v>7.5106984840792146E-2</v>
      </c>
      <c r="E12" s="566">
        <f t="shared" si="2"/>
        <v>0.22190022769612927</v>
      </c>
      <c r="F12" s="566">
        <f t="shared" si="2"/>
        <v>0.1182957412988368</v>
      </c>
      <c r="G12" s="566">
        <f t="shared" si="2"/>
        <v>-2.1865046357347206E-2</v>
      </c>
      <c r="H12" s="588">
        <f t="shared" si="0"/>
        <v>9.2016275827666028E-2</v>
      </c>
      <c r="I12" s="634">
        <f t="shared" ref="I12:I17" si="3">SQRT((C12-H12)^2)</f>
        <v>2.5372804167746899E-2</v>
      </c>
      <c r="K12" s="1047"/>
      <c r="L12" s="1048"/>
      <c r="M12" s="1049"/>
    </row>
    <row r="13" spans="2:20" ht="13.5" thickBot="1">
      <c r="B13" s="558" t="s">
        <v>247</v>
      </c>
      <c r="C13" s="559">
        <f>C55/C53-1</f>
        <v>0.34913586173787814</v>
      </c>
      <c r="D13" s="559">
        <f t="shared" ref="D13:G13" si="4">D55/D53-1</f>
        <v>0.36011194714626527</v>
      </c>
      <c r="E13" s="559">
        <f t="shared" si="4"/>
        <v>2.8722706400524789</v>
      </c>
      <c r="F13" s="559">
        <f t="shared" si="4"/>
        <v>0.48883345766505037</v>
      </c>
      <c r="G13" s="559">
        <f t="shared" si="4"/>
        <v>0.40504526164326182</v>
      </c>
      <c r="H13" s="589">
        <f t="shared" si="0"/>
        <v>0.8950794336489869</v>
      </c>
      <c r="I13" s="635">
        <f t="shared" si="3"/>
        <v>0.54594357191110876</v>
      </c>
      <c r="K13" s="1054"/>
      <c r="L13" s="1048" t="s">
        <v>248</v>
      </c>
      <c r="M13" s="1049"/>
    </row>
    <row r="14" spans="2:20" ht="13.5" thickBot="1">
      <c r="B14" s="567" t="s">
        <v>143</v>
      </c>
      <c r="C14" s="808">
        <f>C58/C55</f>
        <v>0.20620941197402368</v>
      </c>
      <c r="D14" s="568">
        <f t="shared" ref="D14:G14" si="5">D58/D55</f>
        <v>0.11171080002248833</v>
      </c>
      <c r="E14" s="568">
        <f t="shared" si="5"/>
        <v>-2.1441881851842887E-2</v>
      </c>
      <c r="F14" s="568">
        <f t="shared" si="5"/>
        <v>6.4114407996033296E-2</v>
      </c>
      <c r="G14" s="568">
        <f t="shared" si="5"/>
        <v>0.30763846038174153</v>
      </c>
      <c r="H14" s="589">
        <f t="shared" si="0"/>
        <v>0.1336462397044888</v>
      </c>
      <c r="I14" s="636">
        <f t="shared" si="3"/>
        <v>7.2563172269534876E-2</v>
      </c>
      <c r="K14" s="1055"/>
      <c r="L14" s="1056"/>
      <c r="M14" s="1057"/>
    </row>
    <row r="15" spans="2:20" ht="13.5" thickBot="1">
      <c r="B15" s="558" t="s">
        <v>249</v>
      </c>
      <c r="C15" s="559">
        <f>C61/C55</f>
        <v>0.16036532930047742</v>
      </c>
      <c r="D15" s="559">
        <f>D61/D55</f>
        <v>3.3575082925732275E-2</v>
      </c>
      <c r="E15" s="559">
        <f t="shared" ref="E15:G15" si="6">E61/E55</f>
        <v>-7.5651605721061929E-2</v>
      </c>
      <c r="F15" s="559">
        <f t="shared" si="6"/>
        <v>5.2932835755978319E-2</v>
      </c>
      <c r="G15" s="559">
        <f t="shared" si="6"/>
        <v>0.26163191653746637</v>
      </c>
      <c r="H15" s="589">
        <f t="shared" si="0"/>
        <v>8.6570711759718491E-2</v>
      </c>
      <c r="I15" s="635">
        <f t="shared" si="3"/>
        <v>7.3794617540758931E-2</v>
      </c>
    </row>
    <row r="16" spans="2:20" ht="13.5" thickBot="1">
      <c r="B16" s="567" t="s">
        <v>250</v>
      </c>
      <c r="C16" s="568">
        <f>C61/C73</f>
        <v>0.26267728774043131</v>
      </c>
      <c r="D16" s="568">
        <f t="shared" ref="D16:G16" si="7">D61/D73</f>
        <v>2.6421972887834919E-2</v>
      </c>
      <c r="E16" s="568">
        <f t="shared" si="7"/>
        <v>-6.7266310896884146E-2</v>
      </c>
      <c r="F16" s="568">
        <f t="shared" si="7"/>
        <v>0.15071207430340558</v>
      </c>
      <c r="G16" s="568">
        <f t="shared" si="7"/>
        <v>1.6238052328387989</v>
      </c>
      <c r="H16" s="589">
        <f t="shared" si="0"/>
        <v>0.39927005137471727</v>
      </c>
      <c r="I16" s="636">
        <f t="shared" si="3"/>
        <v>0.13659276363428596</v>
      </c>
    </row>
    <row r="17" spans="1:9" ht="13.5" thickBot="1">
      <c r="B17" s="556" t="s">
        <v>251</v>
      </c>
      <c r="C17" s="809">
        <f>(1+C60/(C58+C59))*C58/(C72+C73-C64)</f>
        <v>0.20187845056520734</v>
      </c>
      <c r="D17" s="560">
        <f t="shared" ref="D17:G17" si="8">(1+D60/(D58+D59))*D58/(D72+D73-D64)</f>
        <v>5.396588925379775E-2</v>
      </c>
      <c r="E17" s="560">
        <f t="shared" si="8"/>
        <v>-7.512245427014559E-3</v>
      </c>
      <c r="F17" s="560">
        <f t="shared" si="8"/>
        <v>0.1184123903780859</v>
      </c>
      <c r="G17" s="560">
        <f t="shared" si="8"/>
        <v>0.90483585610966222</v>
      </c>
      <c r="H17" s="590">
        <f t="shared" si="0"/>
        <v>0.25431606817594776</v>
      </c>
      <c r="I17" s="637">
        <f t="shared" si="3"/>
        <v>5.2437617610740422E-2</v>
      </c>
    </row>
    <row r="18" spans="1:9" ht="16.5" thickBot="1">
      <c r="B18" s="196" t="s">
        <v>252</v>
      </c>
      <c r="C18" s="201"/>
      <c r="D18" s="201"/>
      <c r="E18" s="201"/>
      <c r="F18" s="201"/>
      <c r="G18" s="201"/>
      <c r="H18" s="591" t="str">
        <f t="shared" si="0"/>
        <v/>
      </c>
      <c r="I18" s="633"/>
    </row>
    <row r="19" spans="1:9" ht="13.5" thickBot="1">
      <c r="B19" s="195" t="s">
        <v>87</v>
      </c>
      <c r="C19" s="810">
        <f>C72/C69</f>
        <v>0.34006402363949767</v>
      </c>
      <c r="D19" s="569">
        <f t="shared" ref="D19:G19" si="9">D72/D69</f>
        <v>0.24270475097164593</v>
      </c>
      <c r="E19" s="569">
        <f t="shared" si="9"/>
        <v>0.35573531448308449</v>
      </c>
      <c r="F19" s="569">
        <f t="shared" si="9"/>
        <v>0.25691005467420913</v>
      </c>
      <c r="G19" s="569">
        <f t="shared" si="9"/>
        <v>0.31506907593389361</v>
      </c>
      <c r="H19" s="592">
        <f t="shared" si="0"/>
        <v>0.30209664394046615</v>
      </c>
      <c r="I19" s="638">
        <f>SQRT((C19-H19)^2)</f>
        <v>3.7967379699031523E-2</v>
      </c>
    </row>
    <row r="20" spans="1:9" ht="13.5" thickBot="1">
      <c r="B20" s="558" t="s">
        <v>253</v>
      </c>
      <c r="C20" s="811">
        <f>(C72-C64)/C57</f>
        <v>0.43862136942482671</v>
      </c>
      <c r="D20" s="561">
        <f t="shared" ref="D20:G20" si="10">(D72-D64)/D57</f>
        <v>2.7036868801574685</v>
      </c>
      <c r="E20" s="561">
        <f t="shared" si="10"/>
        <v>1.7833862386551615</v>
      </c>
      <c r="F20" s="561">
        <f t="shared" si="10"/>
        <v>0.54619583454508847</v>
      </c>
      <c r="G20" s="561">
        <f t="shared" si="10"/>
        <v>0.37109764229043207</v>
      </c>
      <c r="H20" s="592">
        <f t="shared" si="0"/>
        <v>1.1685975930145953</v>
      </c>
      <c r="I20" s="639">
        <f>SQRT((C20-H20)^2)</f>
        <v>0.72997622358976866</v>
      </c>
    </row>
    <row r="21" spans="1:9" ht="13.5" thickBot="1">
      <c r="B21" s="570" t="s">
        <v>254</v>
      </c>
      <c r="C21" s="582">
        <f t="shared" ref="C21:G21" si="11">-C57/C59</f>
        <v>28.716021361815752</v>
      </c>
      <c r="D21" s="582">
        <f t="shared" si="11"/>
        <v>11.436363636363636</v>
      </c>
      <c r="E21" s="582">
        <f t="shared" si="11"/>
        <v>10.953476983349658</v>
      </c>
      <c r="F21" s="582">
        <f t="shared" si="11"/>
        <v>383.69957081545067</v>
      </c>
      <c r="G21" s="582">
        <f t="shared" si="11"/>
        <v>236.24247787610619</v>
      </c>
      <c r="H21" s="593">
        <f t="shared" si="0"/>
        <v>134.20958213461716</v>
      </c>
      <c r="I21" s="640">
        <f>SQRT((C21-H21)^2)</f>
        <v>105.49356077280142</v>
      </c>
    </row>
    <row r="22" spans="1:9" ht="16.5" thickBot="1">
      <c r="B22" s="196" t="s">
        <v>255</v>
      </c>
      <c r="C22" s="201"/>
      <c r="D22" s="201"/>
      <c r="E22" s="201"/>
      <c r="F22" s="201"/>
      <c r="G22" s="201"/>
      <c r="H22" s="594"/>
      <c r="I22" s="633"/>
    </row>
    <row r="23" spans="1:9" ht="13.5" thickBot="1">
      <c r="B23" s="562" t="s">
        <v>256</v>
      </c>
      <c r="C23" s="563">
        <f>C67/C71</f>
        <v>1.1192867622164542</v>
      </c>
      <c r="D23" s="563">
        <f t="shared" ref="D23:G23" si="12">D67/D71</f>
        <v>1.0521532483380969</v>
      </c>
      <c r="E23" s="563">
        <f t="shared" si="12"/>
        <v>0.92734150795721371</v>
      </c>
      <c r="F23" s="563">
        <f t="shared" si="12"/>
        <v>1.0450772206625152</v>
      </c>
      <c r="G23" s="563">
        <f t="shared" si="12"/>
        <v>0.98801167175929749</v>
      </c>
      <c r="H23" s="595">
        <f t="shared" ref="H23:H40" si="13">IFERROR(AVERAGE(C23:G23),"")</f>
        <v>1.0263740821867153</v>
      </c>
      <c r="I23" s="641">
        <f>SQRT((C23-H23)^2)</f>
        <v>9.2912680029738848E-2</v>
      </c>
    </row>
    <row r="24" spans="1:9" ht="13.5" thickBot="1">
      <c r="B24" s="570" t="s">
        <v>257</v>
      </c>
      <c r="C24" s="571">
        <f>(C64+C65)/C71</f>
        <v>0.95079562126170858</v>
      </c>
      <c r="D24" s="571">
        <f t="shared" ref="D24:G24" si="14">(D64+D65)/D71</f>
        <v>0.78233083914062751</v>
      </c>
      <c r="E24" s="571">
        <f t="shared" si="14"/>
        <v>0.64094703887294546</v>
      </c>
      <c r="F24" s="571">
        <f t="shared" si="14"/>
        <v>0.84304832127676343</v>
      </c>
      <c r="G24" s="571">
        <f t="shared" si="14"/>
        <v>0.62668951468604617</v>
      </c>
      <c r="H24" s="593">
        <f t="shared" si="13"/>
        <v>0.76876226704761819</v>
      </c>
      <c r="I24" s="642">
        <f>SQRT((C24-H24)^2)</f>
        <v>0.18203335421409039</v>
      </c>
    </row>
    <row r="25" spans="1:9" ht="16.5" thickBot="1">
      <c r="B25" s="196" t="s">
        <v>258</v>
      </c>
      <c r="C25" s="201"/>
      <c r="D25" s="201"/>
      <c r="E25" s="201"/>
      <c r="F25" s="201"/>
      <c r="G25" s="201"/>
      <c r="H25" s="594" t="str">
        <f t="shared" si="13"/>
        <v/>
      </c>
      <c r="I25" s="633"/>
    </row>
    <row r="26" spans="1:9" ht="13.5" thickBot="1">
      <c r="B26" s="562" t="s">
        <v>259</v>
      </c>
      <c r="C26" s="572">
        <v>0</v>
      </c>
      <c r="D26" s="563">
        <f t="shared" ref="D26:G26" si="15">D56/D66</f>
        <v>29.751400916963831</v>
      </c>
      <c r="E26" s="563">
        <v>0</v>
      </c>
      <c r="F26" s="563">
        <f t="shared" si="15"/>
        <v>14.436040578666187</v>
      </c>
      <c r="G26" s="563">
        <f t="shared" si="15"/>
        <v>33.491549518243566</v>
      </c>
      <c r="H26" s="595">
        <f t="shared" si="13"/>
        <v>15.535798202774718</v>
      </c>
      <c r="I26" s="641">
        <f>SQRT((C26-H26)^2)</f>
        <v>15.535798202774718</v>
      </c>
    </row>
    <row r="27" spans="1:9" ht="13.5" thickBot="1">
      <c r="B27" s="567" t="s">
        <v>260</v>
      </c>
      <c r="C27" s="571">
        <f>C55/C65</f>
        <v>26.202797202797203</v>
      </c>
      <c r="D27" s="571">
        <f t="shared" ref="D27:F27" si="16">D55/D65</f>
        <v>8.7371058060713231</v>
      </c>
      <c r="E27" s="571">
        <f>E55/E65</f>
        <v>6.8333057714569208</v>
      </c>
      <c r="F27" s="571">
        <f t="shared" si="16"/>
        <v>11.000038275314337</v>
      </c>
      <c r="G27" s="571">
        <f>G55/G65</f>
        <v>13.071234919343906</v>
      </c>
      <c r="H27" s="592">
        <f t="shared" si="13"/>
        <v>13.168896394996739</v>
      </c>
      <c r="I27" s="642">
        <f>SQRT((C27-H27)^2)</f>
        <v>13.033900807800464</v>
      </c>
    </row>
    <row r="28" spans="1:9" ht="13.5" thickBot="1">
      <c r="A28" s="11" t="s">
        <v>261</v>
      </c>
      <c r="B28" s="558" t="s">
        <v>262</v>
      </c>
      <c r="C28" s="564">
        <f>C56/C70</f>
        <v>3.7811660912926737</v>
      </c>
      <c r="D28" s="561">
        <f t="shared" ref="D28:G28" si="17">D56/D70</f>
        <v>3.8612892561983472</v>
      </c>
      <c r="E28" s="561">
        <f t="shared" si="17"/>
        <v>19.465079365079365</v>
      </c>
      <c r="F28" s="561">
        <f t="shared" si="17"/>
        <v>5.659853378990598</v>
      </c>
      <c r="G28" s="561">
        <f t="shared" si="17"/>
        <v>3.3865454952005241</v>
      </c>
      <c r="H28" s="592">
        <f t="shared" si="13"/>
        <v>7.2307867173523004</v>
      </c>
      <c r="I28" s="639">
        <f>SQRT((C28-H28)^2)</f>
        <v>3.4496206260596267</v>
      </c>
    </row>
    <row r="29" spans="1:9" ht="13.5" thickBot="1">
      <c r="B29" s="567" t="s">
        <v>263</v>
      </c>
      <c r="C29" s="571">
        <f>C55/C68</f>
        <v>7.6244630341397244</v>
      </c>
      <c r="D29" s="571">
        <f t="shared" ref="D29:G29" si="18">D55/D68</f>
        <v>1.1467937228404534</v>
      </c>
      <c r="E29" s="571">
        <f t="shared" si="18"/>
        <v>4.5698960406989606</v>
      </c>
      <c r="F29" s="571">
        <f t="shared" si="18"/>
        <v>1.448547256685341</v>
      </c>
      <c r="G29" s="571">
        <f t="shared" si="18"/>
        <v>3.3657012713898027</v>
      </c>
      <c r="H29" s="592">
        <f t="shared" si="13"/>
        <v>3.6310802651508567</v>
      </c>
      <c r="I29" s="642">
        <f>SQRT((C29-H29)^2)</f>
        <v>3.9933827689888677</v>
      </c>
    </row>
    <row r="30" spans="1:9" ht="13.5" thickBot="1">
      <c r="B30" s="556" t="s">
        <v>264</v>
      </c>
      <c r="C30" s="573">
        <f>C55/C69</f>
        <v>0.69200935730115731</v>
      </c>
      <c r="D30" s="573">
        <f t="shared" ref="D30:G30" si="19">D55/D69</f>
        <v>0.4326074161271336</v>
      </c>
      <c r="E30" s="573">
        <f t="shared" si="19"/>
        <v>0.33660809566867878</v>
      </c>
      <c r="F30" s="573">
        <f t="shared" si="19"/>
        <v>1.0889090543976174</v>
      </c>
      <c r="G30" s="573">
        <f t="shared" si="19"/>
        <v>1.0939438373375914</v>
      </c>
      <c r="H30" s="592">
        <f t="shared" si="13"/>
        <v>0.72881555216643579</v>
      </c>
      <c r="I30" s="643">
        <f>SQRT((C30-H30)^2)</f>
        <v>3.6806194865278474E-2</v>
      </c>
    </row>
    <row r="31" spans="1:9" ht="16.5" thickBot="1">
      <c r="B31" s="197" t="s">
        <v>128</v>
      </c>
      <c r="C31" s="201"/>
      <c r="D31" s="201"/>
      <c r="E31" s="201"/>
      <c r="F31" s="201"/>
      <c r="G31" s="201"/>
      <c r="H31" s="596" t="str">
        <f t="shared" si="13"/>
        <v/>
      </c>
      <c r="I31" s="633"/>
    </row>
    <row r="32" spans="1:9" ht="13.5" thickBot="1">
      <c r="B32" s="195" t="s">
        <v>265</v>
      </c>
      <c r="C32" s="812">
        <f ca="1">C9/C61</f>
        <v>64.687025602625738</v>
      </c>
      <c r="D32" s="581">
        <f ca="1">D9/D61</f>
        <v>61.185785123911586</v>
      </c>
      <c r="E32" s="581">
        <f t="shared" ref="E32:G32" ca="1" si="20">E9/E61</f>
        <v>-7.2121861996161227</v>
      </c>
      <c r="F32" s="581">
        <f t="shared" ca="1" si="20"/>
        <v>72.131067776499592</v>
      </c>
      <c r="G32" s="581">
        <f t="shared" ca="1" si="20"/>
        <v>33.57286938491572</v>
      </c>
      <c r="H32" s="595">
        <f t="shared" ca="1" si="13"/>
        <v>44.872912337667302</v>
      </c>
      <c r="I32" s="644">
        <f ca="1">SQRT((C32-H32)^2)</f>
        <v>19.814113264958436</v>
      </c>
    </row>
    <row r="33" spans="2:10" ht="13.5" thickBot="1">
      <c r="B33" s="558" t="s">
        <v>261</v>
      </c>
      <c r="C33" s="813">
        <f ca="1">C9/C55</f>
        <v>10.373556162233491</v>
      </c>
      <c r="D33" s="565">
        <f t="shared" ref="D33:G33" ca="1" si="21">D9/D55</f>
        <v>2.0543178094113679</v>
      </c>
      <c r="E33" s="565">
        <f t="shared" ca="1" si="21"/>
        <v>0.54561346676024303</v>
      </c>
      <c r="F33" s="565">
        <f t="shared" ca="1" si="21"/>
        <v>3.8181019635167934</v>
      </c>
      <c r="G33" s="565">
        <f t="shared" ca="1" si="21"/>
        <v>8.783734160837529</v>
      </c>
      <c r="H33" s="592">
        <f t="shared" ca="1" si="13"/>
        <v>5.1150647125518844</v>
      </c>
      <c r="I33" s="645">
        <f ca="1">SQRT((C33-H33)^2)</f>
        <v>5.2584914496816069</v>
      </c>
    </row>
    <row r="34" spans="2:10" ht="13.5" thickBot="1">
      <c r="B34" s="567" t="s">
        <v>266</v>
      </c>
      <c r="C34" s="814">
        <f ca="1">C9/C73</f>
        <v>16.991812437293568</v>
      </c>
      <c r="D34" s="583">
        <f t="shared" ref="D34:G34" ca="1" si="22">D9/D73</f>
        <v>1.6166491556648852</v>
      </c>
      <c r="E34" s="583">
        <f t="shared" ca="1" si="22"/>
        <v>0.48513715914959543</v>
      </c>
      <c r="F34" s="583">
        <f t="shared" ca="1" si="22"/>
        <v>10.871022846315789</v>
      </c>
      <c r="G34" s="583">
        <f t="shared" ca="1" si="22"/>
        <v>54.515800988639654</v>
      </c>
      <c r="H34" s="592">
        <f t="shared" ca="1" si="13"/>
        <v>16.896084517412696</v>
      </c>
      <c r="I34" s="646">
        <f ca="1">SQRT((C34-H34)^2)</f>
        <v>9.5727919880872037E-2</v>
      </c>
    </row>
    <row r="35" spans="2:10" ht="13.5" thickBot="1">
      <c r="B35" s="558" t="s">
        <v>267</v>
      </c>
      <c r="C35" s="813">
        <f ca="1">(C72+C9-C64)/C55</f>
        <v>10.653305887939982</v>
      </c>
      <c r="D35" s="565">
        <f t="shared" ref="D35:G35" ca="1" si="23">(D72+D9-D64)/D55</f>
        <v>2.4558807486366447</v>
      </c>
      <c r="E35" s="565">
        <f t="shared" ca="1" si="23"/>
        <v>1.510957964715278</v>
      </c>
      <c r="F35" s="565">
        <f t="shared" ca="1" si="23"/>
        <v>3.9030572076515568</v>
      </c>
      <c r="G35" s="565">
        <f t="shared" ca="1" si="23"/>
        <v>8.9121558084136616</v>
      </c>
      <c r="H35" s="592">
        <f t="shared" ca="1" si="13"/>
        <v>5.4870715234714247</v>
      </c>
      <c r="I35" s="645">
        <f ca="1">SQRT((C35-H35)^2)</f>
        <v>5.1662343644685578</v>
      </c>
    </row>
    <row r="36" spans="2:10" ht="13.5" thickBot="1">
      <c r="B36" s="570" t="s">
        <v>268</v>
      </c>
      <c r="C36" s="815">
        <f ca="1">(C72+C9-C64)/C57</f>
        <v>16.703385877033519</v>
      </c>
      <c r="D36" s="580">
        <f t="shared" ref="D36:G36" ca="1" si="24">(D72+D9-D64)/D57</f>
        <v>16.535222528578998</v>
      </c>
      <c r="E36" s="580">
        <f t="shared" ca="1" si="24"/>
        <v>2.7913575383377296</v>
      </c>
      <c r="F36" s="580">
        <f t="shared" ca="1" si="24"/>
        <v>25.093607940538245</v>
      </c>
      <c r="G36" s="580">
        <f t="shared" ca="1" si="24"/>
        <v>25.753290591187994</v>
      </c>
      <c r="H36" s="593">
        <f t="shared" ca="1" si="13"/>
        <v>17.375372895135296</v>
      </c>
      <c r="I36" s="647">
        <f ca="1">SQRT((C36-H36)^2)</f>
        <v>0.67198701810177752</v>
      </c>
    </row>
    <row r="37" spans="2:10" ht="16.5" thickBot="1">
      <c r="B37" s="197" t="s">
        <v>269</v>
      </c>
      <c r="C37" s="201"/>
      <c r="D37" s="201"/>
      <c r="E37" s="201"/>
      <c r="F37" s="201"/>
      <c r="G37" s="201"/>
      <c r="H37" s="597" t="str">
        <f t="shared" si="13"/>
        <v/>
      </c>
      <c r="I37" s="633"/>
    </row>
    <row r="38" spans="2:10" ht="13.5" thickBot="1">
      <c r="B38" s="195" t="s">
        <v>62</v>
      </c>
      <c r="C38" s="800">
        <f>OP!M20</f>
        <v>0.98480000000000001</v>
      </c>
      <c r="D38" s="584">
        <v>1</v>
      </c>
      <c r="E38" s="584">
        <v>0.90200000000000002</v>
      </c>
      <c r="F38" s="584">
        <v>0.88700000000000001</v>
      </c>
      <c r="G38" s="584">
        <v>0.998</v>
      </c>
      <c r="H38" s="588">
        <f t="shared" si="13"/>
        <v>0.95435999999999999</v>
      </c>
      <c r="I38" s="648">
        <f>SQRT((C38-H38)^2)</f>
        <v>3.0440000000000023E-2</v>
      </c>
    </row>
    <row r="39" spans="2:10" ht="13.5" thickBot="1">
      <c r="B39" s="574" t="s">
        <v>270</v>
      </c>
      <c r="C39" s="575">
        <f>OP!M22</f>
        <v>1.22</v>
      </c>
      <c r="D39" s="575">
        <v>1.41</v>
      </c>
      <c r="E39" s="575">
        <v>1.51</v>
      </c>
      <c r="F39" s="575">
        <v>1.17</v>
      </c>
      <c r="G39" s="575">
        <v>1.29</v>
      </c>
      <c r="H39" s="598">
        <f t="shared" si="13"/>
        <v>1.3199999999999998</v>
      </c>
      <c r="I39" s="649">
        <f>SQRT((C39-H39)^2)</f>
        <v>9.9999999999999867E-2</v>
      </c>
    </row>
    <row r="40" spans="2:10" ht="13.5" thickBot="1">
      <c r="B40" s="570" t="s">
        <v>271</v>
      </c>
      <c r="C40" s="578">
        <f ca="1">OP!M32</f>
        <v>0</v>
      </c>
      <c r="D40" s="579">
        <v>2.7000000000000001E-3</v>
      </c>
      <c r="E40" s="579">
        <v>0</v>
      </c>
      <c r="F40" s="579">
        <v>0</v>
      </c>
      <c r="G40" s="579">
        <v>5.5999999999999999E-3</v>
      </c>
      <c r="H40" s="589">
        <f t="shared" ca="1" si="13"/>
        <v>1.66E-3</v>
      </c>
      <c r="I40" s="650">
        <f ca="1">SQRT((C40-H40)^2)</f>
        <v>1.66E-3</v>
      </c>
    </row>
    <row r="41" spans="2:10" ht="16.5" thickBot="1">
      <c r="B41" s="197" t="s">
        <v>272</v>
      </c>
      <c r="C41" s="201"/>
      <c r="D41" s="201"/>
      <c r="E41" s="201"/>
      <c r="F41" s="201"/>
      <c r="G41" s="201"/>
      <c r="H41" s="599"/>
      <c r="I41" s="633"/>
    </row>
    <row r="42" spans="2:10" ht="13.5" thickBot="1">
      <c r="B42" s="199" t="s">
        <v>273</v>
      </c>
      <c r="C42" s="696">
        <v>1.0606</v>
      </c>
      <c r="D42" s="696">
        <v>0.19</v>
      </c>
      <c r="E42" s="696">
        <v>-0.37730000000000002</v>
      </c>
      <c r="F42" s="696">
        <v>0.89710000000000001</v>
      </c>
      <c r="G42" s="696">
        <v>13.46</v>
      </c>
      <c r="H42" s="588">
        <f t="shared" ref="H42:H49" si="25">IFERROR(AVERAGE(C42:G42),"")</f>
        <v>3.0460800000000003</v>
      </c>
      <c r="I42" s="624">
        <f>SQRT((C42-H42)^2)</f>
        <v>1.9854800000000004</v>
      </c>
    </row>
    <row r="43" spans="2:10" ht="13.5" thickBot="1">
      <c r="B43" s="558" t="s">
        <v>274</v>
      </c>
      <c r="C43" s="807">
        <f ca="1">+(C44-293.51)/293.51</f>
        <v>1.7882866001158393</v>
      </c>
      <c r="D43" s="805">
        <v>-9.6600000000000005E-2</v>
      </c>
      <c r="E43" s="805">
        <v>-0.63</v>
      </c>
      <c r="F43" s="805">
        <v>-7.0000000000000007E-2</v>
      </c>
      <c r="G43" s="805">
        <v>0.44</v>
      </c>
      <c r="H43" s="588">
        <f t="shared" ca="1" si="25"/>
        <v>0.28633732002316781</v>
      </c>
      <c r="I43" s="651">
        <f ca="1">SQRT((C43-H43)^2)</f>
        <v>1.5019492800926715</v>
      </c>
    </row>
    <row r="44" spans="2:10" ht="13.5" thickBot="1">
      <c r="B44" s="200" t="s">
        <v>275</v>
      </c>
      <c r="C44" s="695" cm="1">
        <f t="array" aca="1" ref="C44" ca="1">_FV(C7,"Price")</f>
        <v>818.39</v>
      </c>
      <c r="D44" s="695" cm="1">
        <f t="array" aca="1" ref="D44" ca="1">_FV(D7,"Price")</f>
        <v>100.74</v>
      </c>
      <c r="E44" s="695" cm="1">
        <f t="array" aca="1" ref="E44" ca="1">_FV(E7,"Price")</f>
        <v>9.1950000000000003</v>
      </c>
      <c r="F44" s="695" cm="1">
        <f t="array" aca="1" ref="F44" ca="1">_FV(F7,"Price")</f>
        <v>208.71</v>
      </c>
      <c r="G44" s="695" cm="1">
        <f t="array" aca="1" ref="G44" ca="1">_FV(G7,"Price")</f>
        <v>224.13200000000001</v>
      </c>
      <c r="H44" s="588">
        <f t="shared" ca="1" si="25"/>
        <v>272.23340000000002</v>
      </c>
      <c r="I44" s="652">
        <f ca="1">SQRT((C44-H44)^2)</f>
        <v>546.15660000000003</v>
      </c>
    </row>
    <row r="45" spans="2:10" ht="13.5" thickBot="1">
      <c r="B45" s="558" t="s">
        <v>276</v>
      </c>
      <c r="C45" s="801">
        <v>534.57000000000005</v>
      </c>
      <c r="D45" s="801">
        <v>117.61</v>
      </c>
      <c r="E45" s="801">
        <v>13.48</v>
      </c>
      <c r="F45" s="801">
        <v>206.2</v>
      </c>
      <c r="G45" s="801">
        <v>201.28</v>
      </c>
      <c r="H45" s="588">
        <f t="shared" si="25"/>
        <v>214.62800000000001</v>
      </c>
      <c r="I45" s="653">
        <f>SQRT((C45-H45)^2)</f>
        <v>319.94200000000001</v>
      </c>
    </row>
    <row r="46" spans="2:10" ht="13.5" thickBot="1">
      <c r="B46" s="576" t="s">
        <v>277</v>
      </c>
      <c r="C46" s="577">
        <f ca="1">C45/C44-1</f>
        <v>-0.34680286904776447</v>
      </c>
      <c r="D46" s="577">
        <f t="shared" ref="D46:G46" ca="1" si="26">D45/D44-1</f>
        <v>0.16746079015286885</v>
      </c>
      <c r="E46" s="577">
        <f t="shared" ca="1" si="26"/>
        <v>0.46601413811854275</v>
      </c>
      <c r="F46" s="577">
        <f t="shared" ca="1" si="26"/>
        <v>-1.202625652819711E-2</v>
      </c>
      <c r="G46" s="577">
        <f t="shared" ca="1" si="26"/>
        <v>-0.10195777488265845</v>
      </c>
      <c r="H46" s="600">
        <f t="shared" ca="1" si="25"/>
        <v>3.4537605562558318E-2</v>
      </c>
      <c r="I46" s="654">
        <f ca="1">SQRT((C46-H46)^2)</f>
        <v>0.38134047461032278</v>
      </c>
    </row>
    <row r="47" spans="2:10" ht="16.5" thickBot="1">
      <c r="B47" s="197" t="s">
        <v>278</v>
      </c>
      <c r="C47" s="197"/>
      <c r="D47" s="197"/>
      <c r="E47" s="197"/>
      <c r="F47" s="197"/>
      <c r="G47" s="197"/>
      <c r="H47" s="197" t="str">
        <f t="shared" si="25"/>
        <v/>
      </c>
      <c r="I47" s="623"/>
      <c r="J47" s="628"/>
    </row>
    <row r="48" spans="2:10" ht="13.5" thickBot="1">
      <c r="B48" s="199" t="s">
        <v>279</v>
      </c>
      <c r="C48" s="816">
        <f>(Inputs!B59-Inputs!E59)/Inputs!E59</f>
        <v>1.9971158996333076</v>
      </c>
      <c r="D48" s="464">
        <v>2.4</v>
      </c>
      <c r="E48" s="464">
        <v>-4.2411000000000003</v>
      </c>
      <c r="F48" s="464">
        <v>11.66</v>
      </c>
      <c r="G48" s="464">
        <v>0.38429999999999997</v>
      </c>
      <c r="H48" s="600">
        <f t="shared" si="25"/>
        <v>2.4400631799266614</v>
      </c>
      <c r="I48" s="624">
        <f>SQRT((C48-H48)^2)</f>
        <v>0.44294728029335384</v>
      </c>
      <c r="J48" s="464"/>
    </row>
    <row r="49" spans="2:10" ht="13.5" thickBot="1">
      <c r="B49" s="625" t="s">
        <v>280</v>
      </c>
      <c r="C49" s="806">
        <f>C62/C10</f>
        <v>7.9352370785517309E-2</v>
      </c>
      <c r="D49" s="626">
        <f t="shared" ref="D49:G49" si="27">D62/D10</f>
        <v>0</v>
      </c>
      <c r="E49" s="626">
        <f t="shared" si="27"/>
        <v>0</v>
      </c>
      <c r="F49" s="626">
        <f t="shared" si="27"/>
        <v>0.14896352549214054</v>
      </c>
      <c r="G49" s="626">
        <f t="shared" si="27"/>
        <v>7.777944859556242E-2</v>
      </c>
      <c r="H49" s="600">
        <f t="shared" si="25"/>
        <v>6.1219068974644054E-2</v>
      </c>
      <c r="I49" s="627">
        <f>SQRT((C49-H49)^2)</f>
        <v>1.8133301810873255E-2</v>
      </c>
      <c r="J49" s="629"/>
    </row>
    <row r="50" spans="2:10" ht="13.5" thickBot="1"/>
    <row r="51" spans="2:10" ht="16.5" thickBot="1">
      <c r="B51" s="546" t="s">
        <v>281</v>
      </c>
      <c r="C51" s="545" t="e" vm="1">
        <f>OP!E2</f>
        <v>#VALUE!</v>
      </c>
      <c r="D51" s="406" t="e" vm="3">
        <f>D7</f>
        <v>#VALUE!</v>
      </c>
      <c r="E51" s="407" t="e" vm="4">
        <f>E7</f>
        <v>#VALUE!</v>
      </c>
      <c r="F51" s="408" t="e" vm="5">
        <f>F7</f>
        <v>#VALUE!</v>
      </c>
      <c r="G51" s="409" t="e" vm="6">
        <f>G7</f>
        <v>#VALUE!</v>
      </c>
    </row>
    <row r="52" spans="2:10" ht="13.5" thickBot="1">
      <c r="B52" s="191" t="s">
        <v>282</v>
      </c>
      <c r="C52" s="192"/>
      <c r="D52" s="192"/>
      <c r="E52" s="192"/>
      <c r="F52" s="192"/>
      <c r="G52" s="192"/>
    </row>
    <row r="53" spans="2:10" ht="13.5" thickBot="1">
      <c r="B53" s="188" t="s">
        <v>283</v>
      </c>
      <c r="C53" s="206">
        <f>'Fin. Data'!E5</f>
        <v>24996</v>
      </c>
      <c r="D53" s="184">
        <v>65388</v>
      </c>
      <c r="E53" s="184">
        <v>10671</v>
      </c>
      <c r="F53" s="184">
        <v>386064</v>
      </c>
      <c r="G53" s="184">
        <v>274515</v>
      </c>
    </row>
    <row r="54" spans="2:10" ht="13.5" thickBot="1">
      <c r="B54" s="188" t="s">
        <v>284</v>
      </c>
      <c r="C54" s="206">
        <f>'Fin. Data'!C5</f>
        <v>31616</v>
      </c>
      <c r="D54" s="184">
        <v>82722</v>
      </c>
      <c r="E54" s="184">
        <v>33817</v>
      </c>
      <c r="F54" s="184">
        <v>513983</v>
      </c>
      <c r="G54" s="184">
        <v>394328</v>
      </c>
    </row>
    <row r="55" spans="2:10" ht="13.5" thickBot="1">
      <c r="B55" s="188" t="s">
        <v>243</v>
      </c>
      <c r="C55" s="206">
        <f>'Fin. Data'!B5</f>
        <v>33723</v>
      </c>
      <c r="D55" s="184">
        <v>88935</v>
      </c>
      <c r="E55" s="184">
        <v>41321</v>
      </c>
      <c r="F55" s="184">
        <v>574785</v>
      </c>
      <c r="G55" s="184">
        <v>385706</v>
      </c>
    </row>
    <row r="56" spans="2:10" ht="13.5" thickBot="1">
      <c r="B56" s="188" t="s">
        <v>285</v>
      </c>
      <c r="C56" s="206">
        <f>'Fin. Data'!B5-'Fin. Data'!B7</f>
        <v>19715</v>
      </c>
      <c r="D56" s="184">
        <v>58402</v>
      </c>
      <c r="E56" s="184">
        <v>24526</v>
      </c>
      <c r="F56" s="184">
        <v>480980</v>
      </c>
      <c r="G56" s="184">
        <v>212035</v>
      </c>
    </row>
    <row r="57" spans="2:10" ht="13.5" thickBot="1">
      <c r="B57" s="188" t="s">
        <v>70</v>
      </c>
      <c r="C57" s="206">
        <f>'Fin. Data'!B19</f>
        <v>21508.3</v>
      </c>
      <c r="D57" s="184">
        <v>13209</v>
      </c>
      <c r="E57" s="184">
        <v>22367</v>
      </c>
      <c r="F57" s="184">
        <v>89402</v>
      </c>
      <c r="G57" s="184">
        <v>133477</v>
      </c>
    </row>
    <row r="58" spans="2:10" ht="13.5" thickBot="1">
      <c r="B58" s="188" t="s">
        <v>286</v>
      </c>
      <c r="C58" s="544">
        <f>'Fin. Data'!B11</f>
        <v>6954</v>
      </c>
      <c r="D58" s="184">
        <v>9935</v>
      </c>
      <c r="E58" s="184">
        <v>-886</v>
      </c>
      <c r="F58" s="184">
        <v>36852</v>
      </c>
      <c r="G58" s="184">
        <v>118658</v>
      </c>
    </row>
    <row r="59" spans="2:10" ht="13.5" thickBot="1">
      <c r="B59" s="188" t="s">
        <v>287</v>
      </c>
      <c r="C59" s="544">
        <f>'Fin. Data'!B14</f>
        <v>-749</v>
      </c>
      <c r="D59" s="184">
        <v>-1155</v>
      </c>
      <c r="E59" s="184">
        <v>-2042</v>
      </c>
      <c r="F59" s="404">
        <v>-233</v>
      </c>
      <c r="G59" s="184">
        <f>-183-382</f>
        <v>-565</v>
      </c>
    </row>
    <row r="60" spans="2:10" ht="13.5" thickBot="1">
      <c r="B60" s="188" t="s">
        <v>288</v>
      </c>
      <c r="C60" s="544">
        <f>'Fin. Data'!B21</f>
        <v>-797</v>
      </c>
      <c r="D60" s="184">
        <v>-1687</v>
      </c>
      <c r="E60" s="184">
        <v>784</v>
      </c>
      <c r="F60" s="184">
        <v>-7120</v>
      </c>
      <c r="G60" s="184">
        <v>-17523</v>
      </c>
    </row>
    <row r="61" spans="2:10" ht="13.5" thickBot="1">
      <c r="B61" s="188" t="s">
        <v>83</v>
      </c>
      <c r="C61" s="544">
        <f>'Fin. Data'!B23</f>
        <v>5408</v>
      </c>
      <c r="D61" s="184">
        <v>2986</v>
      </c>
      <c r="E61" s="184">
        <v>-3126</v>
      </c>
      <c r="F61" s="184">
        <v>30425</v>
      </c>
      <c r="G61" s="184">
        <v>100913</v>
      </c>
    </row>
    <row r="62" spans="2:10" ht="13.5" thickBot="1">
      <c r="B62" s="188" t="s">
        <v>289</v>
      </c>
      <c r="C62" s="544">
        <v>2676</v>
      </c>
      <c r="D62" s="184">
        <v>0</v>
      </c>
      <c r="E62" s="184">
        <v>0</v>
      </c>
      <c r="F62" s="184">
        <v>85622</v>
      </c>
      <c r="G62" s="184">
        <v>30000</v>
      </c>
    </row>
    <row r="63" spans="2:10" ht="13.5" thickBot="1">
      <c r="B63" s="193" t="s">
        <v>290</v>
      </c>
      <c r="C63" s="194"/>
      <c r="D63" s="194"/>
      <c r="E63" s="194"/>
      <c r="F63" s="194"/>
      <c r="G63" s="194"/>
    </row>
    <row r="64" spans="2:10" ht="13.5" thickBot="1">
      <c r="B64" s="188" t="s">
        <v>291</v>
      </c>
      <c r="C64" s="206">
        <f>'Fin. Data'!B39</f>
        <v>7138</v>
      </c>
      <c r="D64" s="184">
        <v>14182</v>
      </c>
      <c r="E64" s="184">
        <v>3780</v>
      </c>
      <c r="F64" s="184">
        <v>86780</v>
      </c>
      <c r="G64" s="184">
        <v>61555</v>
      </c>
    </row>
    <row r="65" spans="2:7" ht="13.5" thickBot="1">
      <c r="B65" s="188" t="s">
        <v>292</v>
      </c>
      <c r="C65" s="206">
        <f>'Fin. Data'!B40</f>
        <v>1287</v>
      </c>
      <c r="D65" s="184">
        <v>10179</v>
      </c>
      <c r="E65" s="184">
        <v>6047</v>
      </c>
      <c r="F65" s="184">
        <v>52253</v>
      </c>
      <c r="G65" s="184">
        <v>29508</v>
      </c>
    </row>
    <row r="66" spans="2:7" ht="13.5" thickBot="1">
      <c r="B66" s="188" t="s">
        <v>293</v>
      </c>
      <c r="C66" s="206">
        <f>'Fin. Data'!B41</f>
        <v>0</v>
      </c>
      <c r="D66" s="184">
        <v>1963</v>
      </c>
      <c r="E66" s="184"/>
      <c r="F66" s="184">
        <v>33318</v>
      </c>
      <c r="G66" s="184">
        <v>6331</v>
      </c>
    </row>
    <row r="67" spans="2:7" ht="13.5" thickBot="1">
      <c r="B67" s="188" t="s">
        <v>294</v>
      </c>
      <c r="C67" s="206">
        <f>Inputs!B27</f>
        <v>9918</v>
      </c>
      <c r="D67" s="184">
        <v>32763</v>
      </c>
      <c r="E67" s="184">
        <v>14218</v>
      </c>
      <c r="F67" s="184">
        <v>172351</v>
      </c>
      <c r="G67" s="184">
        <v>143566</v>
      </c>
    </row>
    <row r="68" spans="2:7" ht="13.5" thickBot="1">
      <c r="B68" s="188" t="s">
        <v>295</v>
      </c>
      <c r="C68" s="206">
        <f>'Fin. Data'!B42</f>
        <v>4423</v>
      </c>
      <c r="D68" s="184">
        <v>77551</v>
      </c>
      <c r="E68" s="184">
        <v>9042</v>
      </c>
      <c r="F68" s="184">
        <v>396801</v>
      </c>
      <c r="G68" s="184">
        <v>114599</v>
      </c>
    </row>
    <row r="69" spans="2:7" ht="13.5" thickBot="1">
      <c r="B69" s="188" t="s">
        <v>58</v>
      </c>
      <c r="C69" s="206">
        <f>'Fin. Data'!B44</f>
        <v>48732</v>
      </c>
      <c r="D69" s="184">
        <v>205579</v>
      </c>
      <c r="E69" s="184">
        <v>122757</v>
      </c>
      <c r="F69" s="184">
        <v>527854</v>
      </c>
      <c r="G69" s="184">
        <v>352583</v>
      </c>
    </row>
    <row r="70" spans="2:7" ht="13.5" thickBot="1">
      <c r="B70" s="188" t="s">
        <v>296</v>
      </c>
      <c r="C70" s="206">
        <f>Inputs!B43</f>
        <v>5214</v>
      </c>
      <c r="D70" s="184">
        <v>15125</v>
      </c>
      <c r="E70" s="184">
        <v>1260</v>
      </c>
      <c r="F70" s="184">
        <v>84981</v>
      </c>
      <c r="G70" s="184">
        <v>62611</v>
      </c>
    </row>
    <row r="71" spans="2:7" ht="13.5" thickBot="1">
      <c r="B71" s="188" t="s">
        <v>297</v>
      </c>
      <c r="C71" s="206">
        <f>Inputs!B42</f>
        <v>8861</v>
      </c>
      <c r="D71" s="184">
        <v>31139</v>
      </c>
      <c r="E71" s="184">
        <v>15332</v>
      </c>
      <c r="F71" s="184">
        <v>164917</v>
      </c>
      <c r="G71" s="184">
        <v>145308</v>
      </c>
    </row>
    <row r="72" spans="2:7" ht="13.5" thickBot="1">
      <c r="B72" s="188" t="s">
        <v>298</v>
      </c>
      <c r="C72" s="206">
        <f>'Fin. Data'!B58</f>
        <v>16572</v>
      </c>
      <c r="D72" s="184">
        <v>49895</v>
      </c>
      <c r="E72" s="184">
        <v>43669</v>
      </c>
      <c r="F72" s="184">
        <v>135611</v>
      </c>
      <c r="G72" s="184">
        <v>111088</v>
      </c>
    </row>
    <row r="73" spans="2:7" ht="13.5" thickBot="1">
      <c r="B73" s="189" t="s">
        <v>299</v>
      </c>
      <c r="C73" s="207">
        <f>'Fin. Data'!B64</f>
        <v>20588</v>
      </c>
      <c r="D73" s="190">
        <v>113012</v>
      </c>
      <c r="E73" s="190">
        <v>46472</v>
      </c>
      <c r="F73" s="190">
        <v>201875</v>
      </c>
      <c r="G73" s="190">
        <v>62146</v>
      </c>
    </row>
    <row r="103" spans="3:3">
      <c r="C103" t="str" cm="1">
        <f t="array" aca="1" ref="C103" ca="1">_FV(C2,"Description")</f>
        <v>The Walt Disney Company is a diversified worldwide entertainment company. The Company's segments include Entertainment, Sports and Experiences. The Entertainment segment generally encompasses the Company’s non-sports focused global film, television and direct-to-consumer (DTC) video streaming content production and distribution activities. Its line of business includes Linear Networks, Direct-to-Consumer, and Content Sales/Licensing. The Sports segment generally encompasses the Company’s sports-focused global television and DTC video streaming content production and distribution activities. Its line of business includes ESPN and Star. Experiences segment includes Parks and Experiences and Consumer Products. Parks and Experiences consists of Walt Disney World Resort in Florida, Disneyland Resort in California, Disney Cruise Line, Disney Vacation Club, and Disneyland Paris, among others. Consumer Products includes licensing of its trade names, characters, visual, literary and other IPs.</v>
      </c>
    </row>
  </sheetData>
  <mergeCells count="12">
    <mergeCell ref="D4:G4"/>
    <mergeCell ref="D1:G1"/>
    <mergeCell ref="D2:G2"/>
    <mergeCell ref="D3:G3"/>
    <mergeCell ref="D5:G5"/>
    <mergeCell ref="K11:K12"/>
    <mergeCell ref="L11:M12"/>
    <mergeCell ref="K8:M8"/>
    <mergeCell ref="K9:K10"/>
    <mergeCell ref="K13:K14"/>
    <mergeCell ref="L13:M14"/>
    <mergeCell ref="L9:M10"/>
  </mergeCells>
  <pageMargins left="0.7" right="0.7" top="0.75" bottom="0.75" header="0.3" footer="0.3"/>
  <pageSetup orientation="portrait" r:id="rId1"/>
  <ignoredErrors>
    <ignoredError sqref="I45" evalError="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A82E0-A099-472F-B885-77443363F881}">
  <sheetPr>
    <tabColor rgb="FF00B050"/>
  </sheetPr>
  <dimension ref="A1:AA100"/>
  <sheetViews>
    <sheetView showGridLines="0" topLeftCell="A15" zoomScale="70" zoomScaleNormal="70" workbookViewId="0">
      <selection activeCell="F16" sqref="F16"/>
    </sheetView>
  </sheetViews>
  <sheetFormatPr defaultColWidth="11.42578125" defaultRowHeight="12.75"/>
  <cols>
    <col min="1" max="1" width="1" style="76" customWidth="1"/>
    <col min="2" max="2" width="59.42578125" style="76" customWidth="1"/>
    <col min="3" max="4" width="13" style="76" customWidth="1"/>
    <col min="5" max="5" width="11.42578125" style="76" bestFit="1" customWidth="1"/>
    <col min="6" max="6" width="11" style="76" customWidth="1"/>
    <col min="7" max="7" width="10.42578125" style="76" customWidth="1"/>
    <col min="8" max="8" width="20.28515625" style="532" customWidth="1"/>
    <col min="9" max="9" width="22.42578125" style="532" customWidth="1"/>
    <col min="10" max="10" width="64" style="76" customWidth="1"/>
    <col min="11" max="11" width="34.7109375" style="76" bestFit="1" customWidth="1"/>
    <col min="12" max="12" width="21.28515625" style="76" customWidth="1"/>
    <col min="13" max="13" width="19.85546875" style="76" customWidth="1"/>
    <col min="14" max="14" width="21" style="76" bestFit="1" customWidth="1"/>
    <col min="15" max="15" width="19.85546875" style="76" bestFit="1" customWidth="1"/>
    <col min="16" max="16" width="19.85546875" style="76" customWidth="1"/>
    <col min="17" max="17" width="22.42578125" style="76" bestFit="1" customWidth="1"/>
    <col min="18" max="18" width="11.42578125" style="76" customWidth="1"/>
    <col min="19" max="19" width="10.42578125" style="76" customWidth="1"/>
    <col min="20" max="20" width="12.28515625" style="76" bestFit="1" customWidth="1"/>
    <col min="21" max="21" width="15.42578125" style="76" customWidth="1"/>
    <col min="22" max="22" width="18" style="76" bestFit="1" customWidth="1"/>
    <col min="23" max="23" width="18.28515625" style="76" bestFit="1" customWidth="1"/>
    <col min="24" max="24" width="17.42578125" style="76" bestFit="1" customWidth="1"/>
    <col min="25" max="30" width="11.42578125" style="76"/>
    <col min="31" max="31" width="13" style="76" bestFit="1" customWidth="1"/>
    <col min="32" max="16384" width="11.42578125" style="76"/>
  </cols>
  <sheetData>
    <row r="1" spans="1:24">
      <c r="B1" s="223" t="s">
        <v>300</v>
      </c>
      <c r="C1" s="80"/>
      <c r="D1" s="80"/>
      <c r="E1" s="80"/>
      <c r="F1" s="80"/>
      <c r="G1" s="80"/>
      <c r="H1" s="526"/>
      <c r="I1" s="526"/>
      <c r="J1" s="80"/>
      <c r="T1" s="90" t="s">
        <v>301</v>
      </c>
    </row>
    <row r="2" spans="1:24" ht="13.5" thickBot="1">
      <c r="B2" s="86" t="s">
        <v>302</v>
      </c>
      <c r="C2" s="224" t="s">
        <v>303</v>
      </c>
      <c r="D2" s="80"/>
      <c r="E2" s="80"/>
      <c r="F2" s="80"/>
      <c r="G2" s="80"/>
      <c r="H2" s="526"/>
      <c r="I2" s="526"/>
      <c r="J2" s="80"/>
      <c r="T2" s="90" t="s">
        <v>22</v>
      </c>
    </row>
    <row r="3" spans="1:24" ht="21" thickBot="1">
      <c r="B3" s="1062" t="s">
        <v>304</v>
      </c>
      <c r="C3" s="1062"/>
      <c r="D3" s="1062"/>
      <c r="E3" s="1062"/>
      <c r="F3" s="1062"/>
      <c r="G3" s="1062"/>
      <c r="H3" s="1062"/>
      <c r="I3" s="1062"/>
      <c r="J3" s="1062"/>
      <c r="K3" s="1063" t="s">
        <v>305</v>
      </c>
      <c r="L3" s="1063"/>
      <c r="M3" s="1063"/>
      <c r="N3" s="1063"/>
      <c r="O3" s="1063"/>
      <c r="P3" s="1063"/>
      <c r="Q3" s="1063"/>
    </row>
    <row r="4" spans="1:24" ht="32.25" thickBot="1">
      <c r="B4" s="214" t="s">
        <v>306</v>
      </c>
      <c r="C4" s="246" t="s">
        <v>307</v>
      </c>
      <c r="D4" s="246" t="s">
        <v>308</v>
      </c>
      <c r="E4" s="246" t="s">
        <v>309</v>
      </c>
      <c r="F4" s="246" t="s">
        <v>310</v>
      </c>
      <c r="G4" s="246" t="s">
        <v>311</v>
      </c>
      <c r="H4" s="215" t="s">
        <v>312</v>
      </c>
      <c r="I4" s="215" t="s">
        <v>313</v>
      </c>
      <c r="J4" s="216" t="s">
        <v>314</v>
      </c>
      <c r="K4" s="214" t="s">
        <v>306</v>
      </c>
      <c r="L4" s="249" t="e" vm="1">
        <f>Peers!C7</f>
        <v>#VALUE!</v>
      </c>
      <c r="M4" s="249" t="e" vm="3">
        <f>Peers!D7</f>
        <v>#VALUE!</v>
      </c>
      <c r="N4" s="249" t="e" vm="4">
        <f>Peers!E7</f>
        <v>#VALUE!</v>
      </c>
      <c r="O4" s="249" t="e" vm="5">
        <f>Peers!F7</f>
        <v>#VALUE!</v>
      </c>
      <c r="P4" s="249" t="e" vm="6">
        <f>Peers!G7</f>
        <v>#VALUE!</v>
      </c>
      <c r="Q4" s="249" t="e">
        <f>Peers!#REF!</f>
        <v>#REF!</v>
      </c>
      <c r="R4" s="691" t="s">
        <v>237</v>
      </c>
    </row>
    <row r="5" spans="1:24" ht="15.75" thickBot="1">
      <c r="B5" s="225" t="s">
        <v>315</v>
      </c>
      <c r="C5" s="226"/>
      <c r="D5" s="227"/>
      <c r="E5" s="227"/>
      <c r="F5" s="227"/>
      <c r="G5" s="227"/>
      <c r="H5" s="527"/>
      <c r="I5" s="527"/>
      <c r="J5" s="228"/>
      <c r="K5" s="225" t="s">
        <v>316</v>
      </c>
      <c r="L5" s="227"/>
      <c r="M5" s="227"/>
      <c r="N5" s="227"/>
      <c r="O5" s="227"/>
      <c r="P5" s="228"/>
      <c r="Q5" s="228"/>
      <c r="R5" s="228"/>
    </row>
    <row r="6" spans="1:24" ht="18.75" thickBot="1">
      <c r="A6" s="76">
        <v>1</v>
      </c>
      <c r="B6" s="219" t="s">
        <v>317</v>
      </c>
      <c r="C6" s="217" t="str">
        <f>VLOOKUP($B$2,'Sector Impact'!$K$4:$AA$16,A6+1,FALSE)</f>
        <v>Low</v>
      </c>
      <c r="D6" s="217"/>
      <c r="E6" s="217"/>
      <c r="F6" s="229"/>
      <c r="G6" s="322"/>
      <c r="H6" s="218"/>
      <c r="I6" s="218"/>
      <c r="J6" s="218"/>
      <c r="K6" s="219" t="s">
        <v>318</v>
      </c>
      <c r="L6" s="500">
        <f>L12/L$11</f>
        <v>34.097483341266063</v>
      </c>
      <c r="M6" s="500">
        <f t="shared" ref="M6" si="0">M12/M$11</f>
        <v>75.335919491763647</v>
      </c>
      <c r="N6" s="500">
        <f>N12/N$11</f>
        <v>65.390479417245473</v>
      </c>
      <c r="O6" s="500">
        <f>O12/O$11</f>
        <v>124.4639299912141</v>
      </c>
      <c r="P6" s="500">
        <f t="shared" ref="P6:P9" si="1">P12/P$11</f>
        <v>53.408554702286196</v>
      </c>
      <c r="Q6" s="500">
        <v>0</v>
      </c>
      <c r="R6" s="588">
        <f>IFERROR(AVERAGE(L6:P6),"")</f>
        <v>70.539273388755106</v>
      </c>
    </row>
    <row r="7" spans="1:24" s="80" customFormat="1" ht="18.75" thickBot="1">
      <c r="A7" s="80">
        <v>2</v>
      </c>
      <c r="B7" s="219" t="s">
        <v>319</v>
      </c>
      <c r="C7" s="217" t="str">
        <f>VLOOKUP($B$2,'Sector Impact'!$K$4:$AA$16,A7+1,FALSE)</f>
        <v>Low</v>
      </c>
      <c r="D7" s="217"/>
      <c r="E7" s="217"/>
      <c r="F7" s="229"/>
      <c r="G7" s="322"/>
      <c r="H7" s="218"/>
      <c r="I7" s="218"/>
      <c r="J7" s="218"/>
      <c r="K7" s="219" t="s">
        <v>320</v>
      </c>
      <c r="L7" s="500" t="e">
        <f t="shared" ref="L7:O9" si="2">L13/L$11</f>
        <v>#VALUE!</v>
      </c>
      <c r="M7" s="500">
        <f t="shared" si="2"/>
        <v>340.50711193568338</v>
      </c>
      <c r="N7" s="500" t="e">
        <f t="shared" si="2"/>
        <v>#VALUE!</v>
      </c>
      <c r="O7" s="500" t="e">
        <f t="shared" si="2"/>
        <v>#VALUE!</v>
      </c>
      <c r="P7" s="500">
        <f>P13/P$11</f>
        <v>13.870668332875299</v>
      </c>
      <c r="Q7" s="500">
        <v>0</v>
      </c>
      <c r="R7" s="589" t="str">
        <f>IFERROR(AVERAGE(L7:P7),"")</f>
        <v/>
      </c>
    </row>
    <row r="8" spans="1:24" ht="18.75" thickBot="1">
      <c r="A8" s="76">
        <v>3</v>
      </c>
      <c r="B8" s="219" t="s">
        <v>321</v>
      </c>
      <c r="C8" s="217" t="str">
        <f>VLOOKUP($B$2,'Sector Impact'!$K$4:$AA$16,A8+1,FALSE)</f>
        <v>Medium</v>
      </c>
      <c r="D8" s="217" t="s">
        <v>301</v>
      </c>
      <c r="E8" s="217" t="s">
        <v>322</v>
      </c>
      <c r="F8" s="229" t="s">
        <v>301</v>
      </c>
      <c r="G8" s="322"/>
      <c r="H8" s="218"/>
      <c r="I8" s="218"/>
      <c r="J8" s="218"/>
      <c r="K8" s="219" t="s">
        <v>323</v>
      </c>
      <c r="L8" s="500" t="e">
        <f t="shared" si="2"/>
        <v>#VALUE!</v>
      </c>
      <c r="M8" s="500" t="e">
        <f t="shared" si="2"/>
        <v>#VALUE!</v>
      </c>
      <c r="N8" s="500" t="e">
        <f t="shared" si="2"/>
        <v>#VALUE!</v>
      </c>
      <c r="O8" s="500" t="e">
        <f t="shared" si="2"/>
        <v>#VALUE!</v>
      </c>
      <c r="P8" s="500" t="e">
        <f t="shared" si="1"/>
        <v>#VALUE!</v>
      </c>
      <c r="Q8" s="500">
        <v>0</v>
      </c>
      <c r="R8" s="589" t="str">
        <f>IFERROR(AVERAGE(L8:P8),"")</f>
        <v/>
      </c>
    </row>
    <row r="9" spans="1:24" ht="18.75" thickBot="1">
      <c r="A9" s="76">
        <v>4</v>
      </c>
      <c r="B9" s="219" t="s">
        <v>324</v>
      </c>
      <c r="C9" s="217" t="str">
        <f>VLOOKUP($B$2,'Sector Impact'!$K$4:$AA$16,A9+1,FALSE)</f>
        <v>Low</v>
      </c>
      <c r="D9" s="217"/>
      <c r="E9" s="217"/>
      <c r="F9" s="229"/>
      <c r="G9" s="319"/>
      <c r="H9" s="218"/>
      <c r="I9" s="218"/>
      <c r="J9" s="220"/>
      <c r="K9" s="219" t="s">
        <v>325</v>
      </c>
      <c r="L9" s="500" t="e">
        <f t="shared" si="2"/>
        <v>#VALUE!</v>
      </c>
      <c r="M9" s="500">
        <f t="shared" si="2"/>
        <v>1.7091133974250858</v>
      </c>
      <c r="N9" s="500" t="e">
        <f t="shared" si="2"/>
        <v>#VALUE!</v>
      </c>
      <c r="O9" s="500">
        <f t="shared" si="2"/>
        <v>0.55846968866619695</v>
      </c>
      <c r="P9" s="500">
        <f t="shared" si="1"/>
        <v>0.13608810855936906</v>
      </c>
      <c r="Q9" s="500">
        <v>0</v>
      </c>
      <c r="R9" s="589" t="str">
        <f>IFERROR(AVERAGE(L9:P9),"")</f>
        <v/>
      </c>
    </row>
    <row r="10" spans="1:24" ht="15.75" thickBot="1">
      <c r="A10" s="76">
        <v>5</v>
      </c>
      <c r="B10" s="219" t="s">
        <v>326</v>
      </c>
      <c r="C10" s="217" t="str">
        <f>VLOOKUP($B$2,'Sector Impact'!$K$4:$AA$16,A10+1,FALSE)</f>
        <v>Low</v>
      </c>
      <c r="D10" s="217"/>
      <c r="E10" s="217"/>
      <c r="F10" s="229"/>
      <c r="G10" s="319"/>
      <c r="H10" s="218"/>
      <c r="I10" s="218"/>
      <c r="J10" s="220"/>
      <c r="K10" s="225" t="s">
        <v>327</v>
      </c>
      <c r="L10" s="227"/>
      <c r="M10" s="227"/>
      <c r="N10" s="227"/>
      <c r="O10" s="227"/>
      <c r="P10" s="227"/>
      <c r="Q10" s="228"/>
      <c r="S10"/>
      <c r="V10" s="80"/>
      <c r="W10" s="80"/>
      <c r="X10" s="80"/>
    </row>
    <row r="11" spans="1:24" ht="15.75" thickBot="1">
      <c r="B11" s="225" t="s">
        <v>328</v>
      </c>
      <c r="C11" s="222"/>
      <c r="D11" s="222"/>
      <c r="E11" s="231"/>
      <c r="F11" s="231"/>
      <c r="G11" s="232"/>
      <c r="H11" s="528"/>
      <c r="I11" s="528"/>
      <c r="J11" s="233"/>
      <c r="K11" s="219" t="s">
        <v>329</v>
      </c>
      <c r="L11" s="817">
        <v>33616</v>
      </c>
      <c r="M11" s="817">
        <v>88935</v>
      </c>
      <c r="N11" s="817">
        <v>41321</v>
      </c>
      <c r="O11" s="817">
        <v>574785</v>
      </c>
      <c r="P11" s="817">
        <v>385706</v>
      </c>
      <c r="Q11" s="501"/>
      <c r="S11"/>
    </row>
    <row r="12" spans="1:24" ht="26.25" thickBot="1">
      <c r="A12" s="76">
        <v>6</v>
      </c>
      <c r="B12" s="219" t="s">
        <v>330</v>
      </c>
      <c r="C12" s="217" t="str">
        <f>VLOOKUP($B$2,'Sector Impact'!$K$4:$AA$16,A12+1,FALSE)</f>
        <v>Medium</v>
      </c>
      <c r="D12" s="217" t="s">
        <v>22</v>
      </c>
      <c r="E12" s="217" t="s">
        <v>331</v>
      </c>
      <c r="F12" s="229" t="s">
        <v>22</v>
      </c>
      <c r="G12" s="324"/>
      <c r="H12" s="218"/>
      <c r="I12" s="218"/>
      <c r="J12" s="234" t="s">
        <v>332</v>
      </c>
      <c r="K12" s="219" t="s">
        <v>333</v>
      </c>
      <c r="L12" s="798">
        <v>1146221</v>
      </c>
      <c r="M12" s="798">
        <v>6700000</v>
      </c>
      <c r="N12" s="798">
        <v>2702000</v>
      </c>
      <c r="O12" s="798">
        <v>71540000</v>
      </c>
      <c r="P12" s="798">
        <v>20600000</v>
      </c>
      <c r="Q12" s="248"/>
      <c r="S12"/>
    </row>
    <row r="13" spans="1:24" ht="26.25" thickBot="1">
      <c r="A13" s="76">
        <v>7</v>
      </c>
      <c r="B13" s="219" t="s">
        <v>334</v>
      </c>
      <c r="C13" s="217" t="str">
        <f>VLOOKUP($B$2,'Sector Impact'!$K$4:$AA$16,A13+1,FALSE)</f>
        <v>Medium</v>
      </c>
      <c r="D13" s="217" t="s">
        <v>22</v>
      </c>
      <c r="E13" s="217" t="s">
        <v>335</v>
      </c>
      <c r="F13" s="235" t="s">
        <v>22</v>
      </c>
      <c r="G13" s="325"/>
      <c r="H13" s="218"/>
      <c r="I13" s="218"/>
      <c r="J13" s="236" t="s">
        <v>336</v>
      </c>
      <c r="K13" s="219" t="s">
        <v>337</v>
      </c>
      <c r="L13" s="798" t="s">
        <v>338</v>
      </c>
      <c r="M13" s="818">
        <v>30283000</v>
      </c>
      <c r="N13" s="798" t="s">
        <v>339</v>
      </c>
      <c r="O13" s="798" t="s">
        <v>338</v>
      </c>
      <c r="P13" s="798">
        <v>5350000</v>
      </c>
      <c r="Q13" s="248"/>
      <c r="S13"/>
    </row>
    <row r="14" spans="1:24">
      <c r="A14" s="76">
        <v>8</v>
      </c>
      <c r="B14" s="237" t="s">
        <v>340</v>
      </c>
      <c r="C14" s="217" t="str">
        <f>VLOOKUP($B$2,'Sector Impact'!$K$4:$AA$16,A14+1,FALSE)</f>
        <v>Low</v>
      </c>
      <c r="D14" s="217"/>
      <c r="E14" s="217"/>
      <c r="F14" s="229"/>
      <c r="G14" s="547"/>
      <c r="H14" s="218"/>
      <c r="I14" s="218"/>
      <c r="J14" s="236"/>
      <c r="K14" s="219" t="s">
        <v>341</v>
      </c>
      <c r="L14" s="798" t="s">
        <v>338</v>
      </c>
      <c r="M14" s="798" t="s">
        <v>338</v>
      </c>
      <c r="N14" s="798" t="s">
        <v>338</v>
      </c>
      <c r="O14" s="798" t="s">
        <v>338</v>
      </c>
      <c r="P14" s="798" t="s">
        <v>338</v>
      </c>
      <c r="Q14" s="248"/>
      <c r="S14"/>
    </row>
    <row r="15" spans="1:24">
      <c r="A15" s="76">
        <v>9</v>
      </c>
      <c r="B15" s="237" t="s">
        <v>342</v>
      </c>
      <c r="C15" s="217" t="str">
        <f>VLOOKUP($B$2,'Sector Impact'!$K$4:$AA$16,A15+1,FALSE)</f>
        <v>Low</v>
      </c>
      <c r="D15" s="217"/>
      <c r="E15" s="217"/>
      <c r="F15" s="229" t="s">
        <v>301</v>
      </c>
      <c r="G15" s="230"/>
      <c r="H15" s="529"/>
      <c r="I15" s="529"/>
      <c r="J15" s="236"/>
      <c r="K15" s="219" t="s">
        <v>343</v>
      </c>
      <c r="L15" s="798" t="s">
        <v>338</v>
      </c>
      <c r="M15" s="798">
        <v>152000</v>
      </c>
      <c r="N15" s="798" t="s">
        <v>338</v>
      </c>
      <c r="O15" s="798">
        <v>321000</v>
      </c>
      <c r="P15" s="798">
        <v>52490</v>
      </c>
      <c r="Q15" s="248"/>
      <c r="S15"/>
    </row>
    <row r="16" spans="1:24" ht="42" customHeight="1" thickBot="1">
      <c r="A16" s="76">
        <v>10</v>
      </c>
      <c r="B16" s="219" t="s">
        <v>344</v>
      </c>
      <c r="C16" s="217" t="str">
        <f>VLOOKUP($B$2,'Sector Impact'!$K$4:$AA$16,A16+1,FALSE)</f>
        <v>High</v>
      </c>
      <c r="D16" s="217" t="s">
        <v>301</v>
      </c>
      <c r="E16" s="217" t="s">
        <v>335</v>
      </c>
      <c r="F16" s="229" t="s">
        <v>301</v>
      </c>
      <c r="G16" s="548"/>
      <c r="H16" s="218"/>
      <c r="I16" s="530" t="s">
        <v>345</v>
      </c>
      <c r="J16" s="236" t="s">
        <v>346</v>
      </c>
      <c r="K16" s="225" t="s">
        <v>347</v>
      </c>
      <c r="L16" s="227"/>
      <c r="M16" s="227"/>
      <c r="N16" s="227"/>
      <c r="O16" s="227"/>
      <c r="P16" s="228"/>
      <c r="Q16" s="228"/>
      <c r="S16"/>
    </row>
    <row r="17" spans="1:19" ht="13.5" thickBot="1">
      <c r="A17" s="76">
        <v>11</v>
      </c>
      <c r="B17" s="219" t="s">
        <v>348</v>
      </c>
      <c r="C17" s="217" t="str">
        <f>VLOOKUP($B$2,'Sector Impact'!$K$4:$AA$16,A17+1,FALSE)</f>
        <v>Low</v>
      </c>
      <c r="D17" s="238"/>
      <c r="E17" s="238"/>
      <c r="F17" s="238"/>
      <c r="G17" s="319"/>
      <c r="H17" s="218"/>
      <c r="I17" s="530" t="s">
        <v>345</v>
      </c>
      <c r="J17" s="236"/>
      <c r="K17" s="219" t="s">
        <v>349</v>
      </c>
      <c r="L17" s="797">
        <v>40</v>
      </c>
      <c r="M17" s="797">
        <v>68</v>
      </c>
      <c r="N17" s="797">
        <v>60</v>
      </c>
      <c r="O17" s="797">
        <v>78</v>
      </c>
      <c r="P17" s="797">
        <v>80</v>
      </c>
      <c r="Q17" s="247"/>
      <c r="S17"/>
    </row>
    <row r="18" spans="1:19" ht="13.5" thickBot="1">
      <c r="A18" s="76">
        <v>12</v>
      </c>
      <c r="B18" s="219" t="s">
        <v>350</v>
      </c>
      <c r="C18" s="217" t="str">
        <f>VLOOKUP($B$2,'Sector Impact'!$K$4:$AA$16,A18+1,FALSE)</f>
        <v>Low</v>
      </c>
      <c r="D18" s="217"/>
      <c r="E18" s="217"/>
      <c r="F18" s="229"/>
      <c r="G18" s="230"/>
      <c r="H18" s="529"/>
      <c r="I18" s="529"/>
      <c r="J18" s="239"/>
      <c r="K18" s="219" t="s">
        <v>351</v>
      </c>
      <c r="L18" s="797" t="s">
        <v>352</v>
      </c>
      <c r="M18" s="797" t="s">
        <v>353</v>
      </c>
      <c r="N18" s="797" t="s">
        <v>354</v>
      </c>
      <c r="O18" s="797" t="s">
        <v>355</v>
      </c>
      <c r="P18" s="797" t="s">
        <v>356</v>
      </c>
      <c r="Q18" s="247"/>
    </row>
    <row r="19" spans="1:19" ht="13.5" thickBot="1">
      <c r="A19" s="76">
        <v>13</v>
      </c>
      <c r="B19" s="219" t="s">
        <v>357</v>
      </c>
      <c r="C19" s="217" t="str">
        <f>VLOOKUP($B$2,'Sector Impact'!$K$4:$AA$16,A19+1,FALSE)</f>
        <v>Low</v>
      </c>
      <c r="D19" s="217"/>
      <c r="E19" s="217"/>
      <c r="F19" s="229"/>
      <c r="G19" s="323"/>
      <c r="H19" s="218"/>
      <c r="I19" s="530" t="s">
        <v>345</v>
      </c>
      <c r="J19" s="236"/>
      <c r="K19" s="219" t="s">
        <v>358</v>
      </c>
      <c r="L19" s="798" t="s">
        <v>359</v>
      </c>
      <c r="M19" s="798" t="s">
        <v>360</v>
      </c>
      <c r="N19" s="798" t="s">
        <v>361</v>
      </c>
      <c r="O19" s="798" t="s">
        <v>359</v>
      </c>
      <c r="P19" s="798" t="s">
        <v>362</v>
      </c>
      <c r="Q19" s="248"/>
    </row>
    <row r="20" spans="1:19" ht="13.5" thickBot="1">
      <c r="A20" s="76">
        <v>14</v>
      </c>
      <c r="B20" s="219" t="s">
        <v>363</v>
      </c>
      <c r="C20" s="217" t="str">
        <f>VLOOKUP($B$2,'Sector Impact'!$K$4:$AA$16,A20+1,FALSE)</f>
        <v>Low</v>
      </c>
      <c r="D20" s="217"/>
      <c r="E20" s="217"/>
      <c r="F20" s="229"/>
      <c r="G20" s="230"/>
      <c r="H20" s="529"/>
      <c r="I20" s="529"/>
      <c r="J20" s="236"/>
      <c r="K20" s="219" t="s">
        <v>364</v>
      </c>
      <c r="L20" s="797" t="s">
        <v>365</v>
      </c>
      <c r="M20" s="797" t="s">
        <v>366</v>
      </c>
      <c r="N20" s="797" t="s">
        <v>338</v>
      </c>
      <c r="O20" s="797" t="s">
        <v>362</v>
      </c>
      <c r="P20" s="797" t="s">
        <v>367</v>
      </c>
      <c r="Q20" s="247"/>
    </row>
    <row r="21" spans="1:19" ht="13.5" thickBot="1">
      <c r="A21" s="76">
        <v>15</v>
      </c>
      <c r="B21" s="219" t="s">
        <v>368</v>
      </c>
      <c r="C21" s="217" t="str">
        <f>VLOOKUP($B$2,'Sector Impact'!$K$4:$AA$16,A21+1,FALSE)</f>
        <v>Low</v>
      </c>
      <c r="D21" s="217"/>
      <c r="E21" s="217"/>
      <c r="F21" s="229"/>
      <c r="G21" s="319"/>
      <c r="H21" s="218"/>
      <c r="I21" s="530" t="s">
        <v>345</v>
      </c>
      <c r="J21" s="236"/>
    </row>
    <row r="22" spans="1:19" ht="26.25" thickBot="1">
      <c r="A22" s="76">
        <v>16</v>
      </c>
      <c r="B22" s="219" t="s">
        <v>369</v>
      </c>
      <c r="C22" s="221" t="str">
        <f>VLOOKUP($B$2,'Sector Impact'!$K$4:$AA$16,A22+1,FALSE)</f>
        <v>Medium</v>
      </c>
      <c r="D22" s="217" t="s">
        <v>22</v>
      </c>
      <c r="E22" s="217" t="s">
        <v>335</v>
      </c>
      <c r="F22" s="229" t="s">
        <v>22</v>
      </c>
      <c r="G22" s="319"/>
      <c r="H22" s="529"/>
      <c r="I22" s="529" t="s">
        <v>345</v>
      </c>
      <c r="J22" s="220" t="s">
        <v>370</v>
      </c>
    </row>
    <row r="23" spans="1:19" ht="15.75" thickBot="1">
      <c r="B23" s="225" t="s">
        <v>371</v>
      </c>
      <c r="C23" s="240"/>
      <c r="D23" s="222"/>
      <c r="E23" s="231"/>
      <c r="F23" s="231"/>
      <c r="G23" s="232"/>
      <c r="H23" s="528"/>
      <c r="I23" s="528"/>
      <c r="J23" s="233"/>
      <c r="K23" s="1065" t="s">
        <v>372</v>
      </c>
      <c r="L23" s="1066"/>
      <c r="M23" s="1067"/>
    </row>
    <row r="24" spans="1:19" ht="26.25" thickBot="1">
      <c r="A24" s="76">
        <v>17</v>
      </c>
      <c r="B24" s="219" t="s">
        <v>373</v>
      </c>
      <c r="C24" s="241"/>
      <c r="D24" s="242"/>
      <c r="E24" s="235" t="s">
        <v>322</v>
      </c>
      <c r="F24" s="235" t="s">
        <v>22</v>
      </c>
      <c r="G24" s="323"/>
      <c r="H24" s="218"/>
      <c r="I24" s="530" t="s">
        <v>345</v>
      </c>
      <c r="J24" s="243" t="s">
        <v>374</v>
      </c>
      <c r="K24" s="270" t="s">
        <v>375</v>
      </c>
      <c r="L24" s="77" t="s">
        <v>376</v>
      </c>
      <c r="M24" s="78" t="s">
        <v>377</v>
      </c>
      <c r="O24" s="656" t="s">
        <v>240</v>
      </c>
    </row>
    <row r="25" spans="1:19" ht="15.75" customHeight="1" thickBot="1">
      <c r="A25" s="76">
        <v>18</v>
      </c>
      <c r="B25" s="219" t="s">
        <v>378</v>
      </c>
      <c r="C25" s="241"/>
      <c r="D25" s="242"/>
      <c r="E25" s="235" t="s">
        <v>335</v>
      </c>
      <c r="F25" s="235" t="s">
        <v>22</v>
      </c>
      <c r="G25" s="319"/>
      <c r="H25" s="218"/>
      <c r="I25" s="530" t="s">
        <v>345</v>
      </c>
      <c r="J25" s="236" t="s">
        <v>379</v>
      </c>
      <c r="K25" s="208" t="s">
        <v>380</v>
      </c>
      <c r="L25" s="209" t="s">
        <v>331</v>
      </c>
      <c r="M25" s="1068" t="s">
        <v>381</v>
      </c>
      <c r="O25" s="657"/>
    </row>
    <row r="26" spans="1:19" ht="15.75" customHeight="1" thickBot="1">
      <c r="A26" s="76">
        <v>19</v>
      </c>
      <c r="B26" s="219" t="s">
        <v>382</v>
      </c>
      <c r="C26" s="241"/>
      <c r="D26" s="242"/>
      <c r="E26" s="235" t="s">
        <v>322</v>
      </c>
      <c r="F26" s="791" t="s">
        <v>22</v>
      </c>
      <c r="G26" s="319"/>
      <c r="H26" s="218"/>
      <c r="I26" s="530" t="s">
        <v>345</v>
      </c>
      <c r="J26" s="243" t="s">
        <v>383</v>
      </c>
      <c r="K26" s="208" t="s">
        <v>322</v>
      </c>
      <c r="L26" s="209" t="s">
        <v>335</v>
      </c>
      <c r="M26" s="1069"/>
      <c r="O26" s="658"/>
    </row>
    <row r="27" spans="1:19" ht="13.5" thickBot="1">
      <c r="A27" s="76">
        <v>20</v>
      </c>
      <c r="B27" s="219" t="s">
        <v>384</v>
      </c>
      <c r="C27" s="241"/>
      <c r="D27" s="242"/>
      <c r="E27" s="235" t="s">
        <v>335</v>
      </c>
      <c r="F27" s="792" t="s">
        <v>22</v>
      </c>
      <c r="G27" s="319"/>
      <c r="H27" s="218"/>
      <c r="I27" s="530" t="s">
        <v>345</v>
      </c>
      <c r="J27" s="236"/>
      <c r="K27" s="210" t="s">
        <v>385</v>
      </c>
      <c r="L27" s="211" t="s">
        <v>322</v>
      </c>
      <c r="M27" s="1069"/>
      <c r="O27" s="659"/>
    </row>
    <row r="28" spans="1:19" ht="13.5" thickBot="1">
      <c r="A28" s="76">
        <v>21</v>
      </c>
      <c r="B28" s="219" t="s">
        <v>386</v>
      </c>
      <c r="C28" s="241"/>
      <c r="D28" s="242"/>
      <c r="E28" s="235" t="s">
        <v>331</v>
      </c>
      <c r="F28" s="235" t="s">
        <v>22</v>
      </c>
      <c r="G28" s="323"/>
      <c r="H28" s="218"/>
      <c r="I28" s="530" t="s">
        <v>345</v>
      </c>
      <c r="J28" s="804" t="s">
        <v>387</v>
      </c>
      <c r="K28" s="212" t="s">
        <v>388</v>
      </c>
      <c r="L28" s="213" t="s">
        <v>389</v>
      </c>
      <c r="M28" s="1070"/>
    </row>
    <row r="29" spans="1:19" ht="13.5" thickBot="1">
      <c r="A29" s="76">
        <v>22</v>
      </c>
      <c r="B29" s="219" t="s">
        <v>390</v>
      </c>
      <c r="C29" s="241"/>
      <c r="D29" s="242"/>
      <c r="E29" s="235" t="s">
        <v>335</v>
      </c>
      <c r="F29" s="235" t="s">
        <v>22</v>
      </c>
      <c r="G29" s="323"/>
      <c r="H29" s="218"/>
      <c r="I29" s="530" t="s">
        <v>345</v>
      </c>
      <c r="J29" s="236"/>
    </row>
    <row r="30" spans="1:19" ht="26.1" customHeight="1" thickBot="1">
      <c r="A30" s="76">
        <v>23</v>
      </c>
      <c r="B30" s="219" t="s">
        <v>391</v>
      </c>
      <c r="C30" s="241"/>
      <c r="D30" s="242"/>
      <c r="E30" s="235" t="s">
        <v>331</v>
      </c>
      <c r="F30" s="235" t="s">
        <v>22</v>
      </c>
      <c r="G30" s="323"/>
      <c r="H30" s="218"/>
      <c r="I30" s="530" t="s">
        <v>345</v>
      </c>
      <c r="J30" s="243" t="s">
        <v>392</v>
      </c>
    </row>
    <row r="31" spans="1:19" ht="20.25" customHeight="1" thickBot="1">
      <c r="A31" s="76">
        <v>24</v>
      </c>
      <c r="B31" s="244" t="s">
        <v>393</v>
      </c>
      <c r="C31" s="241"/>
      <c r="D31" s="242"/>
      <c r="E31" s="235" t="s">
        <v>322</v>
      </c>
      <c r="F31" s="235" t="s">
        <v>22</v>
      </c>
      <c r="G31" s="323"/>
      <c r="H31" s="218"/>
      <c r="I31" s="530" t="s">
        <v>345</v>
      </c>
      <c r="J31" s="234" t="s">
        <v>394</v>
      </c>
      <c r="L31" s="621"/>
    </row>
    <row r="32" spans="1:19" ht="13.5" customHeight="1" thickBot="1">
      <c r="A32" s="76">
        <v>25</v>
      </c>
      <c r="B32" s="219" t="s">
        <v>395</v>
      </c>
      <c r="C32" s="241"/>
      <c r="D32" s="235" t="s">
        <v>301</v>
      </c>
      <c r="E32" s="235" t="s">
        <v>322</v>
      </c>
      <c r="F32" s="235" t="s">
        <v>22</v>
      </c>
      <c r="G32" s="323"/>
      <c r="H32" s="218"/>
      <c r="I32" s="530" t="s">
        <v>345</v>
      </c>
      <c r="J32" s="236" t="s">
        <v>396</v>
      </c>
      <c r="L32" s="622"/>
    </row>
    <row r="33" spans="1:27" ht="13.5" customHeight="1" thickBot="1">
      <c r="A33" s="76">
        <v>26</v>
      </c>
      <c r="B33" s="219" t="s">
        <v>397</v>
      </c>
      <c r="C33" s="241"/>
      <c r="D33" s="235" t="s">
        <v>22</v>
      </c>
      <c r="E33" s="235" t="s">
        <v>322</v>
      </c>
      <c r="F33" s="235" t="s">
        <v>22</v>
      </c>
      <c r="H33" s="218"/>
      <c r="I33" s="530" t="s">
        <v>345</v>
      </c>
      <c r="J33" s="236"/>
      <c r="L33" s="320"/>
      <c r="N33" s="320"/>
    </row>
    <row r="34" spans="1:27" ht="33" customHeight="1" thickBot="1">
      <c r="A34" s="76">
        <v>27</v>
      </c>
      <c r="B34" s="219" t="s">
        <v>398</v>
      </c>
      <c r="C34" s="241"/>
      <c r="D34" s="245" t="s">
        <v>22</v>
      </c>
      <c r="E34" s="235" t="s">
        <v>322</v>
      </c>
      <c r="F34" s="235" t="s">
        <v>22</v>
      </c>
      <c r="G34" s="323"/>
      <c r="H34" s="218"/>
      <c r="I34" s="530" t="s">
        <v>345</v>
      </c>
      <c r="J34" s="236" t="s">
        <v>399</v>
      </c>
      <c r="L34" s="321"/>
      <c r="N34" s="321"/>
    </row>
    <row r="35" spans="1:27">
      <c r="B35" s="83"/>
      <c r="C35" s="83"/>
      <c r="D35" s="83"/>
      <c r="E35" s="83"/>
      <c r="G35" s="83"/>
      <c r="H35" s="531"/>
      <c r="I35" s="531"/>
      <c r="J35" s="83"/>
      <c r="T35" s="84"/>
    </row>
    <row r="36" spans="1:27" ht="18">
      <c r="B36" s="85"/>
      <c r="F36" s="83"/>
      <c r="T36" s="84"/>
    </row>
    <row r="37" spans="1:27">
      <c r="K37"/>
      <c r="T37" s="84"/>
    </row>
    <row r="38" spans="1:27">
      <c r="C38"/>
      <c r="D38"/>
      <c r="E38"/>
      <c r="G38"/>
      <c r="H38" s="533"/>
      <c r="I38" s="533"/>
      <c r="J38"/>
      <c r="K38"/>
      <c r="L38"/>
      <c r="M38"/>
      <c r="N38"/>
      <c r="O38"/>
      <c r="P38"/>
      <c r="Q38"/>
      <c r="R38"/>
      <c r="S38"/>
      <c r="T38"/>
      <c r="U38"/>
      <c r="V38"/>
      <c r="W38"/>
      <c r="X38"/>
      <c r="Y38"/>
      <c r="Z38"/>
      <c r="AA38"/>
    </row>
    <row r="39" spans="1:27">
      <c r="C39"/>
      <c r="D39"/>
      <c r="E39"/>
      <c r="F39"/>
      <c r="G39"/>
      <c r="H39" s="533"/>
      <c r="I39" s="533"/>
      <c r="J39"/>
      <c r="M39"/>
      <c r="N39"/>
      <c r="O39"/>
      <c r="P39"/>
      <c r="Q39"/>
      <c r="R39"/>
      <c r="S39"/>
      <c r="T39"/>
      <c r="U39"/>
      <c r="V39"/>
      <c r="W39"/>
      <c r="X39"/>
      <c r="Y39"/>
      <c r="Z39"/>
      <c r="AA39"/>
    </row>
    <row r="40" spans="1:27">
      <c r="F40"/>
    </row>
    <row r="49" spans="2:19">
      <c r="B49" s="76" t="s">
        <v>154</v>
      </c>
    </row>
    <row r="54" spans="2:19">
      <c r="N54" s="1064"/>
      <c r="O54" s="1064"/>
      <c r="P54" s="1064"/>
      <c r="Q54" s="1064"/>
      <c r="R54" s="1064"/>
      <c r="S54" s="1064"/>
    </row>
    <row r="55" spans="2:19">
      <c r="O55" s="535"/>
      <c r="P55" s="535"/>
      <c r="Q55" s="535"/>
      <c r="R55" s="535"/>
      <c r="S55" s="535"/>
    </row>
    <row r="56" spans="2:19">
      <c r="N56" s="536"/>
      <c r="O56" s="536"/>
      <c r="P56" s="536"/>
      <c r="Q56" s="536"/>
      <c r="R56" s="536"/>
      <c r="S56" s="536"/>
    </row>
    <row r="57" spans="2:19">
      <c r="N57" s="536"/>
      <c r="O57" s="536"/>
      <c r="P57" s="536"/>
      <c r="Q57" s="536"/>
      <c r="R57" s="536"/>
      <c r="S57" s="536"/>
    </row>
    <row r="58" spans="2:19">
      <c r="N58" s="536"/>
      <c r="O58" s="536"/>
      <c r="P58" s="536"/>
      <c r="Q58" s="536"/>
      <c r="R58" s="536"/>
      <c r="S58" s="536"/>
    </row>
    <row r="59" spans="2:19">
      <c r="N59" s="536"/>
      <c r="O59" s="536"/>
      <c r="P59" s="536"/>
      <c r="Q59" s="536"/>
      <c r="R59" s="536"/>
      <c r="S59" s="536"/>
    </row>
    <row r="60" spans="2:19">
      <c r="N60" s="536"/>
      <c r="O60" s="536"/>
      <c r="P60" s="536"/>
      <c r="Q60" s="536"/>
      <c r="R60" s="536"/>
      <c r="S60" s="536"/>
    </row>
    <row r="61" spans="2:19">
      <c r="N61" s="536"/>
      <c r="O61" s="536"/>
      <c r="P61" s="536"/>
      <c r="Q61" s="536"/>
      <c r="R61" s="536"/>
      <c r="S61" s="536"/>
    </row>
    <row r="62" spans="2:19">
      <c r="N62" s="536"/>
      <c r="O62" s="536"/>
      <c r="P62" s="536"/>
      <c r="Q62" s="536"/>
      <c r="R62" s="536"/>
      <c r="S62" s="536"/>
    </row>
    <row r="63" spans="2:19">
      <c r="N63" s="536"/>
      <c r="O63" s="536"/>
      <c r="P63" s="536"/>
      <c r="Q63" s="536"/>
      <c r="R63" s="536"/>
      <c r="S63" s="536"/>
    </row>
    <row r="64" spans="2:19">
      <c r="N64" s="536"/>
      <c r="O64" s="536"/>
      <c r="P64" s="536"/>
      <c r="Q64" s="536"/>
      <c r="R64" s="536"/>
      <c r="S64" s="536"/>
    </row>
    <row r="65" spans="14:19">
      <c r="N65" s="536"/>
      <c r="O65" s="536"/>
      <c r="P65" s="536"/>
      <c r="Q65" s="536"/>
      <c r="R65" s="536"/>
      <c r="S65" s="536"/>
    </row>
    <row r="66" spans="14:19">
      <c r="N66" s="1061"/>
      <c r="O66" s="1061"/>
      <c r="P66" s="1061"/>
      <c r="Q66" s="1061"/>
      <c r="R66" s="1061"/>
      <c r="S66" s="1061"/>
    </row>
    <row r="67" spans="14:19">
      <c r="N67" s="536"/>
      <c r="O67" s="536"/>
      <c r="P67" s="536"/>
      <c r="Q67" s="536"/>
      <c r="R67" s="536"/>
      <c r="S67" s="536"/>
    </row>
    <row r="68" spans="14:19">
      <c r="N68" s="536"/>
      <c r="O68" s="536"/>
      <c r="P68" s="536"/>
      <c r="Q68" s="536"/>
      <c r="R68" s="536"/>
      <c r="S68" s="536"/>
    </row>
    <row r="69" spans="14:19">
      <c r="N69" s="536"/>
      <c r="O69" s="536"/>
      <c r="P69" s="536"/>
      <c r="Q69" s="536"/>
      <c r="R69" s="536"/>
      <c r="S69" s="536"/>
    </row>
    <row r="70" spans="14:19">
      <c r="N70" s="536"/>
      <c r="O70" s="536"/>
      <c r="P70" s="536"/>
      <c r="Q70" s="536"/>
      <c r="R70" s="536"/>
      <c r="S70" s="536"/>
    </row>
    <row r="71" spans="14:19">
      <c r="N71" s="536"/>
      <c r="O71" s="536"/>
      <c r="P71" s="536"/>
      <c r="Q71" s="536"/>
      <c r="R71" s="536"/>
      <c r="S71" s="536"/>
    </row>
    <row r="72" spans="14:19">
      <c r="N72" s="536"/>
      <c r="O72" s="536"/>
      <c r="P72" s="536"/>
      <c r="Q72" s="536"/>
      <c r="R72" s="536"/>
      <c r="S72" s="536"/>
    </row>
    <row r="73" spans="14:19">
      <c r="N73" s="536"/>
      <c r="O73" s="536"/>
      <c r="P73" s="536"/>
      <c r="Q73" s="536"/>
      <c r="R73" s="536"/>
      <c r="S73" s="536"/>
    </row>
    <row r="74" spans="14:19">
      <c r="N74" s="537"/>
      <c r="O74" s="536"/>
      <c r="P74" s="536"/>
      <c r="Q74" s="536"/>
      <c r="R74" s="536"/>
      <c r="S74" s="536"/>
    </row>
    <row r="75" spans="14:19">
      <c r="N75" s="537"/>
      <c r="O75" s="536"/>
      <c r="P75" s="536"/>
      <c r="Q75" s="536"/>
      <c r="R75" s="536"/>
      <c r="S75" s="536"/>
    </row>
    <row r="76" spans="14:19">
      <c r="N76" s="537"/>
      <c r="O76" s="536"/>
      <c r="P76" s="536"/>
      <c r="Q76" s="536"/>
      <c r="R76" s="536"/>
      <c r="S76" s="536"/>
    </row>
    <row r="77" spans="14:19">
      <c r="N77" s="536"/>
      <c r="O77" s="536"/>
      <c r="P77" s="536"/>
      <c r="Q77" s="536"/>
      <c r="R77" s="536"/>
      <c r="S77" s="536"/>
    </row>
    <row r="78" spans="14:19">
      <c r="N78" s="1061"/>
      <c r="O78" s="1061"/>
      <c r="P78" s="1061"/>
      <c r="Q78" s="1061"/>
      <c r="R78" s="1061"/>
      <c r="S78" s="1061"/>
    </row>
    <row r="79" spans="14:19">
      <c r="N79" s="536"/>
      <c r="O79" s="536"/>
      <c r="P79" s="536"/>
      <c r="Q79" s="536"/>
      <c r="R79" s="536"/>
      <c r="S79" s="536"/>
    </row>
    <row r="80" spans="14:19">
      <c r="N80" s="536"/>
      <c r="O80" s="536"/>
      <c r="P80" s="536"/>
      <c r="Q80" s="536"/>
      <c r="R80" s="536"/>
      <c r="S80" s="536"/>
    </row>
    <row r="81" spans="14:19">
      <c r="N81" s="536"/>
      <c r="O81" s="536"/>
      <c r="P81" s="536"/>
      <c r="Q81" s="536"/>
      <c r="R81" s="536"/>
      <c r="S81" s="536"/>
    </row>
    <row r="82" spans="14:19">
      <c r="N82" s="536"/>
      <c r="O82" s="536"/>
      <c r="P82" s="536"/>
      <c r="Q82" s="536"/>
      <c r="R82" s="536"/>
      <c r="S82" s="536"/>
    </row>
    <row r="83" spans="14:19">
      <c r="N83" s="536"/>
      <c r="O83" s="536"/>
      <c r="P83" s="536"/>
      <c r="Q83" s="536"/>
      <c r="R83" s="536"/>
      <c r="S83" s="536"/>
    </row>
    <row r="84" spans="14:19">
      <c r="N84" s="536"/>
      <c r="O84" s="536"/>
      <c r="P84" s="536"/>
      <c r="Q84" s="536"/>
      <c r="R84" s="536"/>
      <c r="S84" s="536"/>
    </row>
    <row r="85" spans="14:19">
      <c r="N85" s="536"/>
      <c r="O85" s="536"/>
      <c r="P85" s="536"/>
      <c r="Q85" s="536"/>
      <c r="R85" s="536"/>
      <c r="S85" s="536"/>
    </row>
    <row r="86" spans="14:19">
      <c r="N86" s="537"/>
      <c r="O86" s="536"/>
      <c r="P86" s="536"/>
      <c r="Q86" s="536"/>
      <c r="R86" s="536"/>
      <c r="S86" s="536"/>
    </row>
    <row r="87" spans="14:19">
      <c r="N87" s="537"/>
      <c r="O87" s="536"/>
      <c r="P87" s="536"/>
      <c r="Q87" s="536"/>
      <c r="R87" s="536"/>
      <c r="S87" s="536"/>
    </row>
    <row r="88" spans="14:19">
      <c r="N88" s="537"/>
      <c r="O88" s="536"/>
      <c r="P88" s="536"/>
      <c r="Q88" s="536"/>
      <c r="R88" s="536"/>
      <c r="S88" s="536"/>
    </row>
    <row r="89" spans="14:19">
      <c r="N89" s="536"/>
      <c r="O89" s="536"/>
      <c r="P89" s="536"/>
      <c r="Q89" s="536"/>
      <c r="R89" s="536"/>
      <c r="S89" s="536"/>
    </row>
    <row r="90" spans="14:19">
      <c r="N90" s="1061"/>
      <c r="O90" s="1061"/>
      <c r="P90" s="1061"/>
      <c r="Q90" s="1061"/>
      <c r="R90" s="1061"/>
      <c r="S90" s="1061"/>
    </row>
    <row r="91" spans="14:19">
      <c r="N91" s="536"/>
      <c r="O91" s="536"/>
      <c r="P91" s="536"/>
      <c r="Q91" s="536"/>
      <c r="R91" s="536"/>
      <c r="S91" s="536"/>
    </row>
    <row r="92" spans="14:19">
      <c r="N92" s="537"/>
      <c r="O92" s="536"/>
      <c r="P92" s="536"/>
      <c r="Q92" s="536"/>
      <c r="R92" s="536"/>
      <c r="S92" s="536"/>
    </row>
    <row r="93" spans="14:19">
      <c r="N93" s="537"/>
      <c r="O93" s="536"/>
      <c r="P93" s="536"/>
      <c r="Q93" s="536"/>
      <c r="R93" s="536"/>
      <c r="S93" s="536"/>
    </row>
    <row r="94" spans="14:19">
      <c r="N94" s="537"/>
      <c r="O94" s="536"/>
      <c r="P94" s="536"/>
      <c r="Q94" s="536"/>
      <c r="R94" s="536"/>
      <c r="S94" s="536"/>
    </row>
    <row r="95" spans="14:19">
      <c r="N95" s="537"/>
      <c r="O95" s="536"/>
      <c r="P95" s="536"/>
      <c r="Q95" s="536"/>
      <c r="R95" s="536"/>
      <c r="S95" s="536"/>
    </row>
    <row r="96" spans="14:19">
      <c r="N96" s="537"/>
      <c r="O96" s="536"/>
      <c r="P96" s="536"/>
      <c r="Q96" s="536"/>
      <c r="R96" s="536"/>
      <c r="S96" s="536"/>
    </row>
    <row r="97" spans="14:19">
      <c r="N97" s="537"/>
      <c r="O97" s="536"/>
      <c r="P97" s="536"/>
      <c r="Q97" s="536"/>
      <c r="R97" s="536"/>
      <c r="S97" s="536"/>
    </row>
    <row r="98" spans="14:19">
      <c r="N98" s="537"/>
      <c r="O98" s="536"/>
      <c r="P98" s="536"/>
      <c r="Q98" s="536"/>
      <c r="R98" s="536"/>
      <c r="S98" s="536"/>
    </row>
    <row r="99" spans="14:19">
      <c r="N99" s="537"/>
      <c r="O99" s="536"/>
      <c r="P99" s="536"/>
      <c r="Q99" s="536"/>
      <c r="R99" s="536"/>
      <c r="S99" s="536"/>
    </row>
    <row r="100" spans="14:19">
      <c r="N100" s="537"/>
      <c r="O100" s="536"/>
      <c r="P100" s="536"/>
      <c r="Q100" s="536"/>
      <c r="R100" s="536"/>
      <c r="S100" s="536"/>
    </row>
  </sheetData>
  <mergeCells count="8">
    <mergeCell ref="N90:S90"/>
    <mergeCell ref="B3:J3"/>
    <mergeCell ref="K3:Q3"/>
    <mergeCell ref="N54:S54"/>
    <mergeCell ref="N66:S66"/>
    <mergeCell ref="N78:S78"/>
    <mergeCell ref="K23:M23"/>
    <mergeCell ref="M25:M28"/>
  </mergeCells>
  <conditionalFormatting sqref="C10:G10">
    <cfRule type="expression" dxfId="28" priority="18">
      <formula>$C$10="Low"</formula>
    </cfRule>
  </conditionalFormatting>
  <conditionalFormatting sqref="D6:F6 H6:J6">
    <cfRule type="expression" dxfId="27" priority="35">
      <formula>$C$6="Low"</formula>
    </cfRule>
  </conditionalFormatting>
  <conditionalFormatting sqref="D7:G7 J7">
    <cfRule type="expression" dxfId="26" priority="34">
      <formula>$C$7="Low"</formula>
    </cfRule>
  </conditionalFormatting>
  <conditionalFormatting sqref="D8:G8 J8">
    <cfRule type="expression" dxfId="25" priority="33">
      <formula>$C$8="Low"</formula>
    </cfRule>
  </conditionalFormatting>
  <conditionalFormatting sqref="D9:G9 J9:J10">
    <cfRule type="expression" dxfId="24" priority="32">
      <formula>$C$9="Low"</formula>
    </cfRule>
  </conditionalFormatting>
  <conditionalFormatting sqref="D12:G12 J12">
    <cfRule type="expression" dxfId="23" priority="30">
      <formula>$C$12="Low"</formula>
    </cfRule>
  </conditionalFormatting>
  <conditionalFormatting sqref="D13:G13 J13">
    <cfRule type="expression" dxfId="22" priority="29">
      <formula>$C$13="Low"</formula>
    </cfRule>
  </conditionalFormatting>
  <conditionalFormatting sqref="D14:G14 J14">
    <cfRule type="expression" dxfId="21" priority="28">
      <formula>$C$14="Low"</formula>
    </cfRule>
  </conditionalFormatting>
  <conditionalFormatting sqref="D16:G16 I16:J16 I17">
    <cfRule type="expression" dxfId="20" priority="26">
      <formula>$C$16="Low"</formula>
    </cfRule>
  </conditionalFormatting>
  <conditionalFormatting sqref="D17:G17 J17">
    <cfRule type="expression" dxfId="19" priority="25">
      <formula>$C$17="Low"</formula>
    </cfRule>
  </conditionalFormatting>
  <conditionalFormatting sqref="D19:G19 J20">
    <cfRule type="expression" dxfId="18" priority="23">
      <formula>$C$19="Low"</formula>
    </cfRule>
  </conditionalFormatting>
  <conditionalFormatting sqref="D21:G21 J21">
    <cfRule type="expression" dxfId="17" priority="21">
      <formula>$C$21="Low"</formula>
    </cfRule>
  </conditionalFormatting>
  <conditionalFormatting sqref="D15:J15">
    <cfRule type="expression" dxfId="16" priority="27">
      <formula>$C$15="Low"</formula>
    </cfRule>
  </conditionalFormatting>
  <conditionalFormatting sqref="D18:J18">
    <cfRule type="expression" dxfId="15" priority="24">
      <formula>$C$18="Low"</formula>
    </cfRule>
  </conditionalFormatting>
  <conditionalFormatting sqref="D20:J20">
    <cfRule type="expression" dxfId="14" priority="22">
      <formula>$C$20="Low"</formula>
    </cfRule>
  </conditionalFormatting>
  <conditionalFormatting sqref="D22:J22">
    <cfRule type="expression" dxfId="13" priority="20">
      <formula>$C$22="Low"</formula>
    </cfRule>
  </conditionalFormatting>
  <conditionalFormatting sqref="G6">
    <cfRule type="expression" dxfId="12" priority="16">
      <formula>$C$7="Low"</formula>
    </cfRule>
  </conditionalFormatting>
  <conditionalFormatting sqref="H16:H17">
    <cfRule type="expression" dxfId="11" priority="5">
      <formula>$C$6="Low"</formula>
    </cfRule>
  </conditionalFormatting>
  <conditionalFormatting sqref="H19">
    <cfRule type="expression" dxfId="10" priority="4">
      <formula>$C$6="Low"</formula>
    </cfRule>
  </conditionalFormatting>
  <conditionalFormatting sqref="H21">
    <cfRule type="expression" dxfId="9" priority="3">
      <formula>$C$6="Low"</formula>
    </cfRule>
  </conditionalFormatting>
  <conditionalFormatting sqref="H24:H34">
    <cfRule type="expression" dxfId="8" priority="2">
      <formula>$C$6="Low"</formula>
    </cfRule>
  </conditionalFormatting>
  <conditionalFormatting sqref="H7:I10">
    <cfRule type="expression" dxfId="7" priority="13">
      <formula>$C$6="Low"</formula>
    </cfRule>
  </conditionalFormatting>
  <conditionalFormatting sqref="H12:I14">
    <cfRule type="expression" dxfId="6" priority="6">
      <formula>$C$6="Low"</formula>
    </cfRule>
  </conditionalFormatting>
  <conditionalFormatting sqref="I19">
    <cfRule type="expression" dxfId="5" priority="9">
      <formula>$C$16="Low"</formula>
    </cfRule>
  </conditionalFormatting>
  <conditionalFormatting sqref="I21">
    <cfRule type="expression" dxfId="4" priority="8">
      <formula>$C$16="Low"</formula>
    </cfRule>
  </conditionalFormatting>
  <conditionalFormatting sqref="I24:I34">
    <cfRule type="expression" dxfId="3" priority="7">
      <formula>$C$16="Low"</formula>
    </cfRule>
  </conditionalFormatting>
  <conditionalFormatting sqref="J19">
    <cfRule type="expression" dxfId="2" priority="1">
      <formula>$C$17="Low"</formula>
    </cfRule>
  </conditionalFormatting>
  <dataValidations count="3">
    <dataValidation type="list" allowBlank="1" showInputMessage="1" showErrorMessage="1" sqref="D6:D22 D32:D34 F6:F10 F12:F22 C11 F28:F35 F24:F26" xr:uid="{3F3EAFB5-AA53-4ACB-815F-B2974A5D886C}">
      <formula1>$T$1:$T$2</formula1>
    </dataValidation>
    <dataValidation type="list" showInputMessage="1" showErrorMessage="1" sqref="B2" xr:uid="{A02853CE-D21D-44BD-9939-055BC887EFBD}">
      <formula1>Sectors</formula1>
    </dataValidation>
    <dataValidation type="list" allowBlank="1" showInputMessage="1" showErrorMessage="1" sqref="E6:E10 E24:E34 E12:E22" xr:uid="{21B53BAA-5CFE-4F77-8669-06D93A31F2C2}">
      <formula1>$L$25:$L$28</formula1>
    </dataValidation>
  </dataValidations>
  <pageMargins left="0.7" right="0.7" top="0.75" bottom="0.75" header="0.3" footer="0.3"/>
  <pageSetup paperSize="9" orientation="portrait" horizontalDpi="4294967293" verticalDpi="0"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4">
    <tabColor rgb="FF0070C0"/>
  </sheetPr>
  <dimension ref="A1:AN88"/>
  <sheetViews>
    <sheetView showGridLines="0" tabSelected="1" topLeftCell="A50" zoomScale="55" zoomScaleNormal="55" workbookViewId="0">
      <selection activeCell="C64" sqref="C64"/>
    </sheetView>
  </sheetViews>
  <sheetFormatPr defaultColWidth="11.42578125" defaultRowHeight="12.75" outlineLevelCol="1"/>
  <cols>
    <col min="1" max="1" width="24.42578125" bestFit="1" customWidth="1"/>
    <col min="2" max="2" width="11.42578125" customWidth="1" outlineLevel="1"/>
    <col min="3" max="3" width="32" customWidth="1" outlineLevel="1"/>
    <col min="4" max="4" width="20" customWidth="1" outlineLevel="1"/>
    <col min="5" max="5" width="24" customWidth="1"/>
    <col min="6" max="6" width="27.42578125" customWidth="1"/>
    <col min="7" max="7" width="14.140625" style="2" customWidth="1"/>
    <col min="8" max="8" width="12.42578125" style="2" customWidth="1"/>
    <col min="9" max="11" width="11" style="2" customWidth="1"/>
    <col min="12" max="12" width="19" style="2" customWidth="1"/>
    <col min="13" max="14" width="24.28515625" style="2" bestFit="1" customWidth="1"/>
    <col min="15" max="15" width="23" style="2" bestFit="1" customWidth="1"/>
    <col min="16" max="25" width="24.28515625" style="2" bestFit="1" customWidth="1"/>
    <col min="26" max="28" width="23" style="2" bestFit="1" customWidth="1"/>
    <col min="29" max="30" width="24.28515625" style="2" bestFit="1" customWidth="1"/>
    <col min="31" max="32" width="23" style="2" bestFit="1" customWidth="1"/>
    <col min="33" max="33" width="14.42578125" customWidth="1"/>
  </cols>
  <sheetData>
    <row r="1" spans="1:40" ht="21" customHeight="1">
      <c r="A1" s="1076" t="s">
        <v>400</v>
      </c>
      <c r="B1" s="1076"/>
      <c r="C1" s="1076"/>
      <c r="D1" s="1076"/>
      <c r="E1" s="1076"/>
      <c r="F1" s="1076"/>
      <c r="G1" s="1076"/>
      <c r="H1" s="1076"/>
      <c r="I1" s="1076"/>
      <c r="J1" s="1076"/>
      <c r="K1" s="1076"/>
      <c r="L1" s="1076"/>
      <c r="M1" s="1076"/>
      <c r="N1" s="1076"/>
      <c r="O1" s="1076"/>
      <c r="P1" s="1076"/>
      <c r="Q1" s="1076"/>
      <c r="R1" s="1076"/>
      <c r="S1" s="1076"/>
      <c r="T1" s="1076"/>
      <c r="U1" s="1076"/>
      <c r="V1" s="1076"/>
      <c r="W1" s="1076"/>
      <c r="X1" s="1076"/>
      <c r="Y1" s="1076"/>
      <c r="Z1" s="1076"/>
      <c r="AA1" s="1076"/>
      <c r="AB1" s="1076"/>
      <c r="AC1" s="1076"/>
      <c r="AD1" s="1076"/>
      <c r="AE1" s="1076"/>
      <c r="AF1" s="1076"/>
      <c r="AG1" s="11"/>
      <c r="AH1" s="11"/>
      <c r="AI1" s="11"/>
      <c r="AJ1" s="11"/>
      <c r="AK1" s="11"/>
      <c r="AL1" s="11"/>
      <c r="AM1" s="11"/>
      <c r="AN1" s="11"/>
    </row>
    <row r="2" spans="1:40" ht="3.75" customHeight="1" thickBot="1">
      <c r="A2" s="1077"/>
      <c r="B2" s="1077"/>
      <c r="C2" s="1077"/>
      <c r="D2" s="1077"/>
      <c r="E2" s="1077"/>
      <c r="F2" s="1077"/>
      <c r="G2" s="1077"/>
      <c r="H2" s="1077"/>
      <c r="I2" s="1077"/>
      <c r="J2" s="1077"/>
      <c r="K2" s="1077"/>
      <c r="L2" s="1077"/>
      <c r="M2" s="1077"/>
      <c r="N2" s="1077"/>
      <c r="O2" s="1077"/>
      <c r="P2" s="1077"/>
      <c r="Q2" s="1077"/>
      <c r="R2" s="1077"/>
      <c r="S2" s="1077"/>
      <c r="T2" s="1077"/>
      <c r="U2" s="1077"/>
      <c r="V2" s="1077"/>
      <c r="W2" s="1077"/>
      <c r="X2" s="1077"/>
      <c r="Y2" s="1077"/>
      <c r="Z2" s="1077"/>
      <c r="AA2" s="1077"/>
      <c r="AB2" s="1077"/>
      <c r="AC2" s="1077"/>
      <c r="AD2" s="1077"/>
      <c r="AE2" s="1077"/>
      <c r="AF2" s="1077"/>
      <c r="AG2" s="538"/>
      <c r="AH2" s="11"/>
      <c r="AI2" s="11"/>
      <c r="AJ2" s="11"/>
      <c r="AK2" s="11"/>
      <c r="AL2" s="11"/>
      <c r="AM2" s="11"/>
      <c r="AN2" s="11"/>
    </row>
    <row r="3" spans="1:40" ht="19.5" thickBot="1">
      <c r="A3" s="250"/>
      <c r="B3" s="250"/>
      <c r="C3" s="250"/>
      <c r="D3" s="250"/>
      <c r="E3" s="250"/>
      <c r="F3" s="250"/>
      <c r="G3" s="1083" t="s">
        <v>401</v>
      </c>
      <c r="H3" s="1084"/>
      <c r="I3" s="1084"/>
      <c r="J3" s="1084"/>
      <c r="K3" s="1085" t="s">
        <v>402</v>
      </c>
      <c r="L3" s="1086"/>
      <c r="M3" s="1086"/>
      <c r="N3" s="1086"/>
      <c r="O3" s="1086"/>
      <c r="P3" s="1086"/>
      <c r="Q3" s="1086"/>
      <c r="R3" s="1086"/>
      <c r="S3" s="1086"/>
      <c r="T3" s="1086"/>
      <c r="U3" s="1086"/>
      <c r="V3" s="1086"/>
      <c r="W3" s="1086"/>
      <c r="X3" s="1086"/>
      <c r="Y3" s="1086"/>
      <c r="Z3" s="1086"/>
      <c r="AA3" s="1086"/>
      <c r="AB3" s="1086"/>
      <c r="AC3" s="1086"/>
      <c r="AD3" s="1086"/>
      <c r="AE3" s="1086"/>
      <c r="AF3" s="1087"/>
      <c r="AG3" s="538"/>
      <c r="AH3" s="11"/>
      <c r="AI3" s="11"/>
      <c r="AJ3" s="11"/>
      <c r="AK3" s="11"/>
      <c r="AL3" s="11"/>
      <c r="AM3" s="11"/>
      <c r="AN3" s="11"/>
    </row>
    <row r="4" spans="1:40" ht="15.75" thickBot="1">
      <c r="A4" s="274" t="s">
        <v>403</v>
      </c>
      <c r="B4" s="277" t="s">
        <v>404</v>
      </c>
      <c r="C4" s="278" t="s">
        <v>405</v>
      </c>
      <c r="D4" s="287" t="s">
        <v>406</v>
      </c>
      <c r="E4" s="287" t="s">
        <v>407</v>
      </c>
      <c r="F4" s="288" t="s">
        <v>408</v>
      </c>
      <c r="G4" s="287">
        <v>2024</v>
      </c>
      <c r="H4" s="287">
        <f>G4+1</f>
        <v>2025</v>
      </c>
      <c r="I4" s="287">
        <f t="shared" ref="I4:AF4" si="0">H4+1</f>
        <v>2026</v>
      </c>
      <c r="J4" s="288">
        <f t="shared" si="0"/>
        <v>2027</v>
      </c>
      <c r="K4" s="289">
        <f t="shared" si="0"/>
        <v>2028</v>
      </c>
      <c r="L4" s="289">
        <f t="shared" si="0"/>
        <v>2029</v>
      </c>
      <c r="M4" s="289">
        <f t="shared" si="0"/>
        <v>2030</v>
      </c>
      <c r="N4" s="289">
        <f t="shared" si="0"/>
        <v>2031</v>
      </c>
      <c r="O4" s="289">
        <f t="shared" si="0"/>
        <v>2032</v>
      </c>
      <c r="P4" s="289">
        <f t="shared" si="0"/>
        <v>2033</v>
      </c>
      <c r="Q4" s="289">
        <f t="shared" si="0"/>
        <v>2034</v>
      </c>
      <c r="R4" s="289">
        <f t="shared" si="0"/>
        <v>2035</v>
      </c>
      <c r="S4" s="289">
        <f t="shared" si="0"/>
        <v>2036</v>
      </c>
      <c r="T4" s="289">
        <f t="shared" si="0"/>
        <v>2037</v>
      </c>
      <c r="U4" s="289">
        <f t="shared" si="0"/>
        <v>2038</v>
      </c>
      <c r="V4" s="289">
        <f t="shared" si="0"/>
        <v>2039</v>
      </c>
      <c r="W4" s="289">
        <f t="shared" si="0"/>
        <v>2040</v>
      </c>
      <c r="X4" s="289">
        <f t="shared" si="0"/>
        <v>2041</v>
      </c>
      <c r="Y4" s="289">
        <f t="shared" si="0"/>
        <v>2042</v>
      </c>
      <c r="Z4" s="289">
        <f t="shared" si="0"/>
        <v>2043</v>
      </c>
      <c r="AA4" s="289">
        <f t="shared" si="0"/>
        <v>2044</v>
      </c>
      <c r="AB4" s="289">
        <f t="shared" si="0"/>
        <v>2045</v>
      </c>
      <c r="AC4" s="289">
        <f t="shared" si="0"/>
        <v>2046</v>
      </c>
      <c r="AD4" s="289">
        <f t="shared" si="0"/>
        <v>2047</v>
      </c>
      <c r="AE4" s="289">
        <f t="shared" si="0"/>
        <v>2048</v>
      </c>
      <c r="AF4" s="290">
        <f t="shared" si="0"/>
        <v>2049</v>
      </c>
      <c r="AG4" s="538"/>
      <c r="AH4" s="11"/>
      <c r="AI4" s="11"/>
      <c r="AJ4" s="11"/>
      <c r="AK4" s="11"/>
      <c r="AL4" s="11"/>
      <c r="AM4" s="11"/>
      <c r="AN4" s="11"/>
    </row>
    <row r="5" spans="1:40">
      <c r="A5" s="959" t="s">
        <v>409</v>
      </c>
      <c r="B5" s="279">
        <v>1</v>
      </c>
      <c r="C5" s="285" t="s">
        <v>410</v>
      </c>
      <c r="D5" s="295">
        <f>'Fin. Data'!D6</f>
        <v>0.18811009761561848</v>
      </c>
      <c r="E5" s="298">
        <f t="shared" ref="E5:AF5" si="1">+E6/D6-1</f>
        <v>6.4583473634588273E-2</v>
      </c>
      <c r="F5" s="344">
        <f t="shared" si="1"/>
        <v>6.6643471659919129E-2</v>
      </c>
      <c r="G5" s="360">
        <f ca="1">+G6/F6-1</f>
        <v>0.13345669127894899</v>
      </c>
      <c r="H5" s="361">
        <f ca="1">+H6/G6-1</f>
        <v>0.13876535302315918</v>
      </c>
      <c r="I5" s="361">
        <f ca="1">+I6/H6-1</f>
        <v>0.14407401476736936</v>
      </c>
      <c r="J5" s="362">
        <f ca="1">+J6/I6-1</f>
        <v>0.14938267651157955</v>
      </c>
      <c r="K5" s="360">
        <f t="shared" ca="1" si="1"/>
        <v>0.15469133825578951</v>
      </c>
      <c r="L5" s="361">
        <f t="shared" ca="1" si="1"/>
        <v>0.15999999999999992</v>
      </c>
      <c r="M5" s="361">
        <f t="shared" ca="1" si="1"/>
        <v>0.13730866174421008</v>
      </c>
      <c r="N5" s="361">
        <f t="shared" ca="1" si="1"/>
        <v>0.11461732348842046</v>
      </c>
      <c r="O5" s="361">
        <f t="shared" ca="1" si="1"/>
        <v>9.1925985232630625E-2</v>
      </c>
      <c r="P5" s="361">
        <f t="shared" ca="1" si="1"/>
        <v>6.9234646976840786E-2</v>
      </c>
      <c r="Q5" s="361">
        <f t="shared" ca="1" si="1"/>
        <v>2.0000000000000018E-2</v>
      </c>
      <c r="R5" s="361">
        <f t="shared" ca="1" si="1"/>
        <v>2.0000000000000018E-2</v>
      </c>
      <c r="S5" s="361">
        <f t="shared" ca="1" si="1"/>
        <v>2.0000000000000018E-2</v>
      </c>
      <c r="T5" s="361">
        <f t="shared" ca="1" si="1"/>
        <v>2.0000000000000018E-2</v>
      </c>
      <c r="U5" s="361">
        <f t="shared" ca="1" si="1"/>
        <v>2.0000000000000018E-2</v>
      </c>
      <c r="V5" s="361">
        <f t="shared" ca="1" si="1"/>
        <v>2.0000000000000018E-2</v>
      </c>
      <c r="W5" s="361">
        <f t="shared" ca="1" si="1"/>
        <v>2.0000000000000018E-2</v>
      </c>
      <c r="X5" s="361">
        <f t="shared" ca="1" si="1"/>
        <v>2.0000000000000018E-2</v>
      </c>
      <c r="Y5" s="361">
        <f t="shared" ca="1" si="1"/>
        <v>2.0000000000000018E-2</v>
      </c>
      <c r="Z5" s="361">
        <f t="shared" ca="1" si="1"/>
        <v>2.0000000000000018E-2</v>
      </c>
      <c r="AA5" s="361">
        <f t="shared" ca="1" si="1"/>
        <v>2.0000000000000018E-2</v>
      </c>
      <c r="AB5" s="361">
        <f t="shared" ca="1" si="1"/>
        <v>2.0000000000000018E-2</v>
      </c>
      <c r="AC5" s="361">
        <f t="shared" ca="1" si="1"/>
        <v>2.0000000000000018E-2</v>
      </c>
      <c r="AD5" s="361">
        <f t="shared" ca="1" si="1"/>
        <v>2.0000000000000018E-2</v>
      </c>
      <c r="AE5" s="361">
        <f t="shared" ca="1" si="1"/>
        <v>2.0000000000000018E-2</v>
      </c>
      <c r="AF5" s="362">
        <f t="shared" ca="1" si="1"/>
        <v>2.0000000000000018E-2</v>
      </c>
      <c r="AG5" s="426"/>
      <c r="AH5" s="11"/>
      <c r="AI5" s="11"/>
      <c r="AJ5" s="11"/>
      <c r="AK5" s="11"/>
      <c r="AL5" s="11"/>
      <c r="AM5" s="11"/>
      <c r="AN5" s="11"/>
    </row>
    <row r="6" spans="1:40" ht="15">
      <c r="A6" s="959"/>
      <c r="B6" s="279">
        <v>2</v>
      </c>
      <c r="C6" s="273" t="s">
        <v>411</v>
      </c>
      <c r="D6" s="703">
        <f>Inputs!D6</f>
        <v>29698</v>
      </c>
      <c r="E6" s="694">
        <f>Inputs!C6</f>
        <v>31616</v>
      </c>
      <c r="F6" s="345">
        <f>Inputs!B6</f>
        <v>33723</v>
      </c>
      <c r="G6" s="353">
        <f ca="1">Assumptions!C66</f>
        <v>38223.56</v>
      </c>
      <c r="H6" s="353">
        <f ca="1">Assumptions!D66</f>
        <v>43527.665797201902</v>
      </c>
      <c r="I6" s="353">
        <f ca="1">Assumptions!E66</f>
        <v>49798.871362057085</v>
      </c>
      <c r="J6" s="353">
        <f ca="1">Assumptions!F66</f>
        <v>57237.960053377021</v>
      </c>
      <c r="K6" s="353">
        <f ca="1">Assumptions!G66</f>
        <v>66092.176693065339</v>
      </c>
      <c r="L6" s="353">
        <f ca="1">Assumptions!H66</f>
        <v>76666.924963955782</v>
      </c>
      <c r="M6" s="353">
        <f ca="1">Assumptions!I66</f>
        <v>87193.957830800326</v>
      </c>
      <c r="N6" s="353">
        <f ca="1">Assumptions!J66</f>
        <v>97187.895901728858</v>
      </c>
      <c r="O6" s="353">
        <f ca="1">Assumptions!K66</f>
        <v>106121.98898518163</v>
      </c>
      <c r="P6" s="353">
        <f ca="1">Assumptions!L66</f>
        <v>113469.30742905087</v>
      </c>
      <c r="Q6" s="353">
        <f ca="1">Assumptions!M66</f>
        <v>115738.69357763189</v>
      </c>
      <c r="R6" s="353">
        <f ca="1">Assumptions!N66</f>
        <v>118053.46744918452</v>
      </c>
      <c r="S6" s="353">
        <f ca="1">Assumptions!O66</f>
        <v>120414.53679816822</v>
      </c>
      <c r="T6" s="353">
        <f ca="1">Assumptions!P66</f>
        <v>122822.82753413159</v>
      </c>
      <c r="U6" s="353">
        <f ca="1">Assumptions!Q66</f>
        <v>125279.28408481422</v>
      </c>
      <c r="V6" s="353">
        <f ca="1">Assumptions!R66</f>
        <v>127784.86976651051</v>
      </c>
      <c r="W6" s="353">
        <f ca="1">Assumptions!S66</f>
        <v>130340.56716184072</v>
      </c>
      <c r="X6" s="353">
        <f ca="1">Assumptions!T66</f>
        <v>132947.37850507753</v>
      </c>
      <c r="Y6" s="353">
        <f ca="1">Assumptions!U66</f>
        <v>135606.32607517909</v>
      </c>
      <c r="Z6" s="353">
        <f ca="1">Assumptions!V66</f>
        <v>138318.45259668268</v>
      </c>
      <c r="AA6" s="353">
        <f ca="1">Assumptions!W66</f>
        <v>141084.82164861634</v>
      </c>
      <c r="AB6" s="353">
        <f ca="1">Assumptions!X66</f>
        <v>143906.51808158867</v>
      </c>
      <c r="AC6" s="353">
        <f ca="1">Assumptions!Y66</f>
        <v>146784.64844322045</v>
      </c>
      <c r="AD6" s="353">
        <f ca="1">Assumptions!Z66</f>
        <v>149720.34141208485</v>
      </c>
      <c r="AE6" s="353">
        <f ca="1">Assumptions!AA66</f>
        <v>152714.74824032656</v>
      </c>
      <c r="AF6" s="353">
        <f ca="1">Assumptions!AB66</f>
        <v>155769.04320513309</v>
      </c>
      <c r="AG6" s="539"/>
      <c r="AH6" s="11"/>
      <c r="AI6" s="11"/>
      <c r="AJ6" s="11"/>
      <c r="AK6" s="11"/>
      <c r="AL6" s="11"/>
      <c r="AM6" s="11"/>
      <c r="AN6" s="11"/>
    </row>
    <row r="7" spans="1:40">
      <c r="A7" s="959"/>
      <c r="B7" s="279">
        <v>3</v>
      </c>
      <c r="C7" s="91" t="s">
        <v>412</v>
      </c>
      <c r="D7" s="340">
        <f>D8/D6</f>
        <v>0.20859990571755674</v>
      </c>
      <c r="E7" s="337">
        <f t="shared" ref="E7" si="2">E8/E6</f>
        <v>0.17816928137651822</v>
      </c>
      <c r="F7" s="346">
        <f>F8/F6</f>
        <v>0.20620941197402368</v>
      </c>
      <c r="G7" s="363">
        <f ca="1">Assumptions!C77</f>
        <v>0.24</v>
      </c>
      <c r="H7" s="363">
        <f>Assumptions!D77</f>
        <v>0.24199999999999999</v>
      </c>
      <c r="I7" s="363">
        <f>Assumptions!E77</f>
        <v>0.24399999999999999</v>
      </c>
      <c r="J7" s="363">
        <f>Assumptions!F77</f>
        <v>0.246</v>
      </c>
      <c r="K7" s="363">
        <f>Assumptions!G77</f>
        <v>0.248</v>
      </c>
      <c r="L7" s="363">
        <f>Assumptions!H77</f>
        <v>0.25</v>
      </c>
      <c r="M7" s="363">
        <f>Assumptions!I77</f>
        <v>0.252</v>
      </c>
      <c r="N7" s="363">
        <f>Assumptions!J77</f>
        <v>0.254</v>
      </c>
      <c r="O7" s="363">
        <f>Assumptions!K77</f>
        <v>0.25600000000000001</v>
      </c>
      <c r="P7" s="363">
        <f>Assumptions!L77</f>
        <v>0.25800000000000001</v>
      </c>
      <c r="Q7" s="363">
        <f>Assumptions!M77</f>
        <v>0.26</v>
      </c>
      <c r="R7" s="363">
        <f>Assumptions!N77</f>
        <v>0.26</v>
      </c>
      <c r="S7" s="363">
        <f>Assumptions!O77</f>
        <v>0.26</v>
      </c>
      <c r="T7" s="363">
        <f>Assumptions!P77</f>
        <v>0.26</v>
      </c>
      <c r="U7" s="363">
        <f>Assumptions!Q77</f>
        <v>0.26</v>
      </c>
      <c r="V7" s="363">
        <f>Assumptions!R77</f>
        <v>0.26</v>
      </c>
      <c r="W7" s="363">
        <f>Assumptions!S77</f>
        <v>0.26</v>
      </c>
      <c r="X7" s="363">
        <f>Assumptions!T77</f>
        <v>0.26</v>
      </c>
      <c r="Y7" s="363">
        <f>Assumptions!U77</f>
        <v>0.26</v>
      </c>
      <c r="Z7" s="363">
        <f>Assumptions!V77</f>
        <v>0.26</v>
      </c>
      <c r="AA7" s="363">
        <f>Assumptions!W77</f>
        <v>0.26</v>
      </c>
      <c r="AB7" s="363">
        <f>Assumptions!X77</f>
        <v>0.26</v>
      </c>
      <c r="AC7" s="363">
        <f>Assumptions!Y77</f>
        <v>0.26</v>
      </c>
      <c r="AD7" s="363">
        <f>Assumptions!Z77</f>
        <v>0.26</v>
      </c>
      <c r="AE7" s="363">
        <f>Assumptions!AA77</f>
        <v>0.26</v>
      </c>
      <c r="AF7" s="363">
        <f>Assumptions!AB77</f>
        <v>0.26</v>
      </c>
      <c r="AG7" s="426"/>
      <c r="AH7" s="11"/>
      <c r="AI7" s="11"/>
      <c r="AJ7" s="11"/>
      <c r="AK7" s="11"/>
      <c r="AL7" s="11"/>
      <c r="AM7" s="11"/>
      <c r="AN7" s="11"/>
    </row>
    <row r="8" spans="1:40" ht="15">
      <c r="A8" s="959"/>
      <c r="B8" s="279">
        <v>4</v>
      </c>
      <c r="C8" s="259" t="s">
        <v>79</v>
      </c>
      <c r="D8" s="341">
        <f>'Fin. Data'!D11</f>
        <v>6195</v>
      </c>
      <c r="E8" s="338">
        <f>'Fin. Data'!C11</f>
        <v>5633</v>
      </c>
      <c r="F8" s="347">
        <f>'Fin. Data'!B11</f>
        <v>6954</v>
      </c>
      <c r="G8" s="353">
        <f ca="1">G7*G6</f>
        <v>9173.6543999999994</v>
      </c>
      <c r="H8" s="351">
        <f t="shared" ref="H8:AF8" ca="1" si="3">H7*H6</f>
        <v>10533.69512292286</v>
      </c>
      <c r="I8" s="351">
        <f t="shared" ca="1" si="3"/>
        <v>12150.924612341929</v>
      </c>
      <c r="J8" s="354">
        <f t="shared" ca="1" si="3"/>
        <v>14080.538173130746</v>
      </c>
      <c r="K8" s="353">
        <f t="shared" ca="1" si="3"/>
        <v>16390.859819880203</v>
      </c>
      <c r="L8" s="351">
        <f t="shared" ca="1" si="3"/>
        <v>19166.731240988946</v>
      </c>
      <c r="M8" s="351">
        <f t="shared" ca="1" si="3"/>
        <v>21972.877373361684</v>
      </c>
      <c r="N8" s="351">
        <f t="shared" ca="1" si="3"/>
        <v>24685.725559039129</v>
      </c>
      <c r="O8" s="351">
        <f t="shared" ca="1" si="3"/>
        <v>27167.229180206497</v>
      </c>
      <c r="P8" s="351">
        <f t="shared" ca="1" si="3"/>
        <v>29275.081316695123</v>
      </c>
      <c r="Q8" s="351">
        <f t="shared" ca="1" si="3"/>
        <v>30092.060330184293</v>
      </c>
      <c r="R8" s="351">
        <f t="shared" ca="1" si="3"/>
        <v>30693.901536787977</v>
      </c>
      <c r="S8" s="351">
        <f t="shared" ca="1" si="3"/>
        <v>31307.779567523739</v>
      </c>
      <c r="T8" s="351">
        <f t="shared" ca="1" si="3"/>
        <v>31933.935158874214</v>
      </c>
      <c r="U8" s="351">
        <f t="shared" ca="1" si="3"/>
        <v>32572.613862051698</v>
      </c>
      <c r="V8" s="351">
        <f t="shared" ca="1" si="3"/>
        <v>33224.066139292736</v>
      </c>
      <c r="W8" s="351">
        <f t="shared" ca="1" si="3"/>
        <v>33888.54746207859</v>
      </c>
      <c r="X8" s="351">
        <f t="shared" ca="1" si="3"/>
        <v>34566.318411320157</v>
      </c>
      <c r="Y8" s="351">
        <f t="shared" ca="1" si="3"/>
        <v>35257.644779546565</v>
      </c>
      <c r="Z8" s="351">
        <f t="shared" ca="1" si="3"/>
        <v>35962.797675137495</v>
      </c>
      <c r="AA8" s="351">
        <f t="shared" ca="1" si="3"/>
        <v>36682.053628640249</v>
      </c>
      <c r="AB8" s="351">
        <f t="shared" ca="1" si="3"/>
        <v>37415.694701213055</v>
      </c>
      <c r="AC8" s="351">
        <f t="shared" ca="1" si="3"/>
        <v>38164.008595237319</v>
      </c>
      <c r="AD8" s="351">
        <f t="shared" ca="1" si="3"/>
        <v>38927.288767142061</v>
      </c>
      <c r="AE8" s="351">
        <f t="shared" ca="1" si="3"/>
        <v>39705.83454248491</v>
      </c>
      <c r="AF8" s="354">
        <f t="shared" ca="1" si="3"/>
        <v>40499.951233334607</v>
      </c>
      <c r="AG8" s="523"/>
      <c r="AH8" s="7"/>
      <c r="AI8" s="7"/>
      <c r="AJ8" s="7"/>
      <c r="AK8" s="11"/>
      <c r="AL8" s="11"/>
      <c r="AM8" s="11"/>
      <c r="AN8" s="11"/>
    </row>
    <row r="9" spans="1:40" ht="15">
      <c r="A9" s="959"/>
      <c r="B9" s="279" t="s">
        <v>413</v>
      </c>
      <c r="C9" s="273" t="s">
        <v>414</v>
      </c>
      <c r="D9" s="509">
        <v>-208</v>
      </c>
      <c r="E9" s="510">
        <v>-337</v>
      </c>
      <c r="F9" s="511">
        <v>-357</v>
      </c>
      <c r="G9" s="512">
        <f>$D$53*DCF!F40</f>
        <v>-451.14636025266537</v>
      </c>
      <c r="H9" s="518">
        <f ca="1">$D$53*DCF!G40</f>
        <v>-508.35611575051274</v>
      </c>
      <c r="I9" s="513">
        <f ca="1">$D$53*DCF!H40</f>
        <v>-573.50460316638748</v>
      </c>
      <c r="J9" s="514">
        <f ca="1">$D$53*DCF!I40</f>
        <v>-648.03929472028869</v>
      </c>
      <c r="K9" s="515">
        <f ca="1">$E$53*DCF!J40</f>
        <v>-431.59270123852843</v>
      </c>
      <c r="L9" s="516">
        <f ca="1">$E$53*DCF!K40</f>
        <v>-460.6871243209045</v>
      </c>
      <c r="M9" s="516">
        <f ca="1">$E$53*DCF!L40</f>
        <v>-494.43665509646075</v>
      </c>
      <c r="N9" s="516">
        <f ca="1">$E$53*DCF!M40</f>
        <v>-532.82028877730363</v>
      </c>
      <c r="O9" s="516">
        <f ca="1">$E$53*DCF!N40</f>
        <v>-575.60335181640471</v>
      </c>
      <c r="P9" s="516">
        <f ca="1">$E$53*DCF!O40</f>
        <v>-622.31929007664496</v>
      </c>
      <c r="Q9" s="516">
        <f ca="1">$E$53*DCF!P40</f>
        <v>-672.26958983052464</v>
      </c>
      <c r="R9" s="516">
        <f ca="1">$E$53*DCF!Q40</f>
        <v>-723.21889557948214</v>
      </c>
      <c r="S9" s="516">
        <f ca="1">$E$53*DCF!R40</f>
        <v>-775.18718744341868</v>
      </c>
      <c r="T9" s="516">
        <f ca="1">$E$53*DCF!S40</f>
        <v>-828.19484514463397</v>
      </c>
      <c r="U9" s="516">
        <f ca="1">$E$53*DCF!T40</f>
        <v>-882.26265599987357</v>
      </c>
      <c r="V9" s="516">
        <f ca="1">$E$53*DCF!U40</f>
        <v>-937.411823072218</v>
      </c>
      <c r="W9" s="516">
        <f ca="1">$E$53*DCF!V40</f>
        <v>-993.66397348600935</v>
      </c>
      <c r="X9" s="516">
        <f ca="1">$E$53*DCF!W40</f>
        <v>-1051.0411669080763</v>
      </c>
      <c r="Y9" s="516">
        <f ca="1">$E$53*DCF!X40</f>
        <v>-1109.5659041985848</v>
      </c>
      <c r="Z9" s="516">
        <f ca="1">$E$53*DCF!Y40</f>
        <v>-1169.2611362349032</v>
      </c>
      <c r="AA9" s="516">
        <f ca="1">$E$53*DCF!Z40</f>
        <v>-1230.1502729119484</v>
      </c>
      <c r="AB9" s="516">
        <f ca="1">$E$53*DCF!AA40</f>
        <v>-1292.2571923225344</v>
      </c>
      <c r="AC9" s="516">
        <f ca="1">$E$53*DCF!AB40</f>
        <v>-1355.6062501213319</v>
      </c>
      <c r="AD9" s="516">
        <f ca="1">$E$53*DCF!AC40</f>
        <v>-1420.2222890761057</v>
      </c>
      <c r="AE9" s="516">
        <f ca="1">$E$53*DCF!AD40</f>
        <v>-1486.1306488099747</v>
      </c>
      <c r="AF9" s="517">
        <f ca="1">$E$53*DCF!AE40</f>
        <v>-1553.3571757385209</v>
      </c>
      <c r="AG9" s="524">
        <f ca="1">SUM(D9:AF9)</f>
        <v>-23680.306792094241</v>
      </c>
      <c r="AH9" s="7"/>
      <c r="AI9" s="7"/>
      <c r="AJ9" s="7"/>
      <c r="AK9" s="11"/>
      <c r="AL9" s="11"/>
      <c r="AM9" s="11"/>
      <c r="AN9" s="11"/>
    </row>
    <row r="10" spans="1:40" ht="15">
      <c r="A10" s="959"/>
      <c r="B10" s="279" t="s">
        <v>415</v>
      </c>
      <c r="C10" s="273" t="s">
        <v>416</v>
      </c>
      <c r="D10" s="509">
        <v>-12230</v>
      </c>
      <c r="E10" s="510">
        <v>-14026</v>
      </c>
      <c r="F10" s="511">
        <v>-14197</v>
      </c>
      <c r="G10" s="512">
        <f>F38*$D$54</f>
        <v>-13006.713132638426</v>
      </c>
      <c r="H10" s="518">
        <f t="shared" ref="H10:I10" si="4">G38*$D$54</f>
        <v>-14209.072156133861</v>
      </c>
      <c r="I10" s="518">
        <f t="shared" si="4"/>
        <v>-15522.578954369805</v>
      </c>
      <c r="J10" s="519">
        <f>I38*$D$54</f>
        <v>-16957.508185404589</v>
      </c>
      <c r="K10" s="515">
        <f t="shared" ref="K10:AE10" si="5">J38*$E$54</f>
        <v>-13526.8713889269</v>
      </c>
      <c r="L10" s="516">
        <f t="shared" si="5"/>
        <v>-14439.935207679468</v>
      </c>
      <c r="M10" s="516">
        <f t="shared" si="5"/>
        <v>-15414.630834197829</v>
      </c>
      <c r="N10" s="516">
        <f t="shared" si="5"/>
        <v>-16455.118415506186</v>
      </c>
      <c r="O10" s="516">
        <f t="shared" si="5"/>
        <v>-17565.838908552851</v>
      </c>
      <c r="P10" s="516">
        <f t="shared" si="5"/>
        <v>-18751.533034880169</v>
      </c>
      <c r="Q10" s="516">
        <f t="shared" si="5"/>
        <v>-20017.261514734582</v>
      </c>
      <c r="R10" s="516">
        <f t="shared" si="5"/>
        <v>-21368.426666979165</v>
      </c>
      <c r="S10" s="516">
        <f t="shared" si="5"/>
        <v>-22810.795467000258</v>
      </c>
      <c r="T10" s="516">
        <f t="shared" si="5"/>
        <v>-24350.524161022775</v>
      </c>
      <c r="U10" s="516">
        <f t="shared" si="5"/>
        <v>-25994.184541891813</v>
      </c>
      <c r="V10" s="516">
        <f t="shared" si="5"/>
        <v>-27748.791998469511</v>
      </c>
      <c r="W10" s="516">
        <f t="shared" si="5"/>
        <v>-29621.8354583662</v>
      </c>
      <c r="X10" s="516">
        <f t="shared" si="5"/>
        <v>-31621.309351805921</v>
      </c>
      <c r="Y10" s="516">
        <f t="shared" si="5"/>
        <v>-33755.74773305282</v>
      </c>
      <c r="Z10" s="516">
        <f t="shared" si="5"/>
        <v>-36034.260705033885</v>
      </c>
      <c r="AA10" s="516">
        <f t="shared" si="5"/>
        <v>-38466.57330262367</v>
      </c>
      <c r="AB10" s="516">
        <f t="shared" si="5"/>
        <v>-41063.067000550771</v>
      </c>
      <c r="AC10" s="516">
        <f t="shared" si="5"/>
        <v>-43834.824023087946</v>
      </c>
      <c r="AD10" s="516">
        <f t="shared" si="5"/>
        <v>-46793.67464464638</v>
      </c>
      <c r="AE10" s="516">
        <f t="shared" si="5"/>
        <v>-49952.247683160014</v>
      </c>
      <c r="AF10" s="517">
        <f>AE38*$E$54</f>
        <v>-53324.024401773313</v>
      </c>
      <c r="AG10" s="523"/>
      <c r="AH10" s="7"/>
      <c r="AI10" s="7"/>
      <c r="AJ10" s="7"/>
      <c r="AK10" s="11"/>
      <c r="AL10" s="11"/>
      <c r="AM10" s="11"/>
      <c r="AN10" s="11"/>
    </row>
    <row r="11" spans="1:40" ht="15">
      <c r="A11" s="959"/>
      <c r="B11" s="279" t="s">
        <v>417</v>
      </c>
      <c r="C11" s="273" t="s">
        <v>418</v>
      </c>
      <c r="D11" s="509">
        <f>D20</f>
        <v>-403</v>
      </c>
      <c r="E11" s="510">
        <f>E20</f>
        <v>-575</v>
      </c>
      <c r="F11" s="511">
        <f>F20</f>
        <v>-339</v>
      </c>
      <c r="G11" s="512">
        <f ca="1">G6*$D$55</f>
        <v>-322.42625551546166</v>
      </c>
      <c r="H11" s="518">
        <f t="shared" ref="H11:AF11" ca="1" si="6">H6*$D$55</f>
        <v>-367.16784868600001</v>
      </c>
      <c r="I11" s="518">
        <f t="shared" ca="1" si="6"/>
        <v>-420.06719473969002</v>
      </c>
      <c r="J11" s="519">
        <f t="shared" ca="1" si="6"/>
        <v>-482.8179566046158</v>
      </c>
      <c r="K11" s="512">
        <f t="shared" ca="1" si="6"/>
        <v>-557.50571244570961</v>
      </c>
      <c r="L11" s="518">
        <f t="shared" ca="1" si="6"/>
        <v>-646.70662643702303</v>
      </c>
      <c r="M11" s="518">
        <f t="shared" ca="1" si="6"/>
        <v>-735.50504785420344</v>
      </c>
      <c r="N11" s="518">
        <f t="shared" ca="1" si="6"/>
        <v>-819.8066678514748</v>
      </c>
      <c r="O11" s="518">
        <f t="shared" ca="1" si="6"/>
        <v>-895.16820349400166</v>
      </c>
      <c r="P11" s="518">
        <f t="shared" ca="1" si="6"/>
        <v>-957.14485804780168</v>
      </c>
      <c r="Q11" s="518">
        <f t="shared" ca="1" si="6"/>
        <v>-976.28775520875774</v>
      </c>
      <c r="R11" s="518">
        <f t="shared" ca="1" si="6"/>
        <v>-995.81351031293286</v>
      </c>
      <c r="S11" s="518">
        <f t="shared" ca="1" si="6"/>
        <v>-1015.7297805191915</v>
      </c>
      <c r="T11" s="518">
        <f t="shared" ca="1" si="6"/>
        <v>-1036.0443761295755</v>
      </c>
      <c r="U11" s="518">
        <f t="shared" ca="1" si="6"/>
        <v>-1056.7652636521671</v>
      </c>
      <c r="V11" s="518">
        <f t="shared" ca="1" si="6"/>
        <v>-1077.9005689252103</v>
      </c>
      <c r="W11" s="518">
        <f t="shared" ca="1" si="6"/>
        <v>-1099.4585803037146</v>
      </c>
      <c r="X11" s="518">
        <f t="shared" ca="1" si="6"/>
        <v>-1121.4477519097888</v>
      </c>
      <c r="Y11" s="518">
        <f t="shared" ca="1" si="6"/>
        <v>-1143.8767069479848</v>
      </c>
      <c r="Z11" s="518">
        <f t="shared" ca="1" si="6"/>
        <v>-1166.7542410869444</v>
      </c>
      <c r="AA11" s="518">
        <f t="shared" ca="1" si="6"/>
        <v>-1190.0893259086833</v>
      </c>
      <c r="AB11" s="518">
        <f t="shared" ca="1" si="6"/>
        <v>-1213.891112426857</v>
      </c>
      <c r="AC11" s="518">
        <f t="shared" ca="1" si="6"/>
        <v>-1238.1689346753942</v>
      </c>
      <c r="AD11" s="518">
        <f t="shared" ca="1" si="6"/>
        <v>-1262.932313368902</v>
      </c>
      <c r="AE11" s="518">
        <f t="shared" ca="1" si="6"/>
        <v>-1288.1909596362802</v>
      </c>
      <c r="AF11" s="519">
        <f t="shared" ca="1" si="6"/>
        <v>-1313.9547788290058</v>
      </c>
      <c r="AG11" s="523"/>
      <c r="AH11" s="7"/>
      <c r="AI11" s="7"/>
      <c r="AJ11" s="7"/>
      <c r="AK11" s="11"/>
      <c r="AL11" s="11"/>
      <c r="AM11" s="11"/>
      <c r="AN11" s="11"/>
    </row>
    <row r="12" spans="1:40" ht="15">
      <c r="A12" s="959"/>
      <c r="B12" s="279">
        <v>6</v>
      </c>
      <c r="C12" s="259" t="s">
        <v>70</v>
      </c>
      <c r="D12" s="341">
        <f>D8-D9-D10</f>
        <v>18633</v>
      </c>
      <c r="E12" s="307">
        <f t="shared" ref="E12:AF12" si="7">E8-E9-E10</f>
        <v>19996</v>
      </c>
      <c r="F12" s="347">
        <f>F8-F9-F10</f>
        <v>21508</v>
      </c>
      <c r="G12" s="364">
        <f ca="1">G8-G9-G10</f>
        <v>22631.513892891089</v>
      </c>
      <c r="H12" s="365">
        <f t="shared" ca="1" si="7"/>
        <v>25251.123394807233</v>
      </c>
      <c r="I12" s="365">
        <f t="shared" ca="1" si="7"/>
        <v>28247.008169878121</v>
      </c>
      <c r="J12" s="366">
        <f t="shared" ca="1" si="7"/>
        <v>31686.085653255624</v>
      </c>
      <c r="K12" s="364">
        <f t="shared" ca="1" si="7"/>
        <v>30349.323910045634</v>
      </c>
      <c r="L12" s="365">
        <f t="shared" ca="1" si="7"/>
        <v>34067.353572989319</v>
      </c>
      <c r="M12" s="365">
        <f t="shared" ca="1" si="7"/>
        <v>37881.944862655975</v>
      </c>
      <c r="N12" s="365">
        <f t="shared" ca="1" si="7"/>
        <v>41673.664263322615</v>
      </c>
      <c r="O12" s="365">
        <f t="shared" ca="1" si="7"/>
        <v>45308.671440575752</v>
      </c>
      <c r="P12" s="365">
        <f t="shared" ca="1" si="7"/>
        <v>48648.933641651936</v>
      </c>
      <c r="Q12" s="365">
        <f t="shared" ca="1" si="7"/>
        <v>50781.591434749396</v>
      </c>
      <c r="R12" s="365">
        <f t="shared" ca="1" si="7"/>
        <v>52785.547099346622</v>
      </c>
      <c r="S12" s="365">
        <f t="shared" ca="1" si="7"/>
        <v>54893.762221967416</v>
      </c>
      <c r="T12" s="365">
        <f t="shared" ca="1" si="7"/>
        <v>57112.654165041618</v>
      </c>
      <c r="U12" s="365">
        <f t="shared" ca="1" si="7"/>
        <v>59449.061059943386</v>
      </c>
      <c r="V12" s="365">
        <f t="shared" ca="1" si="7"/>
        <v>61910.269960834463</v>
      </c>
      <c r="W12" s="365">
        <f t="shared" ca="1" si="7"/>
        <v>64504.046893930798</v>
      </c>
      <c r="X12" s="365">
        <f t="shared" ca="1" si="7"/>
        <v>67238.668930034153</v>
      </c>
      <c r="Y12" s="365">
        <f t="shared" ca="1" si="7"/>
        <v>70122.958416797977</v>
      </c>
      <c r="Z12" s="365">
        <f t="shared" ca="1" si="7"/>
        <v>73166.319516406278</v>
      </c>
      <c r="AA12" s="365">
        <f t="shared" ca="1" si="7"/>
        <v>76378.777204175858</v>
      </c>
      <c r="AB12" s="365">
        <f t="shared" ca="1" si="7"/>
        <v>79771.018894086359</v>
      </c>
      <c r="AC12" s="365">
        <f t="shared" ca="1" si="7"/>
        <v>83354.438868446596</v>
      </c>
      <c r="AD12" s="365">
        <f t="shared" ca="1" si="7"/>
        <v>87141.185700864546</v>
      </c>
      <c r="AE12" s="365">
        <f t="shared" ca="1" si="7"/>
        <v>91144.212874454897</v>
      </c>
      <c r="AF12" s="366">
        <f t="shared" ca="1" si="7"/>
        <v>95377.332810846448</v>
      </c>
      <c r="AG12" s="331"/>
      <c r="AH12" s="7"/>
      <c r="AI12" s="7"/>
      <c r="AJ12" s="7"/>
      <c r="AK12" s="11"/>
      <c r="AL12" s="11"/>
      <c r="AM12" s="11"/>
      <c r="AN12" s="11"/>
    </row>
    <row r="13" spans="1:40" ht="15">
      <c r="A13" s="959"/>
      <c r="B13" s="279">
        <v>7</v>
      </c>
      <c r="C13" s="273" t="s">
        <v>419</v>
      </c>
      <c r="D13" s="506">
        <f>'Fin. Data'!D14</f>
        <v>-354</v>
      </c>
      <c r="E13" s="507">
        <f>'Fin. Data'!C14</f>
        <v>-369</v>
      </c>
      <c r="F13" s="508">
        <f>'Fin. Data'!B14</f>
        <v>-749</v>
      </c>
      <c r="G13" s="515">
        <f>F43*$D$58-F44*$D$57</f>
        <v>-507.70461</v>
      </c>
      <c r="H13" s="516">
        <f ca="1">G43*$D$58-G44*$D$57</f>
        <v>-187.74072740275108</v>
      </c>
      <c r="I13" s="516">
        <f ca="1">H43*$D$58-H44*$D$57</f>
        <v>126.97657414674461</v>
      </c>
      <c r="J13" s="517">
        <f t="shared" ref="J13" ca="1" si="8">I43*$D$58-I44*$D$57</f>
        <v>488.84953703149756</v>
      </c>
      <c r="K13" s="515">
        <f ca="1">J43*$E$58-J44*$E$57</f>
        <v>912.05123126312344</v>
      </c>
      <c r="L13" s="516">
        <f t="shared" ref="L13:AE13" ca="1" si="9">K43*$E$58-K44*$E$57</f>
        <v>1171.1602555606892</v>
      </c>
      <c r="M13" s="516">
        <f t="shared" ca="1" si="9"/>
        <v>1431.2667053037626</v>
      </c>
      <c r="N13" s="516">
        <f t="shared" ca="1" si="9"/>
        <v>1713.2226399493761</v>
      </c>
      <c r="O13" s="516">
        <f t="shared" ca="1" si="9"/>
        <v>2024.8916133827443</v>
      </c>
      <c r="P13" s="516">
        <f t="shared" ca="1" si="9"/>
        <v>2368.900080475451</v>
      </c>
      <c r="Q13" s="516">
        <f t="shared" ca="1" si="9"/>
        <v>2747.9896841931472</v>
      </c>
      <c r="R13" s="516">
        <f t="shared" ca="1" si="9"/>
        <v>3179.7221343635265</v>
      </c>
      <c r="S13" s="516">
        <f t="shared" ca="1" si="9"/>
        <v>3639.4170893015007</v>
      </c>
      <c r="T13" s="516">
        <f t="shared" ca="1" si="9"/>
        <v>4127.7069905661747</v>
      </c>
      <c r="U13" s="516">
        <f t="shared" ca="1" si="9"/>
        <v>4646.3979577613018</v>
      </c>
      <c r="V13" s="516">
        <f t="shared" ca="1" si="9"/>
        <v>5197.5438186004058</v>
      </c>
      <c r="W13" s="516">
        <f t="shared" ca="1" si="9"/>
        <v>5783.1513433259315</v>
      </c>
      <c r="X13" s="516">
        <f t="shared" ca="1" si="9"/>
        <v>6405.440096911474</v>
      </c>
      <c r="Y13" s="516">
        <f t="shared" ca="1" si="9"/>
        <v>7066.785350740467</v>
      </c>
      <c r="Z13" s="516">
        <f t="shared" ca="1" si="9"/>
        <v>7769.6878227769503</v>
      </c>
      <c r="AA13" s="516">
        <f t="shared" ca="1" si="9"/>
        <v>8516.8334185753265</v>
      </c>
      <c r="AB13" s="516">
        <f t="shared" ca="1" si="9"/>
        <v>9311.0850080173914</v>
      </c>
      <c r="AC13" s="516">
        <f t="shared" ca="1" si="9"/>
        <v>10155.490894665032</v>
      </c>
      <c r="AD13" s="516">
        <f t="shared" ca="1" si="9"/>
        <v>11053.306536828719</v>
      </c>
      <c r="AE13" s="516">
        <f t="shared" ca="1" si="9"/>
        <v>12008.003431305631</v>
      </c>
      <c r="AF13" s="517">
        <f ca="1">AE43*$E$58-AE44*$E$57</f>
        <v>13023.283908985319</v>
      </c>
      <c r="AG13" s="523"/>
      <c r="AH13" s="7"/>
      <c r="AI13" s="7"/>
      <c r="AJ13" s="7"/>
      <c r="AK13" s="11"/>
      <c r="AL13" s="11"/>
      <c r="AM13" s="11"/>
      <c r="AN13" s="11"/>
    </row>
    <row r="14" spans="1:40" ht="15">
      <c r="A14" s="959"/>
      <c r="B14" s="279">
        <v>8</v>
      </c>
      <c r="C14" s="273" t="s">
        <v>420</v>
      </c>
      <c r="D14" s="342">
        <f>'Fin. Data'!D15</f>
        <v>254</v>
      </c>
      <c r="E14" s="339">
        <f>'Fin. Data'!C15</f>
        <v>369</v>
      </c>
      <c r="F14" s="349">
        <f>'Fin. Data'!B15</f>
        <v>0</v>
      </c>
      <c r="G14" s="353">
        <f ca="1">AVERAGE(D14:F14)*(1+G5)</f>
        <v>235.3811728889284</v>
      </c>
      <c r="H14" s="351">
        <f t="shared" ref="H14:AF14" ca="1" si="10">AVERAGE(E14:G14)*(1+H5)</f>
        <v>229.41611323513717</v>
      </c>
      <c r="I14" s="351">
        <f t="shared" ca="1" si="10"/>
        <v>177.25416572964579</v>
      </c>
      <c r="J14" s="354">
        <f t="shared" ca="1" si="10"/>
        <v>245.98760539658809</v>
      </c>
      <c r="K14" s="353">
        <f t="shared" ca="1" si="10"/>
        <v>251.20613530547465</v>
      </c>
      <c r="L14" s="351">
        <f t="shared" ca="1" si="10"/>
        <v>260.78652382026058</v>
      </c>
      <c r="M14" s="351">
        <f t="shared" ca="1" si="10"/>
        <v>287.35250675746863</v>
      </c>
      <c r="N14" s="351">
        <f t="shared" ca="1" si="10"/>
        <v>296.98798978004805</v>
      </c>
      <c r="O14" s="351">
        <f t="shared" ca="1" si="10"/>
        <v>307.60538478362787</v>
      </c>
      <c r="P14" s="351">
        <f t="shared" ca="1" si="10"/>
        <v>317.89981317895365</v>
      </c>
      <c r="Q14" s="351">
        <f t="shared" ca="1" si="10"/>
        <v>313.64768383249407</v>
      </c>
      <c r="R14" s="351">
        <f t="shared" ca="1" si="10"/>
        <v>319.31197981032568</v>
      </c>
      <c r="S14" s="351">
        <f t="shared" ca="1" si="10"/>
        <v>323.29222211940294</v>
      </c>
      <c r="T14" s="351">
        <f t="shared" ca="1" si="10"/>
        <v>325.12564115915569</v>
      </c>
      <c r="U14" s="351">
        <f t="shared" ca="1" si="10"/>
        <v>329.02814665022066</v>
      </c>
      <c r="V14" s="351">
        <f t="shared" ca="1" si="10"/>
        <v>332.33164337578495</v>
      </c>
      <c r="W14" s="351">
        <f t="shared" ca="1" si="10"/>
        <v>335.40504660295483</v>
      </c>
      <c r="X14" s="351">
        <f t="shared" ca="1" si="10"/>
        <v>338.90004445384659</v>
      </c>
      <c r="Y14" s="351">
        <f t="shared" ca="1" si="10"/>
        <v>342.25648970707937</v>
      </c>
      <c r="Z14" s="351">
        <f t="shared" ca="1" si="10"/>
        <v>345.63093745971946</v>
      </c>
      <c r="AA14" s="351">
        <f t="shared" ca="1" si="10"/>
        <v>349.10774035101946</v>
      </c>
      <c r="AB14" s="351">
        <f t="shared" ca="1" si="10"/>
        <v>352.57835695605826</v>
      </c>
      <c r="AC14" s="351">
        <f t="shared" ca="1" si="10"/>
        <v>356.08779182071106</v>
      </c>
      <c r="AD14" s="351">
        <f t="shared" ca="1" si="10"/>
        <v>359.64312230344825</v>
      </c>
      <c r="AE14" s="351">
        <f t="shared" ca="1" si="10"/>
        <v>363.22515216727396</v>
      </c>
      <c r="AF14" s="354">
        <f t="shared" ca="1" si="10"/>
        <v>366.84506253908734</v>
      </c>
      <c r="AG14" s="523"/>
      <c r="AH14" s="7"/>
      <c r="AI14" s="7"/>
      <c r="AJ14" s="7"/>
      <c r="AK14" s="11"/>
      <c r="AL14" s="11"/>
      <c r="AM14" s="11"/>
      <c r="AN14" s="11"/>
    </row>
    <row r="15" spans="1:40" ht="15">
      <c r="A15" s="959"/>
      <c r="B15" s="279">
        <v>9</v>
      </c>
      <c r="C15" s="259" t="s">
        <v>421</v>
      </c>
      <c r="D15" s="306">
        <f t="shared" ref="D15:AF15" si="11">D8+D13+D14</f>
        <v>6095</v>
      </c>
      <c r="E15" s="307">
        <f t="shared" si="11"/>
        <v>5633</v>
      </c>
      <c r="F15" s="348">
        <f t="shared" si="11"/>
        <v>6205</v>
      </c>
      <c r="G15" s="364">
        <f t="shared" ca="1" si="11"/>
        <v>8901.3309628889274</v>
      </c>
      <c r="H15" s="365">
        <f t="shared" ca="1" si="11"/>
        <v>10575.370508755244</v>
      </c>
      <c r="I15" s="365">
        <f t="shared" ca="1" si="11"/>
        <v>12455.15535221832</v>
      </c>
      <c r="J15" s="366">
        <f t="shared" ca="1" si="11"/>
        <v>14815.375315558831</v>
      </c>
      <c r="K15" s="364">
        <f t="shared" ca="1" si="11"/>
        <v>17554.117186448799</v>
      </c>
      <c r="L15" s="365">
        <f t="shared" ca="1" si="11"/>
        <v>20598.678020369895</v>
      </c>
      <c r="M15" s="365">
        <f t="shared" ca="1" si="11"/>
        <v>23691.496585422916</v>
      </c>
      <c r="N15" s="365">
        <f t="shared" ca="1" si="11"/>
        <v>26695.936188768555</v>
      </c>
      <c r="O15" s="365">
        <f t="shared" ca="1" si="11"/>
        <v>29499.726178372868</v>
      </c>
      <c r="P15" s="365">
        <f t="shared" ca="1" si="11"/>
        <v>31961.881210349526</v>
      </c>
      <c r="Q15" s="365">
        <f t="shared" ca="1" si="11"/>
        <v>33153.697698209937</v>
      </c>
      <c r="R15" s="365">
        <f t="shared" ca="1" si="11"/>
        <v>34192.93565096183</v>
      </c>
      <c r="S15" s="365">
        <f t="shared" ca="1" si="11"/>
        <v>35270.488878944641</v>
      </c>
      <c r="T15" s="365">
        <f t="shared" ca="1" si="11"/>
        <v>36386.767790599544</v>
      </c>
      <c r="U15" s="365">
        <f t="shared" ca="1" si="11"/>
        <v>37548.03996646322</v>
      </c>
      <c r="V15" s="365">
        <f t="shared" ca="1" si="11"/>
        <v>38753.941601268925</v>
      </c>
      <c r="W15" s="365">
        <f t="shared" ca="1" si="11"/>
        <v>40007.10385200748</v>
      </c>
      <c r="X15" s="365">
        <f t="shared" ca="1" si="11"/>
        <v>41310.658552685476</v>
      </c>
      <c r="Y15" s="365">
        <f t="shared" ca="1" si="11"/>
        <v>42666.686619994107</v>
      </c>
      <c r="Z15" s="365">
        <f t="shared" ca="1" si="11"/>
        <v>44078.116435374162</v>
      </c>
      <c r="AA15" s="365">
        <f t="shared" ca="1" si="11"/>
        <v>45547.994787566597</v>
      </c>
      <c r="AB15" s="365">
        <f t="shared" ca="1" si="11"/>
        <v>47079.358066186505</v>
      </c>
      <c r="AC15" s="365">
        <f t="shared" ca="1" si="11"/>
        <v>48675.587281723063</v>
      </c>
      <c r="AD15" s="365">
        <f t="shared" ca="1" si="11"/>
        <v>50340.238426274227</v>
      </c>
      <c r="AE15" s="365">
        <f t="shared" ca="1" si="11"/>
        <v>52077.063125957815</v>
      </c>
      <c r="AF15" s="366">
        <f t="shared" ca="1" si="11"/>
        <v>53890.080204859019</v>
      </c>
      <c r="AG15" s="523"/>
      <c r="AH15" s="7"/>
      <c r="AI15" s="7"/>
      <c r="AJ15" s="7"/>
      <c r="AK15" s="11"/>
      <c r="AL15" s="11"/>
      <c r="AM15" s="11"/>
      <c r="AN15" s="11"/>
    </row>
    <row r="16" spans="1:40" ht="15">
      <c r="A16" s="959"/>
      <c r="B16" s="279">
        <v>10</v>
      </c>
      <c r="C16" s="273" t="s">
        <v>422</v>
      </c>
      <c r="D16" s="503">
        <f>'Fin. Data'!D21</f>
        <v>-979</v>
      </c>
      <c r="E16" s="504">
        <f>'Fin. Data'!C21</f>
        <v>-1141</v>
      </c>
      <c r="F16" s="505">
        <f>'Fin. Data'!B21</f>
        <v>-797</v>
      </c>
      <c r="G16" s="479">
        <f ca="1">-$D$56*G15</f>
        <v>-1484.0208695207048</v>
      </c>
      <c r="H16" s="441">
        <f ca="1">-$D$56*H15</f>
        <v>-1763.1150446307036</v>
      </c>
      <c r="I16" s="441">
        <f ca="1">-$D$56*I15</f>
        <v>-2076.5108670687605</v>
      </c>
      <c r="J16" s="442">
        <f ca="1">-$D$56*J15</f>
        <v>-2470.0043453878652</v>
      </c>
      <c r="K16" s="440">
        <f ca="1">-$E$56*K15</f>
        <v>-3159.7410935607836</v>
      </c>
      <c r="L16" s="441">
        <f ca="1">-$E$56*L15</f>
        <v>-3707.7620436665807</v>
      </c>
      <c r="M16" s="441">
        <f t="shared" ref="M16:AE16" ca="1" si="12">-$E$56*M15</f>
        <v>-4264.4693853761246</v>
      </c>
      <c r="N16" s="441">
        <f t="shared" ca="1" si="12"/>
        <v>-4805.2685139783398</v>
      </c>
      <c r="O16" s="441">
        <f t="shared" ca="1" si="12"/>
        <v>-5309.9507121071165</v>
      </c>
      <c r="P16" s="441">
        <f t="shared" ca="1" si="12"/>
        <v>-5753.1386178629145</v>
      </c>
      <c r="Q16" s="441">
        <f t="shared" ca="1" si="12"/>
        <v>-5967.6655856777888</v>
      </c>
      <c r="R16" s="441">
        <f t="shared" ca="1" si="12"/>
        <v>-6154.7284171731289</v>
      </c>
      <c r="S16" s="441">
        <f t="shared" ca="1" si="12"/>
        <v>-6348.6879982100354</v>
      </c>
      <c r="T16" s="441">
        <f t="shared" ca="1" si="12"/>
        <v>-6549.6182023079173</v>
      </c>
      <c r="U16" s="441">
        <f t="shared" ca="1" si="12"/>
        <v>-6758.6471939633793</v>
      </c>
      <c r="V16" s="441">
        <f t="shared" ca="1" si="12"/>
        <v>-6975.7094882284064</v>
      </c>
      <c r="W16" s="441">
        <f t="shared" ca="1" si="12"/>
        <v>-7201.2786933613461</v>
      </c>
      <c r="X16" s="441">
        <f t="shared" ca="1" si="12"/>
        <v>-7435.9185394833858</v>
      </c>
      <c r="Y16" s="441">
        <f t="shared" ca="1" si="12"/>
        <v>-7680.0035915989392</v>
      </c>
      <c r="Z16" s="441">
        <f t="shared" ca="1" si="12"/>
        <v>-7934.0609583673486</v>
      </c>
      <c r="AA16" s="441">
        <f t="shared" ca="1" si="12"/>
        <v>-8198.6390617619873</v>
      </c>
      <c r="AB16" s="441">
        <f t="shared" ca="1" si="12"/>
        <v>-8474.2844519135706</v>
      </c>
      <c r="AC16" s="441">
        <f t="shared" ca="1" si="12"/>
        <v>-8761.6057107101515</v>
      </c>
      <c r="AD16" s="441">
        <f t="shared" ca="1" si="12"/>
        <v>-9061.2429167293612</v>
      </c>
      <c r="AE16" s="441">
        <f t="shared" ca="1" si="12"/>
        <v>-9373.8713626724057</v>
      </c>
      <c r="AF16" s="442">
        <f ca="1">-$E$56*AF15</f>
        <v>-9700.2144368746231</v>
      </c>
      <c r="AG16" s="523"/>
      <c r="AH16" s="7"/>
      <c r="AI16" s="7"/>
      <c r="AJ16" s="7"/>
      <c r="AK16" s="11"/>
      <c r="AL16" s="11"/>
      <c r="AM16" s="11"/>
      <c r="AN16" s="11"/>
    </row>
    <row r="17" spans="1:40" ht="15.75" thickBot="1">
      <c r="A17" s="959"/>
      <c r="B17" s="280">
        <v>11</v>
      </c>
      <c r="C17" s="286" t="s">
        <v>423</v>
      </c>
      <c r="D17" s="343">
        <f>'Fin. Data'!D23</f>
        <v>5116</v>
      </c>
      <c r="E17" s="693">
        <f>'Fin. Data'!C23</f>
        <v>4492</v>
      </c>
      <c r="F17" s="350">
        <f>'Fin. Data'!B23</f>
        <v>5408</v>
      </c>
      <c r="G17" s="357">
        <f ca="1">G16+G15</f>
        <v>7417.3100933682226</v>
      </c>
      <c r="H17" s="358">
        <f t="shared" ref="H17:AF17" ca="1" si="13">H16+H15</f>
        <v>8812.2554641245406</v>
      </c>
      <c r="I17" s="358">
        <f t="shared" ca="1" si="13"/>
        <v>10378.64448514956</v>
      </c>
      <c r="J17" s="359">
        <f t="shared" ca="1" si="13"/>
        <v>12345.370970170967</v>
      </c>
      <c r="K17" s="357">
        <f t="shared" ca="1" si="13"/>
        <v>14394.376092888015</v>
      </c>
      <c r="L17" s="358">
        <f t="shared" ca="1" si="13"/>
        <v>16890.915976703312</v>
      </c>
      <c r="M17" s="358">
        <f t="shared" ca="1" si="13"/>
        <v>19427.027200046792</v>
      </c>
      <c r="N17" s="358">
        <f t="shared" ca="1" si="13"/>
        <v>21890.667674790217</v>
      </c>
      <c r="O17" s="358">
        <f t="shared" ca="1" si="13"/>
        <v>24189.775466265753</v>
      </c>
      <c r="P17" s="358">
        <f t="shared" ca="1" si="13"/>
        <v>26208.742592486611</v>
      </c>
      <c r="Q17" s="358">
        <f t="shared" ca="1" si="13"/>
        <v>27186.03211253215</v>
      </c>
      <c r="R17" s="358">
        <f t="shared" ca="1" si="13"/>
        <v>28038.2072337887</v>
      </c>
      <c r="S17" s="358">
        <f t="shared" ca="1" si="13"/>
        <v>28921.800880734605</v>
      </c>
      <c r="T17" s="358">
        <f t="shared" ca="1" si="13"/>
        <v>29837.149588291628</v>
      </c>
      <c r="U17" s="358">
        <f t="shared" ca="1" si="13"/>
        <v>30789.392772499843</v>
      </c>
      <c r="V17" s="358">
        <f t="shared" ca="1" si="13"/>
        <v>31778.232113040518</v>
      </c>
      <c r="W17" s="358">
        <f t="shared" ca="1" si="13"/>
        <v>32805.825158646134</v>
      </c>
      <c r="X17" s="358">
        <f t="shared" ca="1" si="13"/>
        <v>33874.740013202092</v>
      </c>
      <c r="Y17" s="358">
        <f t="shared" ca="1" si="13"/>
        <v>34986.683028395171</v>
      </c>
      <c r="Z17" s="358">
        <f t="shared" ca="1" si="13"/>
        <v>36144.055477006812</v>
      </c>
      <c r="AA17" s="358">
        <f t="shared" ca="1" si="13"/>
        <v>37349.355725804606</v>
      </c>
      <c r="AB17" s="358">
        <f t="shared" ca="1" si="13"/>
        <v>38605.073614272937</v>
      </c>
      <c r="AC17" s="358">
        <f t="shared" ca="1" si="13"/>
        <v>39913.981571012911</v>
      </c>
      <c r="AD17" s="358">
        <f t="shared" ca="1" si="13"/>
        <v>41278.995509544868</v>
      </c>
      <c r="AE17" s="358">
        <f t="shared" ca="1" si="13"/>
        <v>42703.191763285409</v>
      </c>
      <c r="AF17" s="359">
        <f t="shared" ca="1" si="13"/>
        <v>44189.865767984396</v>
      </c>
      <c r="AG17" s="523"/>
      <c r="AH17" s="7"/>
      <c r="AI17" s="7"/>
      <c r="AJ17" s="7"/>
      <c r="AK17" s="11"/>
      <c r="AL17" s="11"/>
      <c r="AM17" s="11"/>
      <c r="AN17" s="11"/>
    </row>
    <row r="18" spans="1:40" ht="15.75" thickBot="1">
      <c r="A18" s="263"/>
      <c r="B18" s="275"/>
      <c r="C18" s="276" t="s">
        <v>424</v>
      </c>
      <c r="D18" s="284" t="s">
        <v>424</v>
      </c>
      <c r="E18" s="284" t="s">
        <v>424</v>
      </c>
      <c r="F18" s="284" t="s">
        <v>424</v>
      </c>
      <c r="G18" s="281" t="s">
        <v>424</v>
      </c>
      <c r="H18" s="281" t="s">
        <v>424</v>
      </c>
      <c r="I18" s="281" t="s">
        <v>424</v>
      </c>
      <c r="J18" s="281" t="s">
        <v>424</v>
      </c>
      <c r="K18" s="281" t="s">
        <v>424</v>
      </c>
      <c r="L18" s="281" t="s">
        <v>424</v>
      </c>
      <c r="M18" s="281" t="s">
        <v>424</v>
      </c>
      <c r="N18" s="281" t="s">
        <v>424</v>
      </c>
      <c r="O18" s="281" t="s">
        <v>424</v>
      </c>
      <c r="P18" s="281" t="s">
        <v>424</v>
      </c>
      <c r="Q18" s="281" t="s">
        <v>424</v>
      </c>
      <c r="R18" s="281" t="s">
        <v>424</v>
      </c>
      <c r="S18" s="281" t="s">
        <v>424</v>
      </c>
      <c r="T18" s="281" t="s">
        <v>424</v>
      </c>
      <c r="U18" s="281" t="s">
        <v>424</v>
      </c>
      <c r="V18" s="281" t="s">
        <v>424</v>
      </c>
      <c r="W18" s="281" t="s">
        <v>424</v>
      </c>
      <c r="X18" s="281" t="s">
        <v>424</v>
      </c>
      <c r="Y18" s="281" t="s">
        <v>424</v>
      </c>
      <c r="Z18" s="281" t="s">
        <v>424</v>
      </c>
      <c r="AA18" s="281" t="s">
        <v>424</v>
      </c>
      <c r="AB18" s="281" t="s">
        <v>424</v>
      </c>
      <c r="AC18" s="281" t="s">
        <v>424</v>
      </c>
      <c r="AD18" s="281" t="s">
        <v>424</v>
      </c>
      <c r="AE18" s="281" t="s">
        <v>424</v>
      </c>
      <c r="AF18" s="291" t="s">
        <v>424</v>
      </c>
      <c r="AG18" s="523"/>
      <c r="AH18" s="7"/>
      <c r="AI18" s="7"/>
      <c r="AJ18" s="7"/>
      <c r="AK18" s="11"/>
      <c r="AL18" s="11"/>
      <c r="AM18" s="11"/>
      <c r="AN18" s="11"/>
    </row>
    <row r="19" spans="1:40" ht="15">
      <c r="A19" s="1081" t="s">
        <v>425</v>
      </c>
      <c r="B19" s="252">
        <v>12</v>
      </c>
      <c r="C19" t="s">
        <v>426</v>
      </c>
      <c r="D19" s="439">
        <f>392.6+403+242</f>
        <v>1037.5999999999999</v>
      </c>
      <c r="E19" s="299">
        <f>2026.3+575+758</f>
        <v>3359.3</v>
      </c>
      <c r="F19" s="617">
        <f>7274.3+339+116</f>
        <v>7729.3</v>
      </c>
      <c r="G19" s="499">
        <f ca="1">(G17-G10-G9-G11)*(1+$D$59)</f>
        <v>10233.080562498757</v>
      </c>
      <c r="H19" s="499">
        <f ca="1">(H17-H10-H9-H11)*(1+$D$59)</f>
        <v>11536.138781094203</v>
      </c>
      <c r="I19" s="499">
        <f ca="1">(I17-I10-I9-I11)*(1+$D$59)</f>
        <v>12983.387759195995</v>
      </c>
      <c r="J19" s="499">
        <f ca="1">(J17-J10-J9-J11)*(1+$D$59)</f>
        <v>14691.801787064796</v>
      </c>
      <c r="K19" s="499">
        <f t="shared" ref="K19:AF19" ca="1" si="14">(K17-K10-K9-K11)*(1+$E$59)</f>
        <v>11388.205132668789</v>
      </c>
      <c r="L19" s="499">
        <f t="shared" ca="1" si="14"/>
        <v>12777.895802438261</v>
      </c>
      <c r="M19" s="499">
        <f t="shared" ca="1" si="14"/>
        <v>14209.127028627308</v>
      </c>
      <c r="N19" s="499">
        <f t="shared" ca="1" si="14"/>
        <v>15637.78146598316</v>
      </c>
      <c r="O19" s="499">
        <f t="shared" ca="1" si="14"/>
        <v>17027.501223804291</v>
      </c>
      <c r="P19" s="499">
        <f t="shared" ca="1" si="14"/>
        <v>18332.679425562721</v>
      </c>
      <c r="Q19" s="499">
        <f t="shared" ca="1" si="14"/>
        <v>19243.453606336756</v>
      </c>
      <c r="R19" s="499">
        <f t="shared" ca="1" si="14"/>
        <v>20139.142490690974</v>
      </c>
      <c r="S19" s="499">
        <f t="shared" ca="1" si="14"/>
        <v>21083.689253098379</v>
      </c>
      <c r="T19" s="499">
        <f t="shared" ca="1" si="14"/>
        <v>22079.662598811687</v>
      </c>
      <c r="U19" s="499">
        <f t="shared" ca="1" si="14"/>
        <v>23131.687069649757</v>
      </c>
      <c r="V19" s="499">
        <f t="shared" ca="1" si="14"/>
        <v>24242.420169548539</v>
      </c>
      <c r="W19" s="499">
        <f t="shared" ca="1" si="14"/>
        <v>25415.673569783547</v>
      </c>
      <c r="X19" s="499">
        <f t="shared" ca="1" si="14"/>
        <v>26655.620025771925</v>
      </c>
      <c r="Y19" s="499">
        <f t="shared" ca="1" si="14"/>
        <v>27966.305642367177</v>
      </c>
      <c r="Z19" s="499">
        <f t="shared" ca="1" si="14"/>
        <v>29352.277423073887</v>
      </c>
      <c r="AA19" s="499">
        <f t="shared" ca="1" si="14"/>
        <v>30818.363098861639</v>
      </c>
      <c r="AB19" s="499">
        <f t="shared" ca="1" si="14"/>
        <v>32369.645877982432</v>
      </c>
      <c r="AC19" s="499">
        <f t="shared" ca="1" si="14"/>
        <v>34011.596580281388</v>
      </c>
      <c r="AD19" s="499">
        <f t="shared" ca="1" si="14"/>
        <v>35750.03747962835</v>
      </c>
      <c r="AE19" s="499">
        <f t="shared" ca="1" si="14"/>
        <v>37591.168870237067</v>
      </c>
      <c r="AF19" s="499">
        <f t="shared" ca="1" si="14"/>
        <v>39541.613420601607</v>
      </c>
      <c r="AG19" s="523"/>
      <c r="AH19" s="7"/>
      <c r="AI19" s="7"/>
      <c r="AJ19" s="7"/>
      <c r="AK19" s="11"/>
      <c r="AL19" s="11"/>
      <c r="AM19" s="11"/>
      <c r="AN19" s="11"/>
    </row>
    <row r="20" spans="1:40" ht="15">
      <c r="A20" s="1082"/>
      <c r="B20" s="252">
        <v>13</v>
      </c>
      <c r="C20" s="273" t="s">
        <v>427</v>
      </c>
      <c r="D20" s="300">
        <v>-403</v>
      </c>
      <c r="E20" s="301">
        <v>-575</v>
      </c>
      <c r="F20" s="607">
        <v>-339</v>
      </c>
      <c r="G20" s="499">
        <f ca="1">G11</f>
        <v>-322.42625551546166</v>
      </c>
      <c r="H20" s="520">
        <f t="shared" ref="H20:AF20" ca="1" si="15">H11</f>
        <v>-367.16784868600001</v>
      </c>
      <c r="I20" s="520">
        <f t="shared" ca="1" si="15"/>
        <v>-420.06719473969002</v>
      </c>
      <c r="J20" s="521">
        <f t="shared" ca="1" si="15"/>
        <v>-482.8179566046158</v>
      </c>
      <c r="K20" s="499">
        <f t="shared" ca="1" si="15"/>
        <v>-557.50571244570961</v>
      </c>
      <c r="L20" s="520">
        <f t="shared" ca="1" si="15"/>
        <v>-646.70662643702303</v>
      </c>
      <c r="M20" s="520">
        <f t="shared" ca="1" si="15"/>
        <v>-735.50504785420344</v>
      </c>
      <c r="N20" s="520">
        <f t="shared" ca="1" si="15"/>
        <v>-819.8066678514748</v>
      </c>
      <c r="O20" s="520">
        <f t="shared" ca="1" si="15"/>
        <v>-895.16820349400166</v>
      </c>
      <c r="P20" s="520">
        <f t="shared" ca="1" si="15"/>
        <v>-957.14485804780168</v>
      </c>
      <c r="Q20" s="520">
        <f t="shared" ca="1" si="15"/>
        <v>-976.28775520875774</v>
      </c>
      <c r="R20" s="520">
        <f t="shared" ca="1" si="15"/>
        <v>-995.81351031293286</v>
      </c>
      <c r="S20" s="520">
        <f t="shared" ca="1" si="15"/>
        <v>-1015.7297805191915</v>
      </c>
      <c r="T20" s="520">
        <f t="shared" ca="1" si="15"/>
        <v>-1036.0443761295755</v>
      </c>
      <c r="U20" s="520">
        <f t="shared" ca="1" si="15"/>
        <v>-1056.7652636521671</v>
      </c>
      <c r="V20" s="520">
        <f t="shared" ca="1" si="15"/>
        <v>-1077.9005689252103</v>
      </c>
      <c r="W20" s="520">
        <f t="shared" ca="1" si="15"/>
        <v>-1099.4585803037146</v>
      </c>
      <c r="X20" s="520">
        <f t="shared" ca="1" si="15"/>
        <v>-1121.4477519097888</v>
      </c>
      <c r="Y20" s="520">
        <f t="shared" ca="1" si="15"/>
        <v>-1143.8767069479848</v>
      </c>
      <c r="Z20" s="520">
        <f t="shared" ca="1" si="15"/>
        <v>-1166.7542410869444</v>
      </c>
      <c r="AA20" s="520">
        <f t="shared" ca="1" si="15"/>
        <v>-1190.0893259086833</v>
      </c>
      <c r="AB20" s="520">
        <f t="shared" ca="1" si="15"/>
        <v>-1213.891112426857</v>
      </c>
      <c r="AC20" s="520">
        <f t="shared" ca="1" si="15"/>
        <v>-1238.1689346753942</v>
      </c>
      <c r="AD20" s="520">
        <f t="shared" ca="1" si="15"/>
        <v>-1262.932313368902</v>
      </c>
      <c r="AE20" s="520">
        <f t="shared" ca="1" si="15"/>
        <v>-1288.1909596362802</v>
      </c>
      <c r="AF20" s="522">
        <f t="shared" ca="1" si="15"/>
        <v>-1313.9547788290058</v>
      </c>
      <c r="AG20" s="523"/>
      <c r="AH20" s="7"/>
      <c r="AI20" s="7"/>
      <c r="AJ20" s="7"/>
      <c r="AK20" s="11"/>
      <c r="AL20" s="11"/>
      <c r="AM20" s="11"/>
      <c r="AN20" s="11"/>
    </row>
    <row r="21" spans="1:40" ht="15">
      <c r="A21" s="1082"/>
      <c r="B21" s="252">
        <v>14</v>
      </c>
      <c r="C21" s="273" t="s">
        <v>428</v>
      </c>
      <c r="D21" s="305">
        <f>Inputs!D62</f>
        <v>-242</v>
      </c>
      <c r="E21" s="304">
        <f>Inputs!C62</f>
        <v>-758.1</v>
      </c>
      <c r="F21" s="608">
        <f>Inputs!B62</f>
        <v>-116.1</v>
      </c>
      <c r="G21" s="388">
        <f t="shared" ref="G21:J21" ca="1" si="16">$D$60*(G6-F6)</f>
        <v>-448.75805798288638</v>
      </c>
      <c r="H21" s="473">
        <f t="shared" ca="1" si="16"/>
        <v>-528.88089857442128</v>
      </c>
      <c r="I21" s="473">
        <f t="shared" ca="1" si="16"/>
        <v>-625.3119679541843</v>
      </c>
      <c r="J21" s="474">
        <f t="shared" ca="1" si="16"/>
        <v>-741.76346816378134</v>
      </c>
      <c r="K21" s="355">
        <f t="shared" ref="K21:AF21" ca="1" si="17">$E$60*(K6-J6)</f>
        <v>-882.86814622764507</v>
      </c>
      <c r="L21" s="352">
        <f t="shared" ca="1" si="17"/>
        <v>-1054.425115475115</v>
      </c>
      <c r="M21" s="352">
        <f t="shared" ca="1" si="17"/>
        <v>-1049.6673359864499</v>
      </c>
      <c r="N21" s="352">
        <f t="shared" ca="1" si="17"/>
        <v>-996.51159862575423</v>
      </c>
      <c r="O21" s="352">
        <f t="shared" ca="1" si="17"/>
        <v>-890.83275458356377</v>
      </c>
      <c r="P21" s="352">
        <f t="shared" ca="1" si="17"/>
        <v>-732.61290956072241</v>
      </c>
      <c r="Q21" s="352">
        <f t="shared" ca="1" si="17"/>
        <v>-226.28413371902184</v>
      </c>
      <c r="R21" s="352">
        <f t="shared" ca="1" si="17"/>
        <v>-230.80981639340186</v>
      </c>
      <c r="S21" s="352">
        <f t="shared" ca="1" si="17"/>
        <v>-235.42601272127101</v>
      </c>
      <c r="T21" s="352">
        <f t="shared" ca="1" si="17"/>
        <v>-240.13453297569589</v>
      </c>
      <c r="U21" s="352">
        <f t="shared" ca="1" si="17"/>
        <v>-244.93722363520956</v>
      </c>
      <c r="V21" s="352">
        <f t="shared" ca="1" si="17"/>
        <v>-249.83596810791434</v>
      </c>
      <c r="W21" s="352">
        <f t="shared" ca="1" si="17"/>
        <v>-254.83268747007165</v>
      </c>
      <c r="X21" s="352">
        <f t="shared" ca="1" si="17"/>
        <v>-259.92934121947309</v>
      </c>
      <c r="Y21" s="352">
        <f t="shared" ca="1" si="17"/>
        <v>-265.1279280438639</v>
      </c>
      <c r="Z21" s="352">
        <f t="shared" ca="1" si="17"/>
        <v>-270.43048660474011</v>
      </c>
      <c r="AA21" s="352">
        <f t="shared" ca="1" si="17"/>
        <v>-275.83909633683623</v>
      </c>
      <c r="AB21" s="352">
        <f t="shared" ca="1" si="17"/>
        <v>-281.35587826357164</v>
      </c>
      <c r="AC21" s="352">
        <f t="shared" ca="1" si="17"/>
        <v>-286.98299582884317</v>
      </c>
      <c r="AD21" s="352">
        <f t="shared" ca="1" si="17"/>
        <v>-292.72265574541916</v>
      </c>
      <c r="AE21" s="352">
        <f t="shared" ca="1" si="17"/>
        <v>-298.57710886032999</v>
      </c>
      <c r="AF21" s="356">
        <f t="shared" ca="1" si="17"/>
        <v>-304.5486510375344</v>
      </c>
      <c r="AG21" s="523"/>
      <c r="AH21" s="7"/>
      <c r="AI21" s="7"/>
      <c r="AJ21" s="7"/>
      <c r="AK21" s="11"/>
      <c r="AL21" s="11"/>
      <c r="AM21" s="11"/>
      <c r="AN21" s="11"/>
    </row>
    <row r="22" spans="1:40" ht="15">
      <c r="A22" s="1082"/>
      <c r="B22" s="252">
        <v>15</v>
      </c>
      <c r="C22" s="282" t="s">
        <v>429</v>
      </c>
      <c r="D22" s="302">
        <f t="shared" ref="D22:AF22" si="18">D19+D20+D21</f>
        <v>392.59999999999991</v>
      </c>
      <c r="E22" s="303">
        <f t="shared" si="18"/>
        <v>2026.2000000000003</v>
      </c>
      <c r="F22" s="609">
        <f t="shared" si="18"/>
        <v>7274.2</v>
      </c>
      <c r="G22" s="469">
        <f ca="1">G19+G20+G21</f>
        <v>9461.8962490004087</v>
      </c>
      <c r="H22" s="470">
        <f t="shared" ca="1" si="18"/>
        <v>10640.090033833781</v>
      </c>
      <c r="I22" s="470">
        <f ca="1">I19+I20+I21</f>
        <v>11938.008596502121</v>
      </c>
      <c r="J22" s="471">
        <f t="shared" ca="1" si="18"/>
        <v>13467.220362296399</v>
      </c>
      <c r="K22" s="469">
        <f t="shared" ca="1" si="18"/>
        <v>9947.8312739954345</v>
      </c>
      <c r="L22" s="470">
        <f t="shared" ca="1" si="18"/>
        <v>11076.764060526124</v>
      </c>
      <c r="M22" s="470">
        <f t="shared" ca="1" si="18"/>
        <v>12423.954644786656</v>
      </c>
      <c r="N22" s="470">
        <f t="shared" ca="1" si="18"/>
        <v>13821.463199505932</v>
      </c>
      <c r="O22" s="470">
        <f t="shared" ca="1" si="18"/>
        <v>15241.500265726725</v>
      </c>
      <c r="P22" s="470">
        <f t="shared" ca="1" si="18"/>
        <v>16642.921657954197</v>
      </c>
      <c r="Q22" s="470">
        <f t="shared" ca="1" si="18"/>
        <v>18040.881717408975</v>
      </c>
      <c r="R22" s="470">
        <f t="shared" ca="1" si="18"/>
        <v>18912.519163984642</v>
      </c>
      <c r="S22" s="470">
        <f t="shared" ca="1" si="18"/>
        <v>19832.533459857917</v>
      </c>
      <c r="T22" s="470">
        <f t="shared" ca="1" si="18"/>
        <v>20803.483689706416</v>
      </c>
      <c r="U22" s="470">
        <f t="shared" ca="1" si="18"/>
        <v>21829.98458236238</v>
      </c>
      <c r="V22" s="470">
        <f t="shared" ca="1" si="18"/>
        <v>22914.683632515415</v>
      </c>
      <c r="W22" s="470">
        <f t="shared" ca="1" si="18"/>
        <v>24061.382302009759</v>
      </c>
      <c r="X22" s="470">
        <f t="shared" ca="1" si="18"/>
        <v>25274.242932642661</v>
      </c>
      <c r="Y22" s="470">
        <f t="shared" ca="1" si="18"/>
        <v>26557.301007375328</v>
      </c>
      <c r="Z22" s="470">
        <f t="shared" ca="1" si="18"/>
        <v>27915.092695382205</v>
      </c>
      <c r="AA22" s="470">
        <f t="shared" ca="1" si="18"/>
        <v>29352.434676616118</v>
      </c>
      <c r="AB22" s="470">
        <f t="shared" ca="1" si="18"/>
        <v>30874.398887292005</v>
      </c>
      <c r="AC22" s="470">
        <f t="shared" ca="1" si="18"/>
        <v>32486.444649777153</v>
      </c>
      <c r="AD22" s="470">
        <f t="shared" ca="1" si="18"/>
        <v>34194.382510514028</v>
      </c>
      <c r="AE22" s="470">
        <f t="shared" ca="1" si="18"/>
        <v>36004.400801740456</v>
      </c>
      <c r="AF22" s="472">
        <f t="shared" ca="1" si="18"/>
        <v>37923.109990735065</v>
      </c>
      <c r="AG22" s="523"/>
      <c r="AH22" s="7"/>
      <c r="AI22" s="7"/>
      <c r="AJ22" s="7"/>
      <c r="AK22" s="11"/>
      <c r="AL22" s="11"/>
      <c r="AM22" s="11"/>
      <c r="AN22" s="11"/>
    </row>
    <row r="23" spans="1:40" ht="15">
      <c r="A23" s="1082"/>
      <c r="B23" s="252">
        <v>16</v>
      </c>
      <c r="C23" s="273" t="s">
        <v>430</v>
      </c>
      <c r="D23" s="328">
        <f>'Fin. Data'!D32</f>
        <v>-524.6</v>
      </c>
      <c r="E23" s="327">
        <f>'Fin. Data'!C32</f>
        <v>-407.7</v>
      </c>
      <c r="F23" s="610">
        <f>'Fin. Data'!B32</f>
        <v>-348.6</v>
      </c>
      <c r="G23" s="355">
        <f ca="1">G6*$D$62</f>
        <v>-560.8795079833161</v>
      </c>
      <c r="H23" s="352">
        <f t="shared" ref="H23:J23" ca="1" si="19">H6*$D$62</f>
        <v>-638.71015091207676</v>
      </c>
      <c r="I23" s="352">
        <f t="shared" ca="1" si="19"/>
        <v>-730.73168662665194</v>
      </c>
      <c r="J23" s="453">
        <f t="shared" ca="1" si="19"/>
        <v>-839.89034178676206</v>
      </c>
      <c r="K23" s="355">
        <f t="shared" ref="K23:AF23" ca="1" si="20">K6*$E$62</f>
        <v>-484.9070513729344</v>
      </c>
      <c r="L23" s="352">
        <f t="shared" ca="1" si="20"/>
        <v>-562.49217959260375</v>
      </c>
      <c r="M23" s="352">
        <f t="shared" ca="1" si="20"/>
        <v>-639.72722801404814</v>
      </c>
      <c r="N23" s="352">
        <f t="shared" ca="1" si="20"/>
        <v>-713.05105065168482</v>
      </c>
      <c r="O23" s="352">
        <f t="shared" ca="1" si="20"/>
        <v>-778.59897100400326</v>
      </c>
      <c r="P23" s="352">
        <f t="shared" ca="1" si="20"/>
        <v>-832.50499589799699</v>
      </c>
      <c r="Q23" s="352">
        <f t="shared" ca="1" si="20"/>
        <v>-849.155095815957</v>
      </c>
      <c r="R23" s="352">
        <f t="shared" ca="1" si="20"/>
        <v>-866.13819773227613</v>
      </c>
      <c r="S23" s="352">
        <f t="shared" ca="1" si="20"/>
        <v>-883.46096168692168</v>
      </c>
      <c r="T23" s="352">
        <f t="shared" ca="1" si="20"/>
        <v>-901.13018092066011</v>
      </c>
      <c r="U23" s="352">
        <f t="shared" ca="1" si="20"/>
        <v>-919.15278453907331</v>
      </c>
      <c r="V23" s="352">
        <f t="shared" ca="1" si="20"/>
        <v>-937.5358402298549</v>
      </c>
      <c r="W23" s="352">
        <f t="shared" ca="1" si="20"/>
        <v>-956.2865570344519</v>
      </c>
      <c r="X23" s="352">
        <f t="shared" ca="1" si="20"/>
        <v>-975.41228817514093</v>
      </c>
      <c r="Y23" s="352">
        <f t="shared" ca="1" si="20"/>
        <v>-994.92053393864387</v>
      </c>
      <c r="Z23" s="352">
        <f t="shared" ca="1" si="20"/>
        <v>-1014.8189446174167</v>
      </c>
      <c r="AA23" s="352">
        <f t="shared" ca="1" si="20"/>
        <v>-1035.1153235097652</v>
      </c>
      <c r="AB23" s="352">
        <f t="shared" ca="1" si="20"/>
        <v>-1055.8176299799604</v>
      </c>
      <c r="AC23" s="352">
        <f t="shared" ca="1" si="20"/>
        <v>-1076.9339825795596</v>
      </c>
      <c r="AD23" s="352">
        <f t="shared" ca="1" si="20"/>
        <v>-1098.4726622311509</v>
      </c>
      <c r="AE23" s="352">
        <f t="shared" ca="1" si="20"/>
        <v>-1120.442115475774</v>
      </c>
      <c r="AF23" s="356">
        <f t="shared" ca="1" si="20"/>
        <v>-1142.8509577852894</v>
      </c>
      <c r="AG23" s="524">
        <f ca="1">SUM(D23:AF23)</f>
        <v>-23890.037220093975</v>
      </c>
      <c r="AH23" s="7"/>
      <c r="AI23" s="7"/>
      <c r="AJ23" s="7"/>
      <c r="AK23" s="11"/>
      <c r="AL23" s="11"/>
      <c r="AM23" s="11"/>
      <c r="AN23" s="11"/>
    </row>
    <row r="24" spans="1:40" ht="15">
      <c r="A24" s="1082"/>
      <c r="B24" s="252">
        <v>17</v>
      </c>
      <c r="C24" s="273" t="s">
        <v>431</v>
      </c>
      <c r="D24" s="305">
        <f>Inputs!D66</f>
        <v>-788.3</v>
      </c>
      <c r="E24" s="304">
        <f>'Fin. Data'!C33</f>
        <v>-1668.6999999999998</v>
      </c>
      <c r="F24" s="608">
        <f>'Fin. Data'!B33</f>
        <v>-504.9</v>
      </c>
      <c r="G24" s="355">
        <f ca="1">G6*$D$63</f>
        <v>-720.86645417594877</v>
      </c>
      <c r="H24" s="352">
        <f t="shared" ref="H24:J24" ca="1" si="21">H6*$D$63</f>
        <v>-820.89774217222737</v>
      </c>
      <c r="I24" s="352">
        <f t="shared" ca="1" si="21"/>
        <v>-939.16777560044898</v>
      </c>
      <c r="J24" s="453">
        <f t="shared" ca="1" si="21"/>
        <v>-1079.4631716130705</v>
      </c>
      <c r="K24" s="355">
        <f t="shared" ref="K24:AF24" ca="1" si="22">K6*$E$63</f>
        <v>-623.22338711386772</v>
      </c>
      <c r="L24" s="352">
        <f t="shared" ca="1" si="22"/>
        <v>-722.93912905208651</v>
      </c>
      <c r="M24" s="352">
        <f t="shared" ca="1" si="22"/>
        <v>-822.2049333847533</v>
      </c>
      <c r="N24" s="352">
        <f t="shared" ca="1" si="22"/>
        <v>-916.44386220828869</v>
      </c>
      <c r="O24" s="352">
        <f t="shared" ca="1" si="22"/>
        <v>-1000.6888671521829</v>
      </c>
      <c r="P24" s="352">
        <f t="shared" ca="1" si="22"/>
        <v>-1069.971207603119</v>
      </c>
      <c r="Q24" s="352">
        <f t="shared" ca="1" si="22"/>
        <v>-1091.3706317551814</v>
      </c>
      <c r="R24" s="352">
        <f t="shared" ca="1" si="22"/>
        <v>-1113.1980443902851</v>
      </c>
      <c r="S24" s="352">
        <f t="shared" ca="1" si="22"/>
        <v>-1135.4620052780908</v>
      </c>
      <c r="T24" s="352">
        <f t="shared" ca="1" si="22"/>
        <v>-1158.1712453836526</v>
      </c>
      <c r="U24" s="352">
        <f t="shared" ca="1" si="22"/>
        <v>-1181.3346702913257</v>
      </c>
      <c r="V24" s="352">
        <f t="shared" ca="1" si="22"/>
        <v>-1204.9613636971524</v>
      </c>
      <c r="W24" s="352">
        <f t="shared" ca="1" si="22"/>
        <v>-1229.0605909710953</v>
      </c>
      <c r="X24" s="352">
        <f t="shared" ca="1" si="22"/>
        <v>-1253.6418027905172</v>
      </c>
      <c r="Y24" s="352">
        <f t="shared" ca="1" si="22"/>
        <v>-1278.7146388463277</v>
      </c>
      <c r="Z24" s="352">
        <f t="shared" ca="1" si="22"/>
        <v>-1304.2889316232543</v>
      </c>
      <c r="AA24" s="352">
        <f t="shared" ca="1" si="22"/>
        <v>-1330.3747102557195</v>
      </c>
      <c r="AB24" s="352">
        <f t="shared" ca="1" si="22"/>
        <v>-1356.9822044608338</v>
      </c>
      <c r="AC24" s="352">
        <f t="shared" ca="1" si="22"/>
        <v>-1384.1218485500503</v>
      </c>
      <c r="AD24" s="352">
        <f t="shared" ca="1" si="22"/>
        <v>-1411.8042855210515</v>
      </c>
      <c r="AE24" s="352">
        <f t="shared" ca="1" si="22"/>
        <v>-1440.0403712314726</v>
      </c>
      <c r="AF24" s="356">
        <f t="shared" ca="1" si="22"/>
        <v>-1468.8411786561019</v>
      </c>
      <c r="AG24" s="523"/>
      <c r="AH24" s="525">
        <f ca="1">AG9-AG23</f>
        <v>209.73042799973337</v>
      </c>
      <c r="AI24" s="7"/>
      <c r="AJ24" s="7"/>
      <c r="AK24" s="11"/>
      <c r="AL24" s="11"/>
      <c r="AM24" s="11"/>
      <c r="AN24" s="11"/>
    </row>
    <row r="25" spans="1:40" ht="15">
      <c r="A25" s="1082"/>
      <c r="B25" s="252">
        <v>18</v>
      </c>
      <c r="C25" s="273" t="s">
        <v>432</v>
      </c>
      <c r="D25" s="305">
        <f>Inputs!D67</f>
        <v>-27.000000000000114</v>
      </c>
      <c r="E25" s="304">
        <f>Inputs!C67</f>
        <v>0</v>
      </c>
      <c r="F25" s="608">
        <f>Inputs!B67</f>
        <v>1395.3</v>
      </c>
      <c r="G25" s="355">
        <f ca="1">(1+G5)*AVERAGE(D25:F25)</f>
        <v>516.96959689232858</v>
      </c>
      <c r="H25" s="352">
        <f t="shared" ref="H25:AF25" ca="1" si="23">(1+H5)*AVERAGE(E25:G25)</f>
        <v>725.87545419351557</v>
      </c>
      <c r="I25" s="352">
        <f t="shared" ca="1" si="23"/>
        <v>1006.0777333781494</v>
      </c>
      <c r="J25" s="453">
        <f t="shared" ca="1" si="23"/>
        <v>861.62429642503298</v>
      </c>
      <c r="K25" s="355">
        <f t="shared" ca="1" si="23"/>
        <v>998.26048528874355</v>
      </c>
      <c r="L25" s="352">
        <f t="shared" ca="1" si="23"/>
        <v>1108.1721725022112</v>
      </c>
      <c r="M25" s="352">
        <f t="shared" ca="1" si="23"/>
        <v>1125.1989608599938</v>
      </c>
      <c r="N25" s="352">
        <f t="shared" ca="1" si="23"/>
        <v>1200.6775284270907</v>
      </c>
      <c r="O25" s="352">
        <f t="shared" ca="1" si="23"/>
        <v>1249.9089894536912</v>
      </c>
      <c r="P25" s="352">
        <f t="shared" ca="1" si="23"/>
        <v>1274.4512413421023</v>
      </c>
      <c r="Q25" s="352">
        <f t="shared" ca="1" si="23"/>
        <v>1266.5128381357808</v>
      </c>
      <c r="R25" s="352">
        <f t="shared" ca="1" si="23"/>
        <v>1288.8968434367353</v>
      </c>
      <c r="S25" s="352">
        <f t="shared" ca="1" si="23"/>
        <v>1302.1527137909704</v>
      </c>
      <c r="T25" s="352">
        <f t="shared" ca="1" si="23"/>
        <v>1311.5712144235856</v>
      </c>
      <c r="U25" s="352">
        <f t="shared" ca="1" si="23"/>
        <v>1326.8910623614393</v>
      </c>
      <c r="V25" s="352">
        <f t="shared" ca="1" si="23"/>
        <v>1339.8090967958385</v>
      </c>
      <c r="W25" s="352">
        <f t="shared" ca="1" si="23"/>
        <v>1352.6122670174937</v>
      </c>
      <c r="X25" s="352">
        <f t="shared" ca="1" si="23"/>
        <v>1366.5662248994224</v>
      </c>
      <c r="Y25" s="352">
        <f t="shared" ca="1" si="23"/>
        <v>1380.0557801623365</v>
      </c>
      <c r="Z25" s="352">
        <f t="shared" ca="1" si="23"/>
        <v>1393.7396525069457</v>
      </c>
      <c r="AA25" s="352">
        <f t="shared" ca="1" si="23"/>
        <v>1407.7229635733597</v>
      </c>
      <c r="AB25" s="352">
        <f t="shared" ca="1" si="23"/>
        <v>1421.7162547224982</v>
      </c>
      <c r="AC25" s="352">
        <f t="shared" ca="1" si="23"/>
        <v>1435.8808160729532</v>
      </c>
      <c r="AD25" s="352">
        <f t="shared" ca="1" si="23"/>
        <v>1450.2088116853959</v>
      </c>
      <c r="AE25" s="352">
        <f t="shared" ca="1" si="23"/>
        <v>1464.6540000434879</v>
      </c>
      <c r="AF25" s="356">
        <f t="shared" ca="1" si="23"/>
        <v>1479.2528334526246</v>
      </c>
      <c r="AG25" s="331"/>
      <c r="AH25" s="7"/>
      <c r="AI25" s="7"/>
      <c r="AJ25" s="7"/>
      <c r="AK25" s="11"/>
      <c r="AL25" s="11"/>
      <c r="AM25" s="11"/>
      <c r="AN25" s="11"/>
    </row>
    <row r="26" spans="1:40" ht="15">
      <c r="A26" s="1082"/>
      <c r="B26" s="252">
        <v>19</v>
      </c>
      <c r="C26" s="282" t="s">
        <v>433</v>
      </c>
      <c r="D26" s="302">
        <f t="shared" ref="D26:AF26" si="24">D23+D24+D25</f>
        <v>-1339.9</v>
      </c>
      <c r="E26" s="303">
        <f t="shared" si="24"/>
        <v>-2076.3999999999996</v>
      </c>
      <c r="F26" s="609">
        <f t="shared" si="24"/>
        <v>541.79999999999995</v>
      </c>
      <c r="G26" s="368">
        <f ca="1">G23+G24+G25</f>
        <v>-764.77636526693618</v>
      </c>
      <c r="H26" s="729">
        <f t="shared" ca="1" si="24"/>
        <v>-733.73243889078856</v>
      </c>
      <c r="I26" s="729">
        <f t="shared" ca="1" si="24"/>
        <v>-663.82172884895147</v>
      </c>
      <c r="J26" s="452">
        <f t="shared" ca="1" si="24"/>
        <v>-1057.7292169747996</v>
      </c>
      <c r="K26" s="368">
        <f t="shared" ca="1" si="24"/>
        <v>-109.86995319805862</v>
      </c>
      <c r="L26" s="367">
        <f t="shared" ca="1" si="24"/>
        <v>-177.25913614247906</v>
      </c>
      <c r="M26" s="367">
        <f t="shared" ca="1" si="24"/>
        <v>-336.73320053880752</v>
      </c>
      <c r="N26" s="367">
        <f t="shared" ca="1" si="24"/>
        <v>-428.81738443288282</v>
      </c>
      <c r="O26" s="367">
        <f t="shared" ca="1" si="24"/>
        <v>-529.37884870249491</v>
      </c>
      <c r="P26" s="367">
        <f t="shared" ca="1" si="24"/>
        <v>-628.02496215901351</v>
      </c>
      <c r="Q26" s="367">
        <f t="shared" ca="1" si="24"/>
        <v>-674.01288943535747</v>
      </c>
      <c r="R26" s="367">
        <f t="shared" ca="1" si="24"/>
        <v>-690.43939868582584</v>
      </c>
      <c r="S26" s="367">
        <f t="shared" ca="1" si="24"/>
        <v>-716.77025317404218</v>
      </c>
      <c r="T26" s="367">
        <f t="shared" ca="1" si="24"/>
        <v>-747.73021188072721</v>
      </c>
      <c r="U26" s="367">
        <f t="shared" ca="1" si="24"/>
        <v>-773.59639246895949</v>
      </c>
      <c r="V26" s="367">
        <f t="shared" ca="1" si="24"/>
        <v>-802.68810713116886</v>
      </c>
      <c r="W26" s="367">
        <f t="shared" ca="1" si="24"/>
        <v>-832.73488098805365</v>
      </c>
      <c r="X26" s="367">
        <f t="shared" ca="1" si="24"/>
        <v>-862.48786606623594</v>
      </c>
      <c r="Y26" s="367">
        <f t="shared" ca="1" si="24"/>
        <v>-893.57939262263494</v>
      </c>
      <c r="Z26" s="367">
        <f t="shared" ca="1" si="24"/>
        <v>-925.36822373372524</v>
      </c>
      <c r="AA26" s="367">
        <f t="shared" ca="1" si="24"/>
        <v>-957.76707019212472</v>
      </c>
      <c r="AB26" s="367">
        <f t="shared" ca="1" si="24"/>
        <v>-991.08357971829605</v>
      </c>
      <c r="AC26" s="367">
        <f t="shared" ca="1" si="24"/>
        <v>-1025.1750150566568</v>
      </c>
      <c r="AD26" s="367">
        <f t="shared" ca="1" si="24"/>
        <v>-1060.0681360668066</v>
      </c>
      <c r="AE26" s="367">
        <f t="shared" ca="1" si="24"/>
        <v>-1095.8284866637587</v>
      </c>
      <c r="AF26" s="326">
        <f t="shared" ca="1" si="24"/>
        <v>-1132.4393029887665</v>
      </c>
      <c r="AG26" s="523"/>
      <c r="AH26" s="7"/>
      <c r="AI26" s="7"/>
      <c r="AJ26" s="7"/>
      <c r="AK26" s="11"/>
      <c r="AL26" s="11"/>
      <c r="AM26" s="11"/>
      <c r="AN26" s="11"/>
    </row>
    <row r="27" spans="1:40" ht="15">
      <c r="A27" s="1082"/>
      <c r="B27" s="252">
        <v>20</v>
      </c>
      <c r="C27" s="273" t="s">
        <v>434</v>
      </c>
      <c r="D27" s="305">
        <f>Inputs!D71+Inputs!D72</f>
        <v>0</v>
      </c>
      <c r="E27" s="304">
        <f>Inputs!C71+Inputs!C72</f>
        <v>0</v>
      </c>
      <c r="F27" s="610">
        <f>Inputs!B71+Inputs!B72</f>
        <v>0</v>
      </c>
      <c r="G27" s="727">
        <f ca="1">$D$66*G6</f>
        <v>0</v>
      </c>
      <c r="H27" s="730">
        <f t="shared" ref="H27:J27" ca="1" si="25">$D$66*H6</f>
        <v>0</v>
      </c>
      <c r="I27" s="730">
        <f t="shared" ca="1" si="25"/>
        <v>0</v>
      </c>
      <c r="J27" s="728">
        <f t="shared" ca="1" si="25"/>
        <v>0</v>
      </c>
      <c r="K27" s="369">
        <f ca="1">$E$66*K6</f>
        <v>0</v>
      </c>
      <c r="L27" s="308">
        <f ca="1">$E$66*L6</f>
        <v>0</v>
      </c>
      <c r="M27" s="308">
        <f t="shared" ref="M27:AE27" ca="1" si="26">$E$66*M6</f>
        <v>0</v>
      </c>
      <c r="N27" s="308">
        <f t="shared" ca="1" si="26"/>
        <v>0</v>
      </c>
      <c r="O27" s="308">
        <f t="shared" ca="1" si="26"/>
        <v>0</v>
      </c>
      <c r="P27" s="308">
        <f t="shared" ca="1" si="26"/>
        <v>0</v>
      </c>
      <c r="Q27" s="308">
        <f t="shared" ca="1" si="26"/>
        <v>0</v>
      </c>
      <c r="R27" s="308">
        <f t="shared" ca="1" si="26"/>
        <v>0</v>
      </c>
      <c r="S27" s="308">
        <f t="shared" ca="1" si="26"/>
        <v>0</v>
      </c>
      <c r="T27" s="308">
        <f t="shared" ca="1" si="26"/>
        <v>0</v>
      </c>
      <c r="U27" s="308">
        <f t="shared" ca="1" si="26"/>
        <v>0</v>
      </c>
      <c r="V27" s="308">
        <f t="shared" ca="1" si="26"/>
        <v>0</v>
      </c>
      <c r="W27" s="308">
        <f t="shared" ca="1" si="26"/>
        <v>0</v>
      </c>
      <c r="X27" s="308">
        <f t="shared" ca="1" si="26"/>
        <v>0</v>
      </c>
      <c r="Y27" s="308">
        <f t="shared" ca="1" si="26"/>
        <v>0</v>
      </c>
      <c r="Z27" s="308">
        <f t="shared" ca="1" si="26"/>
        <v>0</v>
      </c>
      <c r="AA27" s="308">
        <f t="shared" ca="1" si="26"/>
        <v>0</v>
      </c>
      <c r="AB27" s="308">
        <f t="shared" ca="1" si="26"/>
        <v>0</v>
      </c>
      <c r="AC27" s="308">
        <f t="shared" ca="1" si="26"/>
        <v>0</v>
      </c>
      <c r="AD27" s="308">
        <f t="shared" ca="1" si="26"/>
        <v>0</v>
      </c>
      <c r="AE27" s="308">
        <f t="shared" ca="1" si="26"/>
        <v>0</v>
      </c>
      <c r="AF27" s="309">
        <f ca="1">$E$66*AF6</f>
        <v>0</v>
      </c>
      <c r="AG27" s="523"/>
      <c r="AH27" s="7"/>
      <c r="AI27" s="7"/>
      <c r="AJ27" s="7"/>
      <c r="AK27" s="11"/>
      <c r="AL27" s="11"/>
      <c r="AM27" s="11"/>
      <c r="AN27" s="11"/>
    </row>
    <row r="28" spans="1:40" ht="15">
      <c r="A28" s="1082"/>
      <c r="B28" s="252">
        <v>21</v>
      </c>
      <c r="C28" s="273" t="s">
        <v>435</v>
      </c>
      <c r="D28" s="328">
        <f>+SUM(Inputs!D69:D70)</f>
        <v>0</v>
      </c>
      <c r="E28" s="304">
        <f>+SUM(Inputs!C69:C70)</f>
        <v>0</v>
      </c>
      <c r="F28" s="608">
        <f>+SUM(Inputs!B69:B70)</f>
        <v>0</v>
      </c>
      <c r="G28" s="355">
        <f ca="1">G44-F44</f>
        <v>-5256.2430535544554</v>
      </c>
      <c r="H28" s="497">
        <f t="shared" ref="H28:AF28" ca="1" si="27">H44-G44</f>
        <v>1309.804750958072</v>
      </c>
      <c r="I28" s="497">
        <f t="shared" ca="1" si="27"/>
        <v>1497.9423875354441</v>
      </c>
      <c r="J28" s="453">
        <f t="shared" ca="1" si="27"/>
        <v>1719.5387416887515</v>
      </c>
      <c r="K28" s="355">
        <f t="shared" ca="1" si="27"/>
        <v>-668.38087160499526</v>
      </c>
      <c r="L28" s="352">
        <f t="shared" ca="1" si="27"/>
        <v>1859.0148314718426</v>
      </c>
      <c r="M28" s="352">
        <f t="shared" ca="1" si="27"/>
        <v>1907.295644833328</v>
      </c>
      <c r="N28" s="352">
        <f t="shared" ca="1" si="27"/>
        <v>1895.8597003333198</v>
      </c>
      <c r="O28" s="352">
        <f t="shared" ca="1" si="27"/>
        <v>1817.5035886265687</v>
      </c>
      <c r="P28" s="352">
        <f t="shared" ca="1" si="27"/>
        <v>1670.1311005380921</v>
      </c>
      <c r="Q28" s="352">
        <f t="shared" ca="1" si="27"/>
        <v>1066.32889654873</v>
      </c>
      <c r="R28" s="352">
        <f t="shared" ca="1" si="27"/>
        <v>1001.9778322986131</v>
      </c>
      <c r="S28" s="352">
        <f t="shared" ca="1" si="27"/>
        <v>1054.1075613103967</v>
      </c>
      <c r="T28" s="352">
        <f t="shared" ca="1" si="27"/>
        <v>1109.4459715371013</v>
      </c>
      <c r="U28" s="352">
        <f t="shared" ca="1" si="27"/>
        <v>1168.2034474508837</v>
      </c>
      <c r="V28" s="352">
        <f t="shared" ca="1" si="27"/>
        <v>1230.6044504455385</v>
      </c>
      <c r="W28" s="352">
        <f t="shared" ca="1" si="27"/>
        <v>1296.8884665481673</v>
      </c>
      <c r="X28" s="352">
        <f t="shared" ca="1" si="27"/>
        <v>1367.3110180516778</v>
      </c>
      <c r="Y28" s="352">
        <f t="shared" ca="1" si="27"/>
        <v>1442.1447433819121</v>
      </c>
      <c r="Z28" s="352">
        <f t="shared" ca="1" si="27"/>
        <v>1521.6805498041504</v>
      </c>
      <c r="AA28" s="352">
        <f t="shared" ca="1" si="27"/>
        <v>1606.22884388479</v>
      </c>
      <c r="AB28" s="352">
        <f t="shared" ca="1" si="27"/>
        <v>1696.1208449552505</v>
      </c>
      <c r="AC28" s="352">
        <f t="shared" ca="1" si="27"/>
        <v>1791.7099871801183</v>
      </c>
      <c r="AD28" s="352">
        <f t="shared" ca="1" si="27"/>
        <v>1893.373416208975</v>
      </c>
      <c r="AE28" s="352">
        <f t="shared" ca="1" si="27"/>
        <v>2001.5135867951758</v>
      </c>
      <c r="AF28" s="356">
        <f t="shared" ca="1" si="27"/>
        <v>2116.5599681957756</v>
      </c>
      <c r="AG28" s="523"/>
      <c r="AH28" s="7"/>
      <c r="AI28" s="7"/>
      <c r="AJ28" s="7"/>
      <c r="AK28" s="11"/>
      <c r="AL28" s="11"/>
      <c r="AM28" s="11"/>
      <c r="AN28" s="11"/>
    </row>
    <row r="29" spans="1:40" ht="15">
      <c r="A29" s="1082"/>
      <c r="B29" s="252">
        <v>22</v>
      </c>
      <c r="C29" s="273" t="s">
        <v>436</v>
      </c>
      <c r="D29" s="328">
        <f>'Fin. Data'!D28</f>
        <v>-600</v>
      </c>
      <c r="E29" s="304">
        <f>'Fin. Data'!C28</f>
        <v>0</v>
      </c>
      <c r="F29" s="610">
        <f>'Fin. Data'!B28</f>
        <v>-6045.3</v>
      </c>
      <c r="G29" s="355">
        <f ca="1">-G17*$D$65</f>
        <v>-1483.4620186736447</v>
      </c>
      <c r="H29" s="352">
        <f ca="1">-H17*$D$65</f>
        <v>-1762.4510928249083</v>
      </c>
      <c r="I29" s="352">
        <f ca="1">-I17*$D$65</f>
        <v>-2075.7288970299119</v>
      </c>
      <c r="J29" s="453">
        <f ca="1">-J17*$D$65</f>
        <v>-2469.0741940341936</v>
      </c>
      <c r="K29" s="355">
        <f t="shared" ref="K29:AF29" ca="1" si="28">-K17*$E$65</f>
        <v>-3555.7651671026961</v>
      </c>
      <c r="L29" s="352">
        <f t="shared" ca="1" si="28"/>
        <v>-4172.4719628587873</v>
      </c>
      <c r="M29" s="352">
        <f t="shared" ca="1" si="28"/>
        <v>-4798.9538534020303</v>
      </c>
      <c r="N29" s="352">
        <f t="shared" ca="1" si="28"/>
        <v>-5407.533685402198</v>
      </c>
      <c r="O29" s="352">
        <f t="shared" ca="1" si="28"/>
        <v>-5975.4698951822302</v>
      </c>
      <c r="P29" s="352">
        <f t="shared" ca="1" si="28"/>
        <v>-6474.2044658656068</v>
      </c>
      <c r="Q29" s="352">
        <f t="shared" ca="1" si="28"/>
        <v>-6715.6190302154555</v>
      </c>
      <c r="R29" s="352">
        <f t="shared" ca="1" si="28"/>
        <v>-6926.1272587681806</v>
      </c>
      <c r="S29" s="352">
        <f t="shared" ca="1" si="28"/>
        <v>-7144.396636434074</v>
      </c>
      <c r="T29" s="352">
        <f t="shared" ca="1" si="28"/>
        <v>-7370.5102956215578</v>
      </c>
      <c r="U29" s="352">
        <f t="shared" ca="1" si="28"/>
        <v>-7605.7377985830417</v>
      </c>
      <c r="V29" s="352">
        <f t="shared" ca="1" si="28"/>
        <v>-7850.0054528575856</v>
      </c>
      <c r="W29" s="352">
        <f t="shared" ca="1" si="28"/>
        <v>-8103.8462260833685</v>
      </c>
      <c r="X29" s="352">
        <f t="shared" ca="1" si="28"/>
        <v>-8367.8945031258609</v>
      </c>
      <c r="Y29" s="352">
        <f t="shared" ca="1" si="28"/>
        <v>-8642.5717948481597</v>
      </c>
      <c r="Z29" s="352">
        <f t="shared" ca="1" si="28"/>
        <v>-8928.4712747270369</v>
      </c>
      <c r="AA29" s="352">
        <f t="shared" ca="1" si="28"/>
        <v>-9226.2101008435038</v>
      </c>
      <c r="AB29" s="352">
        <f t="shared" ca="1" si="28"/>
        <v>-9536.4033248297474</v>
      </c>
      <c r="AC29" s="352">
        <f t="shared" ca="1" si="28"/>
        <v>-9859.7358047848247</v>
      </c>
      <c r="AD29" s="352">
        <f t="shared" ca="1" si="28"/>
        <v>-10196.927843114274</v>
      </c>
      <c r="AE29" s="352">
        <f t="shared" ca="1" si="28"/>
        <v>-10548.739369886236</v>
      </c>
      <c r="AF29" s="356">
        <f t="shared" ca="1" si="28"/>
        <v>-10915.984438837684</v>
      </c>
      <c r="AG29" s="523"/>
      <c r="AH29" s="7"/>
      <c r="AI29" s="7"/>
      <c r="AJ29" s="7"/>
      <c r="AK29" s="11"/>
      <c r="AL29" s="11"/>
      <c r="AM29" s="11"/>
      <c r="AN29" s="11"/>
    </row>
    <row r="30" spans="1:40" s="7" customFormat="1" ht="15">
      <c r="A30" s="1082"/>
      <c r="B30" s="252">
        <v>23</v>
      </c>
      <c r="C30" s="273" t="s">
        <v>437</v>
      </c>
      <c r="D30" s="305">
        <f>'Fin. Data'!D27</f>
        <v>0</v>
      </c>
      <c r="E30" s="304">
        <f>'Fin. Data'!C27</f>
        <v>0</v>
      </c>
      <c r="F30" s="608">
        <f>'Fin. Data'!B27</f>
        <v>0</v>
      </c>
      <c r="G30" s="355">
        <f ca="1">-$D$64*G17</f>
        <v>0</v>
      </c>
      <c r="H30" s="352">
        <f t="shared" ref="H30:J30" ca="1" si="29">-$D$64*H17</f>
        <v>0</v>
      </c>
      <c r="I30" s="352">
        <f t="shared" ca="1" si="29"/>
        <v>0</v>
      </c>
      <c r="J30" s="453">
        <f t="shared" ca="1" si="29"/>
        <v>0</v>
      </c>
      <c r="K30" s="355">
        <f t="shared" ref="K30:AF30" ca="1" si="30">-$E$64*K17</f>
        <v>0</v>
      </c>
      <c r="L30" s="352">
        <f t="shared" ca="1" si="30"/>
        <v>0</v>
      </c>
      <c r="M30" s="352">
        <f t="shared" ca="1" si="30"/>
        <v>0</v>
      </c>
      <c r="N30" s="352">
        <f t="shared" ca="1" si="30"/>
        <v>0</v>
      </c>
      <c r="O30" s="352">
        <f t="shared" ca="1" si="30"/>
        <v>0</v>
      </c>
      <c r="P30" s="352">
        <f t="shared" ca="1" si="30"/>
        <v>0</v>
      </c>
      <c r="Q30" s="352">
        <f t="shared" ca="1" si="30"/>
        <v>0</v>
      </c>
      <c r="R30" s="352">
        <f t="shared" ca="1" si="30"/>
        <v>0</v>
      </c>
      <c r="S30" s="352">
        <f t="shared" ca="1" si="30"/>
        <v>0</v>
      </c>
      <c r="T30" s="352">
        <f t="shared" ca="1" si="30"/>
        <v>0</v>
      </c>
      <c r="U30" s="352">
        <f t="shared" ca="1" si="30"/>
        <v>0</v>
      </c>
      <c r="V30" s="352">
        <f t="shared" ca="1" si="30"/>
        <v>0</v>
      </c>
      <c r="W30" s="352">
        <f t="shared" ca="1" si="30"/>
        <v>0</v>
      </c>
      <c r="X30" s="352">
        <f t="shared" ca="1" si="30"/>
        <v>0</v>
      </c>
      <c r="Y30" s="352">
        <f t="shared" ca="1" si="30"/>
        <v>0</v>
      </c>
      <c r="Z30" s="352">
        <f t="shared" ca="1" si="30"/>
        <v>0</v>
      </c>
      <c r="AA30" s="352">
        <f t="shared" ca="1" si="30"/>
        <v>0</v>
      </c>
      <c r="AB30" s="352">
        <f t="shared" ca="1" si="30"/>
        <v>0</v>
      </c>
      <c r="AC30" s="352">
        <f t="shared" ca="1" si="30"/>
        <v>0</v>
      </c>
      <c r="AD30" s="352">
        <f t="shared" ca="1" si="30"/>
        <v>0</v>
      </c>
      <c r="AE30" s="352">
        <f t="shared" ca="1" si="30"/>
        <v>0</v>
      </c>
      <c r="AF30" s="356">
        <f t="shared" ca="1" si="30"/>
        <v>0</v>
      </c>
      <c r="AG30" s="523"/>
      <c r="AK30" s="11"/>
      <c r="AL30" s="11"/>
      <c r="AM30" s="11"/>
      <c r="AN30" s="11"/>
    </row>
    <row r="31" spans="1:40" s="3" customFormat="1" ht="15">
      <c r="A31" s="1082"/>
      <c r="B31" s="252">
        <v>24</v>
      </c>
      <c r="C31" s="273" t="s">
        <v>438</v>
      </c>
      <c r="D31" s="390">
        <f>Inputs!D75</f>
        <v>-549.79999999999995</v>
      </c>
      <c r="E31" s="389">
        <f>Inputs!C75</f>
        <v>-664.3</v>
      </c>
      <c r="F31" s="611">
        <f>Inputs!B75</f>
        <v>94.5</v>
      </c>
      <c r="G31" s="355">
        <f ca="1">(1+G5)*AVERAGE(D31:F31)</f>
        <v>-423.00603718530374</v>
      </c>
      <c r="H31" s="352">
        <f t="shared" ref="H31:AF31" ca="1" si="31">(1+H5)*AVERAGE(E31:G31)</f>
        <v>-376.85770580628201</v>
      </c>
      <c r="I31" s="352">
        <f t="shared" ca="1" si="31"/>
        <v>-268.99610977190747</v>
      </c>
      <c r="J31" s="453">
        <f t="shared" ca="1" si="31"/>
        <v>-409.50966612835884</v>
      </c>
      <c r="K31" s="496">
        <f t="shared" ca="1" si="31"/>
        <v>-406.20635701267457</v>
      </c>
      <c r="L31" s="497">
        <f t="shared" ca="1" si="31"/>
        <v>-419.42202472633716</v>
      </c>
      <c r="M31" s="497">
        <f t="shared" ca="1" si="31"/>
        <v>-468.24440009646514</v>
      </c>
      <c r="N31" s="497">
        <f t="shared" ca="1" si="31"/>
        <v>-480.72433900799206</v>
      </c>
      <c r="O31" s="497">
        <f t="shared" ca="1" si="31"/>
        <v>-498.06047765972403</v>
      </c>
      <c r="P31" s="497">
        <f t="shared" ca="1" si="31"/>
        <v>-515.73792458400794</v>
      </c>
      <c r="Q31" s="497">
        <f t="shared" ca="1" si="31"/>
        <v>-508.13773202558622</v>
      </c>
      <c r="R31" s="497">
        <f t="shared" ca="1" si="31"/>
        <v>-517.45828565156819</v>
      </c>
      <c r="S31" s="497">
        <f t="shared" ca="1" si="31"/>
        <v>-524.05354036879521</v>
      </c>
      <c r="T31" s="497">
        <f t="shared" ca="1" si="31"/>
        <v>-526.88084973562286</v>
      </c>
      <c r="U31" s="497">
        <f t="shared" ca="1" si="31"/>
        <v>-533.25350975703543</v>
      </c>
      <c r="V31" s="497">
        <f t="shared" ca="1" si="31"/>
        <v>-538.62388595289417</v>
      </c>
      <c r="W31" s="497">
        <f t="shared" ca="1" si="31"/>
        <v>-543.57780345148785</v>
      </c>
      <c r="X31" s="497">
        <f t="shared" ca="1" si="31"/>
        <v>-549.25476771488206</v>
      </c>
      <c r="Y31" s="497">
        <f t="shared" ca="1" si="31"/>
        <v>-554.69519542054979</v>
      </c>
      <c r="Z31" s="497">
        <f t="shared" ca="1" si="31"/>
        <v>-560.15944063955271</v>
      </c>
      <c r="AA31" s="497">
        <f t="shared" ca="1" si="31"/>
        <v>-565.79719728349471</v>
      </c>
      <c r="AB31" s="497">
        <f t="shared" ca="1" si="31"/>
        <v>-571.42162333682313</v>
      </c>
      <c r="AC31" s="497">
        <f t="shared" ca="1" si="31"/>
        <v>-577.10860882835595</v>
      </c>
      <c r="AD31" s="497">
        <f t="shared" ca="1" si="31"/>
        <v>-582.87132601254905</v>
      </c>
      <c r="AE31" s="497">
        <f t="shared" ca="1" si="31"/>
        <v>-588.67652978042759</v>
      </c>
      <c r="AF31" s="498">
        <f t="shared" ca="1" si="31"/>
        <v>-594.54319797125322</v>
      </c>
      <c r="AG31" s="523"/>
      <c r="AH31" s="542"/>
      <c r="AI31" s="542"/>
      <c r="AJ31" s="542"/>
      <c r="AK31" s="540"/>
      <c r="AL31" s="540"/>
      <c r="AM31" s="540"/>
      <c r="AN31" s="540"/>
    </row>
    <row r="32" spans="1:40" s="7" customFormat="1" ht="16.5" customHeight="1" thickBot="1">
      <c r="A32" s="1082"/>
      <c r="B32" s="253">
        <v>25</v>
      </c>
      <c r="C32" s="283" t="s">
        <v>439</v>
      </c>
      <c r="D32" s="447">
        <f t="shared" ref="D32:AF32" si="32">D27+D28+D29+D30+D31</f>
        <v>-1149.8</v>
      </c>
      <c r="E32" s="448">
        <f t="shared" si="32"/>
        <v>-664.3</v>
      </c>
      <c r="F32" s="612">
        <f t="shared" si="32"/>
        <v>-5950.8</v>
      </c>
      <c r="G32" s="447">
        <f ca="1">G27+G28+G29+G30+G31</f>
        <v>-7162.7111094134034</v>
      </c>
      <c r="H32" s="448">
        <f t="shared" ca="1" si="32"/>
        <v>-829.50404767311829</v>
      </c>
      <c r="I32" s="448">
        <f t="shared" ca="1" si="32"/>
        <v>-846.78261926637515</v>
      </c>
      <c r="J32" s="449">
        <f t="shared" ca="1" si="32"/>
        <v>-1159.0451184738008</v>
      </c>
      <c r="K32" s="447">
        <f t="shared" ca="1" si="32"/>
        <v>-4630.3523957203661</v>
      </c>
      <c r="L32" s="448">
        <f t="shared" ca="1" si="32"/>
        <v>-2732.8791561132816</v>
      </c>
      <c r="M32" s="448">
        <f t="shared" ca="1" si="32"/>
        <v>-3359.9026086651675</v>
      </c>
      <c r="N32" s="448">
        <f t="shared" ca="1" si="32"/>
        <v>-3992.3983240768703</v>
      </c>
      <c r="O32" s="448">
        <f t="shared" ca="1" si="32"/>
        <v>-4656.0267842153853</v>
      </c>
      <c r="P32" s="448">
        <f t="shared" ca="1" si="32"/>
        <v>-5319.8112899115222</v>
      </c>
      <c r="Q32" s="448">
        <f t="shared" ca="1" si="32"/>
        <v>-6157.4278656923116</v>
      </c>
      <c r="R32" s="448">
        <f t="shared" ca="1" si="32"/>
        <v>-6441.6077121211356</v>
      </c>
      <c r="S32" s="448">
        <f t="shared" ca="1" si="32"/>
        <v>-6614.3426154924728</v>
      </c>
      <c r="T32" s="448">
        <f t="shared" ca="1" si="32"/>
        <v>-6787.9451738200796</v>
      </c>
      <c r="U32" s="448">
        <f t="shared" ca="1" si="32"/>
        <v>-6970.7878608891933</v>
      </c>
      <c r="V32" s="448">
        <f t="shared" ca="1" si="32"/>
        <v>-7158.024888364941</v>
      </c>
      <c r="W32" s="448">
        <f t="shared" ca="1" si="32"/>
        <v>-7350.535562986689</v>
      </c>
      <c r="X32" s="448">
        <f t="shared" ca="1" si="32"/>
        <v>-7549.8382527890653</v>
      </c>
      <c r="Y32" s="448">
        <f t="shared" ca="1" si="32"/>
        <v>-7755.1222468867973</v>
      </c>
      <c r="Z32" s="448">
        <f t="shared" ca="1" si="32"/>
        <v>-7966.950165562439</v>
      </c>
      <c r="AA32" s="448">
        <f t="shared" ca="1" si="32"/>
        <v>-8185.7784542422087</v>
      </c>
      <c r="AB32" s="448">
        <f t="shared" ca="1" si="32"/>
        <v>-8411.7041032113193</v>
      </c>
      <c r="AC32" s="448">
        <f t="shared" ca="1" si="32"/>
        <v>-8645.1344264330619</v>
      </c>
      <c r="AD32" s="448">
        <f t="shared" ca="1" si="32"/>
        <v>-8886.4257529178485</v>
      </c>
      <c r="AE32" s="448">
        <f t="shared" ca="1" si="32"/>
        <v>-9135.9023128714871</v>
      </c>
      <c r="AF32" s="612">
        <f t="shared" ca="1" si="32"/>
        <v>-9393.9676686131625</v>
      </c>
      <c r="AG32" s="523"/>
      <c r="AK32" s="11"/>
      <c r="AL32" s="11"/>
      <c r="AM32" s="11"/>
      <c r="AN32" s="11"/>
    </row>
    <row r="33" spans="1:40" ht="13.5" thickBot="1">
      <c r="A33" s="1071"/>
      <c r="B33" s="1072"/>
      <c r="C33" s="1072"/>
      <c r="D33" s="1072"/>
      <c r="E33" s="1072"/>
      <c r="F33" s="1072"/>
      <c r="G33" s="1072"/>
      <c r="H33" s="1072"/>
      <c r="I33" s="1072"/>
      <c r="J33" s="1072"/>
      <c r="K33" s="1072"/>
      <c r="L33" s="1072"/>
      <c r="M33" s="1072"/>
      <c r="N33" s="1072"/>
      <c r="O33" s="1072"/>
      <c r="P33" s="1072"/>
      <c r="Q33" s="1072"/>
      <c r="R33" s="1072"/>
      <c r="S33" s="1072"/>
      <c r="T33" s="1072"/>
      <c r="U33" s="1072"/>
      <c r="V33" s="1072"/>
      <c r="W33" s="1072"/>
      <c r="X33" s="1072"/>
      <c r="Y33" s="1072"/>
      <c r="Z33" s="1072"/>
      <c r="AA33" s="1072"/>
      <c r="AB33" s="1072"/>
      <c r="AC33" s="1072"/>
      <c r="AD33" s="1072"/>
      <c r="AE33" s="1072"/>
      <c r="AF33" s="1073"/>
      <c r="AG33" s="7"/>
      <c r="AH33" s="7"/>
      <c r="AI33" s="7"/>
      <c r="AJ33" s="7"/>
      <c r="AK33" s="11"/>
      <c r="AL33" s="11"/>
      <c r="AM33" s="11"/>
      <c r="AN33" s="11"/>
    </row>
    <row r="34" spans="1:40" ht="15">
      <c r="A34" s="1096" t="s">
        <v>440</v>
      </c>
      <c r="B34" s="252">
        <v>26</v>
      </c>
      <c r="C34" s="256" t="s">
        <v>441</v>
      </c>
      <c r="D34" s="443">
        <f>D22+D26+D27+D28+D31</f>
        <v>-1497.1000000000001</v>
      </c>
      <c r="E34" s="444">
        <f t="shared" ref="E34:AF34" si="33">E22+E26+E27+E28+E31</f>
        <v>-714.49999999999932</v>
      </c>
      <c r="F34" s="477">
        <f t="shared" si="33"/>
        <v>7910.5</v>
      </c>
      <c r="G34" s="613">
        <f ca="1">G22+G26+G27+G28+G31</f>
        <v>3017.8707929937132</v>
      </c>
      <c r="H34" s="445">
        <f t="shared" ca="1" si="33"/>
        <v>10839.304640094782</v>
      </c>
      <c r="I34" s="445">
        <f t="shared" ca="1" si="33"/>
        <v>12503.133145416705</v>
      </c>
      <c r="J34" s="446">
        <f t="shared" ca="1" si="33"/>
        <v>13719.520220881992</v>
      </c>
      <c r="K34" s="476">
        <f t="shared" ca="1" si="33"/>
        <v>8763.3740921797071</v>
      </c>
      <c r="L34" s="445">
        <f t="shared" ca="1" si="33"/>
        <v>12339.097731129152</v>
      </c>
      <c r="M34" s="445">
        <f t="shared" ca="1" si="33"/>
        <v>13526.272688984711</v>
      </c>
      <c r="N34" s="445">
        <f t="shared" ca="1" si="33"/>
        <v>14807.781176398377</v>
      </c>
      <c r="O34" s="445">
        <f t="shared" ca="1" si="33"/>
        <v>16031.564527991075</v>
      </c>
      <c r="P34" s="445">
        <f t="shared" ca="1" si="33"/>
        <v>17169.289871749268</v>
      </c>
      <c r="Q34" s="445">
        <f t="shared" ca="1" si="33"/>
        <v>17925.059992496761</v>
      </c>
      <c r="R34" s="445">
        <f t="shared" ca="1" si="33"/>
        <v>18706.599311945858</v>
      </c>
      <c r="S34" s="445">
        <f t="shared" ca="1" si="33"/>
        <v>19645.817227625477</v>
      </c>
      <c r="T34" s="445">
        <f t="shared" ca="1" si="33"/>
        <v>20638.318599627168</v>
      </c>
      <c r="U34" s="445">
        <f t="shared" ca="1" si="33"/>
        <v>21691.338127587267</v>
      </c>
      <c r="V34" s="445">
        <f t="shared" ca="1" si="33"/>
        <v>22803.976089876891</v>
      </c>
      <c r="W34" s="445">
        <f t="shared" ca="1" si="33"/>
        <v>23981.958084118385</v>
      </c>
      <c r="X34" s="445">
        <f t="shared" ca="1" si="33"/>
        <v>25229.811316913219</v>
      </c>
      <c r="Y34" s="445">
        <f t="shared" ca="1" si="33"/>
        <v>26551.171162714054</v>
      </c>
      <c r="Z34" s="445">
        <f t="shared" ca="1" si="33"/>
        <v>27951.245580813076</v>
      </c>
      <c r="AA34" s="445">
        <f t="shared" ca="1" si="33"/>
        <v>29435.099253025292</v>
      </c>
      <c r="AB34" s="445">
        <f t="shared" ca="1" si="33"/>
        <v>31008.014529192136</v>
      </c>
      <c r="AC34" s="445">
        <f t="shared" ca="1" si="33"/>
        <v>32675.871013072261</v>
      </c>
      <c r="AD34" s="445">
        <f t="shared" ca="1" si="33"/>
        <v>34444.816464643642</v>
      </c>
      <c r="AE34" s="445">
        <f t="shared" ca="1" si="33"/>
        <v>36321.409372091446</v>
      </c>
      <c r="AF34" s="446">
        <f t="shared" ca="1" si="33"/>
        <v>38312.687457970824</v>
      </c>
      <c r="AG34" s="523"/>
      <c r="AH34" s="7"/>
      <c r="AI34" s="7"/>
      <c r="AJ34" s="7"/>
      <c r="AK34" s="11"/>
      <c r="AL34" s="11"/>
      <c r="AM34" s="11"/>
      <c r="AN34" s="11"/>
    </row>
    <row r="35" spans="1:40" s="3" customFormat="1" ht="15">
      <c r="A35" s="1096"/>
      <c r="B35" s="252">
        <v>27</v>
      </c>
      <c r="C35" s="256" t="s">
        <v>442</v>
      </c>
      <c r="D35" s="373">
        <f>-1*(D29+D30)</f>
        <v>600</v>
      </c>
      <c r="E35" s="370">
        <f t="shared" ref="E35:AF35" si="34">-1*(E29+E30)</f>
        <v>0</v>
      </c>
      <c r="F35" s="375">
        <f t="shared" si="34"/>
        <v>6045.3</v>
      </c>
      <c r="G35" s="381">
        <f ca="1">-1*(G29+G30)</f>
        <v>1483.4620186736447</v>
      </c>
      <c r="H35" s="329">
        <f t="shared" ca="1" si="34"/>
        <v>1762.4510928249083</v>
      </c>
      <c r="I35" s="329">
        <f t="shared" ca="1" si="34"/>
        <v>2075.7288970299119</v>
      </c>
      <c r="J35" s="382">
        <f t="shared" ca="1" si="34"/>
        <v>2469.0741940341936</v>
      </c>
      <c r="K35" s="329">
        <f t="shared" ca="1" si="34"/>
        <v>3555.7651671026961</v>
      </c>
      <c r="L35" s="329">
        <f t="shared" ca="1" si="34"/>
        <v>4172.4719628587873</v>
      </c>
      <c r="M35" s="329">
        <f t="shared" ca="1" si="34"/>
        <v>4798.9538534020303</v>
      </c>
      <c r="N35" s="329">
        <f t="shared" ca="1" si="34"/>
        <v>5407.533685402198</v>
      </c>
      <c r="O35" s="329">
        <f t="shared" ca="1" si="34"/>
        <v>5975.4698951822302</v>
      </c>
      <c r="P35" s="329">
        <f t="shared" ca="1" si="34"/>
        <v>6474.2044658656068</v>
      </c>
      <c r="Q35" s="329">
        <f t="shared" ca="1" si="34"/>
        <v>6715.6190302154555</v>
      </c>
      <c r="R35" s="329">
        <f t="shared" ca="1" si="34"/>
        <v>6926.1272587681806</v>
      </c>
      <c r="S35" s="329">
        <f t="shared" ca="1" si="34"/>
        <v>7144.396636434074</v>
      </c>
      <c r="T35" s="329">
        <f t="shared" ca="1" si="34"/>
        <v>7370.5102956215578</v>
      </c>
      <c r="U35" s="329">
        <f t="shared" ca="1" si="34"/>
        <v>7605.7377985830417</v>
      </c>
      <c r="V35" s="329">
        <f t="shared" ca="1" si="34"/>
        <v>7850.0054528575856</v>
      </c>
      <c r="W35" s="329">
        <f t="shared" ca="1" si="34"/>
        <v>8103.8462260833685</v>
      </c>
      <c r="X35" s="329">
        <f t="shared" ca="1" si="34"/>
        <v>8367.8945031258609</v>
      </c>
      <c r="Y35" s="329">
        <f t="shared" ca="1" si="34"/>
        <v>8642.5717948481597</v>
      </c>
      <c r="Z35" s="329">
        <f t="shared" ca="1" si="34"/>
        <v>8928.4712747270369</v>
      </c>
      <c r="AA35" s="329">
        <f t="shared" ca="1" si="34"/>
        <v>9226.2101008435038</v>
      </c>
      <c r="AB35" s="329">
        <f t="shared" ca="1" si="34"/>
        <v>9536.4033248297474</v>
      </c>
      <c r="AC35" s="329">
        <f t="shared" ca="1" si="34"/>
        <v>9859.7358047848247</v>
      </c>
      <c r="AD35" s="329">
        <f t="shared" ca="1" si="34"/>
        <v>10196.927843114274</v>
      </c>
      <c r="AE35" s="329">
        <f t="shared" ca="1" si="34"/>
        <v>10548.739369886236</v>
      </c>
      <c r="AF35" s="382">
        <f t="shared" ca="1" si="34"/>
        <v>10915.984438837684</v>
      </c>
      <c r="AG35" s="523"/>
      <c r="AH35" s="542"/>
      <c r="AI35" s="542"/>
      <c r="AJ35" s="542"/>
      <c r="AK35" s="540"/>
      <c r="AL35" s="540"/>
      <c r="AM35" s="540"/>
      <c r="AN35" s="540"/>
    </row>
    <row r="36" spans="1:40" s="7" customFormat="1" ht="15.75" thickBot="1">
      <c r="A36" s="1096"/>
      <c r="B36" s="253">
        <v>28</v>
      </c>
      <c r="C36" s="251" t="s">
        <v>443</v>
      </c>
      <c r="D36" s="428">
        <f>D34-D35</f>
        <v>-2097.1000000000004</v>
      </c>
      <c r="E36" s="429">
        <f>E34-E35</f>
        <v>-714.49999999999932</v>
      </c>
      <c r="F36" s="376">
        <f>F34-F35</f>
        <v>1865.1999999999998</v>
      </c>
      <c r="G36" s="383">
        <f ca="1">G34-G35</f>
        <v>1534.4087743200685</v>
      </c>
      <c r="H36" s="384">
        <f t="shared" ref="H36:AF36" ca="1" si="35">H34-H35</f>
        <v>9076.853547269875</v>
      </c>
      <c r="I36" s="384">
        <f t="shared" ca="1" si="35"/>
        <v>10427.404248386792</v>
      </c>
      <c r="J36" s="385">
        <f t="shared" ca="1" si="35"/>
        <v>11250.446026847798</v>
      </c>
      <c r="K36" s="384">
        <f t="shared" ca="1" si="35"/>
        <v>5207.608925077011</v>
      </c>
      <c r="L36" s="384">
        <f t="shared" ca="1" si="35"/>
        <v>8166.6257682703645</v>
      </c>
      <c r="M36" s="384">
        <f t="shared" ca="1" si="35"/>
        <v>8727.3188355826805</v>
      </c>
      <c r="N36" s="384">
        <f t="shared" ca="1" si="35"/>
        <v>9400.2474909961784</v>
      </c>
      <c r="O36" s="384">
        <f t="shared" ca="1" si="35"/>
        <v>10056.094632808845</v>
      </c>
      <c r="P36" s="384">
        <f t="shared" ca="1" si="35"/>
        <v>10695.085405883661</v>
      </c>
      <c r="Q36" s="384">
        <f t="shared" ca="1" si="35"/>
        <v>11209.440962281305</v>
      </c>
      <c r="R36" s="384">
        <f t="shared" ca="1" si="35"/>
        <v>11780.472053177677</v>
      </c>
      <c r="S36" s="384">
        <f t="shared" ca="1" si="35"/>
        <v>12501.420591191403</v>
      </c>
      <c r="T36" s="384">
        <f t="shared" ca="1" si="35"/>
        <v>13267.80830400561</v>
      </c>
      <c r="U36" s="384">
        <f t="shared" ca="1" si="35"/>
        <v>14085.600329004224</v>
      </c>
      <c r="V36" s="384">
        <f t="shared" ca="1" si="35"/>
        <v>14953.970637019305</v>
      </c>
      <c r="W36" s="384">
        <f t="shared" ca="1" si="35"/>
        <v>15878.111858035016</v>
      </c>
      <c r="X36" s="384">
        <f t="shared" ca="1" si="35"/>
        <v>16861.916813787357</v>
      </c>
      <c r="Y36" s="384">
        <f t="shared" ca="1" si="35"/>
        <v>17908.599367865892</v>
      </c>
      <c r="Z36" s="384">
        <f t="shared" ca="1" si="35"/>
        <v>19022.774306086038</v>
      </c>
      <c r="AA36" s="384">
        <f t="shared" ca="1" si="35"/>
        <v>20208.889152181786</v>
      </c>
      <c r="AB36" s="384">
        <f t="shared" ca="1" si="35"/>
        <v>21471.611204362387</v>
      </c>
      <c r="AC36" s="384">
        <f t="shared" ca="1" si="35"/>
        <v>22816.135208287436</v>
      </c>
      <c r="AD36" s="384">
        <f t="shared" ca="1" si="35"/>
        <v>24247.888621529368</v>
      </c>
      <c r="AE36" s="384">
        <f t="shared" ca="1" si="35"/>
        <v>25772.67000220521</v>
      </c>
      <c r="AF36" s="385">
        <f t="shared" ca="1" si="35"/>
        <v>27396.70301913314</v>
      </c>
      <c r="AG36" s="523"/>
      <c r="AK36" s="11"/>
      <c r="AL36" s="11"/>
      <c r="AM36" s="11"/>
      <c r="AN36" s="11"/>
    </row>
    <row r="37" spans="1:40" ht="15.75" thickBot="1">
      <c r="A37" s="262"/>
      <c r="B37" s="260"/>
      <c r="C37" s="261"/>
      <c r="D37" s="450"/>
      <c r="E37" s="450"/>
      <c r="F37" s="450"/>
      <c r="G37" s="450"/>
      <c r="H37" s="450"/>
      <c r="I37" s="450"/>
      <c r="J37" s="450"/>
      <c r="K37" s="450"/>
      <c r="L37" s="450"/>
      <c r="M37" s="450"/>
      <c r="N37" s="450"/>
      <c r="O37" s="450"/>
      <c r="P37" s="450"/>
      <c r="Q37" s="450"/>
      <c r="R37" s="450"/>
      <c r="S37" s="450"/>
      <c r="T37" s="450"/>
      <c r="U37" s="450"/>
      <c r="V37" s="450"/>
      <c r="W37" s="450"/>
      <c r="X37" s="450"/>
      <c r="Y37" s="450"/>
      <c r="Z37" s="450"/>
      <c r="AA37" s="450"/>
      <c r="AB37" s="450"/>
      <c r="AC37" s="450"/>
      <c r="AD37" s="450"/>
      <c r="AE37" s="450"/>
      <c r="AF37" s="451"/>
      <c r="AG37" s="523"/>
      <c r="AH37" s="7"/>
      <c r="AI37" s="7"/>
      <c r="AJ37" s="7"/>
      <c r="AK37" s="11"/>
      <c r="AL37" s="11"/>
      <c r="AM37" s="11"/>
      <c r="AN37" s="11"/>
    </row>
    <row r="38" spans="1:40" ht="15">
      <c r="A38" s="1097" t="s">
        <v>444</v>
      </c>
      <c r="B38" s="254">
        <v>29</v>
      </c>
      <c r="C38" s="256" t="s">
        <v>445</v>
      </c>
      <c r="D38" s="371">
        <v>30920</v>
      </c>
      <c r="E38" s="372">
        <v>32737</v>
      </c>
      <c r="F38" s="374">
        <v>31658</v>
      </c>
      <c r="G38" s="378">
        <f>+(F38+(-G10*$D$61))</f>
        <v>34584.510454843643</v>
      </c>
      <c r="H38" s="378">
        <f>+(G38+(-H10*$D$61))</f>
        <v>37781.551689973763</v>
      </c>
      <c r="I38" s="378">
        <f>+(H38+(-I10*$D$61))</f>
        <v>41274.131954706972</v>
      </c>
      <c r="J38" s="378">
        <f>+(I38+(-J10*$D$61))</f>
        <v>45089.571296423004</v>
      </c>
      <c r="K38" s="378">
        <f t="shared" ref="K38:AF38" si="36">+(J38+(-K10*$E$61))</f>
        <v>48133.117358931559</v>
      </c>
      <c r="L38" s="378">
        <f t="shared" si="36"/>
        <v>51382.102780659436</v>
      </c>
      <c r="M38" s="378">
        <f t="shared" si="36"/>
        <v>54850.394718353949</v>
      </c>
      <c r="N38" s="378">
        <f t="shared" si="36"/>
        <v>58552.79636184284</v>
      </c>
      <c r="O38" s="378">
        <f t="shared" si="36"/>
        <v>62505.110116267235</v>
      </c>
      <c r="P38" s="378">
        <f t="shared" si="36"/>
        <v>66724.205049115277</v>
      </c>
      <c r="Q38" s="378">
        <f t="shared" si="36"/>
        <v>71228.088889930557</v>
      </c>
      <c r="R38" s="378">
        <f t="shared" si="36"/>
        <v>76035.984890000866</v>
      </c>
      <c r="S38" s="378">
        <f t="shared" si="36"/>
        <v>81168.413870075921</v>
      </c>
      <c r="T38" s="378">
        <f t="shared" si="36"/>
        <v>86647.28180630604</v>
      </c>
      <c r="U38" s="378">
        <f t="shared" si="36"/>
        <v>92495.973328231703</v>
      </c>
      <c r="V38" s="378">
        <f t="shared" si="36"/>
        <v>98739.451527887344</v>
      </c>
      <c r="W38" s="378">
        <f t="shared" si="36"/>
        <v>105404.36450601975</v>
      </c>
      <c r="X38" s="378">
        <f t="shared" si="36"/>
        <v>112519.15911017607</v>
      </c>
      <c r="Y38" s="378">
        <f t="shared" si="36"/>
        <v>120114.20235011296</v>
      </c>
      <c r="Z38" s="378">
        <f t="shared" si="36"/>
        <v>128221.91100874558</v>
      </c>
      <c r="AA38" s="378">
        <f t="shared" si="36"/>
        <v>136876.89000183591</v>
      </c>
      <c r="AB38" s="378">
        <f t="shared" si="36"/>
        <v>146116.08007695983</v>
      </c>
      <c r="AC38" s="378">
        <f t="shared" si="36"/>
        <v>155978.91548215461</v>
      </c>
      <c r="AD38" s="378">
        <f t="shared" si="36"/>
        <v>166507.49227720004</v>
      </c>
      <c r="AE38" s="378">
        <f t="shared" si="36"/>
        <v>177746.74800591104</v>
      </c>
      <c r="AF38" s="378">
        <f t="shared" si="36"/>
        <v>189744.65349631003</v>
      </c>
      <c r="AG38" s="524">
        <f>SUM(G38:AF38)</f>
        <v>2446423.1024089763</v>
      </c>
      <c r="AH38" s="7"/>
      <c r="AI38" s="7"/>
      <c r="AJ38" s="7"/>
      <c r="AK38" s="11"/>
      <c r="AL38" s="11"/>
      <c r="AM38" s="11"/>
      <c r="AN38" s="11"/>
    </row>
    <row r="39" spans="1:40" ht="15">
      <c r="A39" s="1096"/>
      <c r="B39" s="254">
        <v>30</v>
      </c>
      <c r="C39" s="256" t="s">
        <v>446</v>
      </c>
      <c r="D39" s="373">
        <v>16859</v>
      </c>
      <c r="E39" s="370">
        <v>17741</v>
      </c>
      <c r="F39" s="375">
        <v>18660</v>
      </c>
      <c r="G39" s="379">
        <f t="shared" ref="G39:AF39" si="37">F39-(G10*$D$61)</f>
        <v>21586.510454843647</v>
      </c>
      <c r="H39" s="379">
        <f t="shared" si="37"/>
        <v>24783.551689973767</v>
      </c>
      <c r="I39" s="379">
        <f t="shared" si="37"/>
        <v>28276.131954706972</v>
      </c>
      <c r="J39" s="379">
        <f t="shared" si="37"/>
        <v>32091.571296423004</v>
      </c>
      <c r="K39" s="379">
        <f t="shared" si="37"/>
        <v>35135.117358931559</v>
      </c>
      <c r="L39" s="379">
        <f t="shared" si="37"/>
        <v>38384.102780659436</v>
      </c>
      <c r="M39" s="379">
        <f t="shared" si="37"/>
        <v>41852.394718353949</v>
      </c>
      <c r="N39" s="379">
        <f t="shared" si="37"/>
        <v>45554.79636184284</v>
      </c>
      <c r="O39" s="379">
        <f t="shared" si="37"/>
        <v>49507.110116267235</v>
      </c>
      <c r="P39" s="379">
        <f t="shared" si="37"/>
        <v>53726.205049115277</v>
      </c>
      <c r="Q39" s="379">
        <f t="shared" si="37"/>
        <v>58230.088889930557</v>
      </c>
      <c r="R39" s="379">
        <f t="shared" si="37"/>
        <v>63037.984890000866</v>
      </c>
      <c r="S39" s="379">
        <f t="shared" si="37"/>
        <v>68170.413870075921</v>
      </c>
      <c r="T39" s="379">
        <f t="shared" si="37"/>
        <v>73649.28180630604</v>
      </c>
      <c r="U39" s="379">
        <f t="shared" si="37"/>
        <v>79497.973328231703</v>
      </c>
      <c r="V39" s="379">
        <f t="shared" si="37"/>
        <v>85741.451527887344</v>
      </c>
      <c r="W39" s="379">
        <f t="shared" si="37"/>
        <v>92406.364506019745</v>
      </c>
      <c r="X39" s="379">
        <f t="shared" si="37"/>
        <v>99521.159110176071</v>
      </c>
      <c r="Y39" s="379">
        <f t="shared" si="37"/>
        <v>107116.20235011296</v>
      </c>
      <c r="Z39" s="379">
        <f t="shared" si="37"/>
        <v>115223.91100874558</v>
      </c>
      <c r="AA39" s="379">
        <f t="shared" si="37"/>
        <v>123878.8900018359</v>
      </c>
      <c r="AB39" s="379">
        <f t="shared" si="37"/>
        <v>133118.08007695983</v>
      </c>
      <c r="AC39" s="379">
        <f t="shared" si="37"/>
        <v>142980.91548215461</v>
      </c>
      <c r="AD39" s="379">
        <f t="shared" si="37"/>
        <v>153509.49227720004</v>
      </c>
      <c r="AE39" s="379">
        <f t="shared" si="37"/>
        <v>164748.74800591104</v>
      </c>
      <c r="AF39" s="379">
        <f t="shared" si="37"/>
        <v>176746.65349631003</v>
      </c>
      <c r="AG39" s="524">
        <f>SUM(G39:AF39)</f>
        <v>2108475.1024089763</v>
      </c>
      <c r="AH39" s="7"/>
      <c r="AI39" s="7"/>
      <c r="AJ39" s="7"/>
      <c r="AK39" s="11"/>
      <c r="AL39" s="11"/>
      <c r="AM39" s="11"/>
      <c r="AN39" s="11"/>
    </row>
    <row r="40" spans="1:40" ht="15">
      <c r="A40" s="1096"/>
      <c r="B40" s="254">
        <v>31</v>
      </c>
      <c r="C40" s="256" t="s">
        <v>447</v>
      </c>
      <c r="D40" s="373">
        <v>4386</v>
      </c>
      <c r="E40" s="370">
        <v>4379</v>
      </c>
      <c r="F40" s="375">
        <v>4423</v>
      </c>
      <c r="G40" s="379">
        <f ca="1">F40+(-G23)</f>
        <v>4983.8795079833162</v>
      </c>
      <c r="H40" s="377">
        <f t="shared" ref="H40:AF40" ca="1" si="38">G40+(-H23)</f>
        <v>5622.5896588953929</v>
      </c>
      <c r="I40" s="377">
        <f t="shared" ca="1" si="38"/>
        <v>6353.3213455220448</v>
      </c>
      <c r="J40" s="380">
        <f t="shared" ca="1" si="38"/>
        <v>7193.2116873088071</v>
      </c>
      <c r="K40" s="478">
        <f t="shared" ca="1" si="38"/>
        <v>7678.1187386817419</v>
      </c>
      <c r="L40" s="377">
        <f t="shared" ca="1" si="38"/>
        <v>8240.6109182743457</v>
      </c>
      <c r="M40" s="377">
        <f t="shared" ca="1" si="38"/>
        <v>8880.3381462883935</v>
      </c>
      <c r="N40" s="377">
        <f t="shared" ca="1" si="38"/>
        <v>9593.3891969400793</v>
      </c>
      <c r="O40" s="377">
        <f t="shared" ca="1" si="38"/>
        <v>10371.988167944082</v>
      </c>
      <c r="P40" s="377">
        <f t="shared" ca="1" si="38"/>
        <v>11204.493163842079</v>
      </c>
      <c r="Q40" s="377">
        <f t="shared" ca="1" si="38"/>
        <v>12053.648259658035</v>
      </c>
      <c r="R40" s="377">
        <f t="shared" ca="1" si="38"/>
        <v>12919.786457390312</v>
      </c>
      <c r="S40" s="377">
        <f t="shared" ca="1" si="38"/>
        <v>13803.247419077234</v>
      </c>
      <c r="T40" s="377">
        <f t="shared" ca="1" si="38"/>
        <v>14704.377599997893</v>
      </c>
      <c r="U40" s="377">
        <f t="shared" ca="1" si="38"/>
        <v>15623.530384536967</v>
      </c>
      <c r="V40" s="377">
        <f t="shared" ca="1" si="38"/>
        <v>16561.066224766822</v>
      </c>
      <c r="W40" s="377">
        <f t="shared" ca="1" si="38"/>
        <v>17517.352781801274</v>
      </c>
      <c r="X40" s="377">
        <f t="shared" ca="1" si="38"/>
        <v>18492.765069976413</v>
      </c>
      <c r="Y40" s="377">
        <f t="shared" ca="1" si="38"/>
        <v>19487.685603915055</v>
      </c>
      <c r="Z40" s="377">
        <f t="shared" ca="1" si="38"/>
        <v>20502.504548532474</v>
      </c>
      <c r="AA40" s="377">
        <f t="shared" ca="1" si="38"/>
        <v>21537.61987204224</v>
      </c>
      <c r="AB40" s="377">
        <f t="shared" ca="1" si="38"/>
        <v>22593.4375020222</v>
      </c>
      <c r="AC40" s="377">
        <f t="shared" ca="1" si="38"/>
        <v>23670.371484601761</v>
      </c>
      <c r="AD40" s="377">
        <f t="shared" ca="1" si="38"/>
        <v>24768.844146832911</v>
      </c>
      <c r="AE40" s="377">
        <f t="shared" ca="1" si="38"/>
        <v>25889.286262308684</v>
      </c>
      <c r="AF40" s="380">
        <f t="shared" ca="1" si="38"/>
        <v>27032.137220093973</v>
      </c>
      <c r="AG40" s="524">
        <f ca="1">SUM(G40:AF40)</f>
        <v>387279.60136923462</v>
      </c>
      <c r="AH40" s="7"/>
      <c r="AI40" s="7"/>
      <c r="AJ40" s="7"/>
      <c r="AK40" s="11"/>
      <c r="AL40" s="11"/>
      <c r="AM40" s="11"/>
      <c r="AN40" s="11"/>
    </row>
    <row r="41" spans="1:40" ht="15">
      <c r="A41" s="1096"/>
      <c r="B41" s="255">
        <v>32</v>
      </c>
      <c r="C41" s="251" t="s">
        <v>448</v>
      </c>
      <c r="D41" s="614">
        <v>616</v>
      </c>
      <c r="E41" s="615">
        <v>754</v>
      </c>
      <c r="F41" s="616">
        <v>855</v>
      </c>
      <c r="G41" s="617">
        <f>F41-G9</f>
        <v>1306.1463602526653</v>
      </c>
      <c r="H41" s="618">
        <f t="shared" ref="H41:AF41" ca="1" si="39">G41-H9</f>
        <v>1814.5024760031781</v>
      </c>
      <c r="I41" s="618">
        <f t="shared" ca="1" si="39"/>
        <v>2388.0070791695657</v>
      </c>
      <c r="J41" s="619">
        <f t="shared" ca="1" si="39"/>
        <v>3036.0463738898543</v>
      </c>
      <c r="K41" s="620">
        <f t="shared" ca="1" si="39"/>
        <v>3467.6390751283825</v>
      </c>
      <c r="L41" s="618">
        <f t="shared" ca="1" si="39"/>
        <v>3928.3261994492868</v>
      </c>
      <c r="M41" s="618">
        <f t="shared" ca="1" si="39"/>
        <v>4422.7628545457474</v>
      </c>
      <c r="N41" s="618">
        <f t="shared" ca="1" si="39"/>
        <v>4955.5831433230505</v>
      </c>
      <c r="O41" s="618">
        <f t="shared" ca="1" si="39"/>
        <v>5531.1864951394555</v>
      </c>
      <c r="P41" s="618">
        <f t="shared" ca="1" si="39"/>
        <v>6153.5057852161008</v>
      </c>
      <c r="Q41" s="618">
        <f t="shared" ca="1" si="39"/>
        <v>6825.7753750466254</v>
      </c>
      <c r="R41" s="618">
        <f t="shared" ca="1" si="39"/>
        <v>7548.9942706261072</v>
      </c>
      <c r="S41" s="618">
        <f t="shared" ca="1" si="39"/>
        <v>8324.1814580695263</v>
      </c>
      <c r="T41" s="618">
        <f t="shared" ca="1" si="39"/>
        <v>9152.3763032141596</v>
      </c>
      <c r="U41" s="618">
        <f t="shared" ca="1" si="39"/>
        <v>10034.638959214033</v>
      </c>
      <c r="V41" s="618">
        <f t="shared" ca="1" si="39"/>
        <v>10972.050782286251</v>
      </c>
      <c r="W41" s="618">
        <f t="shared" ca="1" si="39"/>
        <v>11965.71475577226</v>
      </c>
      <c r="X41" s="618">
        <f t="shared" ca="1" si="39"/>
        <v>13016.755922680337</v>
      </c>
      <c r="Y41" s="618">
        <f t="shared" ca="1" si="39"/>
        <v>14126.321826878922</v>
      </c>
      <c r="Z41" s="618">
        <f t="shared" ca="1" si="39"/>
        <v>15295.582963113826</v>
      </c>
      <c r="AA41" s="618">
        <f t="shared" ca="1" si="39"/>
        <v>16525.733236025775</v>
      </c>
      <c r="AB41" s="618">
        <f t="shared" ca="1" si="39"/>
        <v>17817.990428348308</v>
      </c>
      <c r="AC41" s="618">
        <f t="shared" ca="1" si="39"/>
        <v>19173.596678469639</v>
      </c>
      <c r="AD41" s="618">
        <f t="shared" ca="1" si="39"/>
        <v>20593.818967545743</v>
      </c>
      <c r="AE41" s="618">
        <f t="shared" ca="1" si="39"/>
        <v>22079.94961635572</v>
      </c>
      <c r="AF41" s="619">
        <f t="shared" ca="1" si="39"/>
        <v>23633.306792094241</v>
      </c>
      <c r="AG41" s="524">
        <f ca="1">SUM(G41:AF41)</f>
        <v>264090.49417785881</v>
      </c>
      <c r="AH41" s="7"/>
      <c r="AI41" s="7"/>
      <c r="AJ41" s="7"/>
      <c r="AK41" s="11"/>
      <c r="AL41" s="11"/>
      <c r="AM41" s="11"/>
      <c r="AN41" s="11"/>
    </row>
    <row r="42" spans="1:40" s="7" customFormat="1" ht="15">
      <c r="A42" s="1088"/>
      <c r="B42" s="1089"/>
      <c r="C42" s="1089"/>
      <c r="D42" s="1089"/>
      <c r="E42" s="1089"/>
      <c r="F42" s="1089"/>
      <c r="G42" s="1090"/>
      <c r="H42" s="1090"/>
      <c r="I42" s="1090"/>
      <c r="J42" s="1090"/>
      <c r="K42" s="1090"/>
      <c r="L42" s="1090"/>
      <c r="M42" s="1090"/>
      <c r="N42" s="1090"/>
      <c r="O42" s="1090"/>
      <c r="P42" s="1090"/>
      <c r="Q42" s="1090"/>
      <c r="R42" s="1090"/>
      <c r="S42" s="1090"/>
      <c r="T42" s="1090"/>
      <c r="U42" s="1090"/>
      <c r="V42" s="1090"/>
      <c r="W42" s="1090"/>
      <c r="X42" s="1090"/>
      <c r="Y42" s="1090"/>
      <c r="Z42" s="1090"/>
      <c r="AA42" s="1090"/>
      <c r="AB42" s="1090"/>
      <c r="AC42" s="1090"/>
      <c r="AD42" s="1090"/>
      <c r="AE42" s="1090"/>
      <c r="AF42" s="1091"/>
      <c r="AG42" s="523"/>
      <c r="AK42" s="11"/>
      <c r="AL42" s="11"/>
      <c r="AM42" s="11"/>
      <c r="AN42" s="11"/>
    </row>
    <row r="43" spans="1:40" ht="15" customHeight="1">
      <c r="A43" s="1082" t="s">
        <v>449</v>
      </c>
      <c r="B43" s="252">
        <v>33</v>
      </c>
      <c r="C43" s="256" t="s">
        <v>450</v>
      </c>
      <c r="D43" s="603">
        <f>'Fin. Data'!D39</f>
        <v>6028</v>
      </c>
      <c r="E43" s="796">
        <f>E36+D43</f>
        <v>5313.5000000000009</v>
      </c>
      <c r="F43" s="795">
        <f>F36+E43</f>
        <v>7178.7000000000007</v>
      </c>
      <c r="G43" s="705">
        <f ca="1">G36+F43</f>
        <v>8713.1087743200696</v>
      </c>
      <c r="H43" s="706">
        <f t="shared" ref="H43:AF43" ca="1" si="40">H36+G43</f>
        <v>17789.962321589945</v>
      </c>
      <c r="I43" s="706">
        <f t="shared" ca="1" si="40"/>
        <v>28217.366569976737</v>
      </c>
      <c r="J43" s="707">
        <f ca="1">J36+I43</f>
        <v>39467.812596824537</v>
      </c>
      <c r="K43" s="708">
        <f t="shared" ca="1" si="40"/>
        <v>44675.421521901546</v>
      </c>
      <c r="L43" s="706">
        <f t="shared" ca="1" si="40"/>
        <v>52842.047290171911</v>
      </c>
      <c r="M43" s="706">
        <f t="shared" ca="1" si="40"/>
        <v>61569.36612575459</v>
      </c>
      <c r="N43" s="706">
        <f t="shared" ca="1" si="40"/>
        <v>70969.613616750765</v>
      </c>
      <c r="O43" s="706">
        <f t="shared" ca="1" si="40"/>
        <v>81025.708249559611</v>
      </c>
      <c r="P43" s="706">
        <f t="shared" ca="1" si="40"/>
        <v>91720.793655443267</v>
      </c>
      <c r="Q43" s="706">
        <f t="shared" ca="1" si="40"/>
        <v>102930.23461772458</v>
      </c>
      <c r="R43" s="706">
        <f t="shared" ca="1" si="40"/>
        <v>114710.70667090226</v>
      </c>
      <c r="S43" s="706">
        <f t="shared" ca="1" si="40"/>
        <v>127212.12726209367</v>
      </c>
      <c r="T43" s="706">
        <f t="shared" ca="1" si="40"/>
        <v>140479.93556609927</v>
      </c>
      <c r="U43" s="706">
        <f t="shared" ca="1" si="40"/>
        <v>154565.5358951035</v>
      </c>
      <c r="V43" s="706">
        <f t="shared" ca="1" si="40"/>
        <v>169519.50653212282</v>
      </c>
      <c r="W43" s="706">
        <f t="shared" ca="1" si="40"/>
        <v>185397.61839015782</v>
      </c>
      <c r="X43" s="706">
        <f t="shared" ca="1" si="40"/>
        <v>202259.53520394518</v>
      </c>
      <c r="Y43" s="706">
        <f t="shared" ca="1" si="40"/>
        <v>220168.13457181107</v>
      </c>
      <c r="Z43" s="706">
        <f t="shared" ca="1" si="40"/>
        <v>239190.90887789711</v>
      </c>
      <c r="AA43" s="706">
        <f t="shared" ca="1" si="40"/>
        <v>259399.79803007888</v>
      </c>
      <c r="AB43" s="706">
        <f t="shared" ca="1" si="40"/>
        <v>280871.40923444123</v>
      </c>
      <c r="AC43" s="706">
        <f t="shared" ca="1" si="40"/>
        <v>303687.54444272869</v>
      </c>
      <c r="AD43" s="706">
        <f t="shared" ca="1" si="40"/>
        <v>327935.43306425808</v>
      </c>
      <c r="AE43" s="706">
        <f t="shared" ca="1" si="40"/>
        <v>353708.10306646326</v>
      </c>
      <c r="AF43" s="709">
        <f t="shared" ca="1" si="40"/>
        <v>381104.80608559638</v>
      </c>
      <c r="AG43" s="523"/>
      <c r="AH43" s="7"/>
      <c r="AI43" s="7"/>
      <c r="AJ43" s="7"/>
      <c r="AK43" s="11"/>
      <c r="AL43" s="11"/>
      <c r="AM43" s="11"/>
      <c r="AN43" s="11"/>
    </row>
    <row r="44" spans="1:40" ht="15">
      <c r="A44" s="1082"/>
      <c r="B44" s="252">
        <v>34</v>
      </c>
      <c r="C44" s="256" t="s">
        <v>298</v>
      </c>
      <c r="D44" s="603">
        <f>'Fin. Data'!D58</f>
        <v>17416</v>
      </c>
      <c r="E44" s="335">
        <f>'Fin. Data'!C58</f>
        <v>16932</v>
      </c>
      <c r="F44" s="718">
        <f>'Fin. Data'!B58</f>
        <v>16572</v>
      </c>
      <c r="G44" s="722">
        <f ca="1">G12*$D$68</f>
        <v>11315.756946445545</v>
      </c>
      <c r="H44" s="723">
        <f ca="1">H12*$D$68</f>
        <v>12625.561697403617</v>
      </c>
      <c r="I44" s="723">
        <f ca="1">I12*$D$68</f>
        <v>14123.504084939061</v>
      </c>
      <c r="J44" s="724">
        <f ca="1">J12*$D$68</f>
        <v>15843.042826627812</v>
      </c>
      <c r="K44" s="725">
        <f t="shared" ref="K44:AF44" ca="1" si="41">K12*$E$68</f>
        <v>15174.661955022817</v>
      </c>
      <c r="L44" s="723">
        <f t="shared" ca="1" si="41"/>
        <v>17033.67678649466</v>
      </c>
      <c r="M44" s="723">
        <f t="shared" ca="1" si="41"/>
        <v>18940.972431327988</v>
      </c>
      <c r="N44" s="723">
        <f t="shared" ca="1" si="41"/>
        <v>20836.832131661307</v>
      </c>
      <c r="O44" s="723">
        <f t="shared" ca="1" si="41"/>
        <v>22654.335720287876</v>
      </c>
      <c r="P44" s="723">
        <f t="shared" ca="1" si="41"/>
        <v>24324.466820825968</v>
      </c>
      <c r="Q44" s="723">
        <f t="shared" ca="1" si="41"/>
        <v>25390.795717374698</v>
      </c>
      <c r="R44" s="723">
        <f t="shared" ca="1" si="41"/>
        <v>26392.773549673311</v>
      </c>
      <c r="S44" s="723">
        <f t="shared" ca="1" si="41"/>
        <v>27446.881110983708</v>
      </c>
      <c r="T44" s="723">
        <f t="shared" ca="1" si="41"/>
        <v>28556.327082520809</v>
      </c>
      <c r="U44" s="723">
        <f t="shared" ca="1" si="41"/>
        <v>29724.530529971693</v>
      </c>
      <c r="V44" s="723">
        <f t="shared" ca="1" si="41"/>
        <v>30955.134980417231</v>
      </c>
      <c r="W44" s="723">
        <f t="shared" ca="1" si="41"/>
        <v>32252.023446965399</v>
      </c>
      <c r="X44" s="723">
        <f t="shared" ca="1" si="41"/>
        <v>33619.334465017077</v>
      </c>
      <c r="Y44" s="723">
        <f t="shared" ca="1" si="41"/>
        <v>35061.479208398989</v>
      </c>
      <c r="Z44" s="723">
        <f t="shared" ca="1" si="41"/>
        <v>36583.159758203139</v>
      </c>
      <c r="AA44" s="723">
        <f t="shared" ca="1" si="41"/>
        <v>38189.388602087929</v>
      </c>
      <c r="AB44" s="723">
        <f t="shared" ca="1" si="41"/>
        <v>39885.50944704318</v>
      </c>
      <c r="AC44" s="723">
        <f t="shared" ca="1" si="41"/>
        <v>41677.219434223298</v>
      </c>
      <c r="AD44" s="723">
        <f t="shared" ca="1" si="41"/>
        <v>43570.592850432273</v>
      </c>
      <c r="AE44" s="723">
        <f t="shared" ca="1" si="41"/>
        <v>45572.106437227449</v>
      </c>
      <c r="AF44" s="726">
        <f t="shared" ca="1" si="41"/>
        <v>47688.666405423224</v>
      </c>
      <c r="AG44" s="539"/>
      <c r="AH44" s="11"/>
      <c r="AI44" s="11"/>
      <c r="AJ44" s="11"/>
      <c r="AK44" s="11"/>
      <c r="AL44" s="11"/>
      <c r="AM44" s="11"/>
      <c r="AN44" s="11"/>
    </row>
    <row r="45" spans="1:40" ht="15">
      <c r="A45" s="1082"/>
      <c r="B45" s="252">
        <v>35</v>
      </c>
      <c r="C45" s="256" t="s">
        <v>451</v>
      </c>
      <c r="D45" s="604"/>
      <c r="E45" s="438"/>
      <c r="F45" s="719">
        <f>1/((1+$F$50)^G50)</f>
        <v>1</v>
      </c>
      <c r="G45" s="710">
        <f t="shared" ref="G45:AF45" si="42">1/((1+$F$50)^G49)</f>
        <v>0.91911764705882348</v>
      </c>
      <c r="H45" s="330">
        <f t="shared" si="42"/>
        <v>0.84477724913494801</v>
      </c>
      <c r="I45" s="330">
        <f t="shared" si="42"/>
        <v>0.77644967751373895</v>
      </c>
      <c r="J45" s="386">
        <f t="shared" si="42"/>
        <v>0.71364860065600999</v>
      </c>
      <c r="K45" s="436">
        <f t="shared" si="42"/>
        <v>0.65592702266177383</v>
      </c>
      <c r="L45" s="330">
        <f t="shared" si="42"/>
        <v>0.60287410171118916</v>
      </c>
      <c r="M45" s="330">
        <f t="shared" si="42"/>
        <v>0.55411222583748998</v>
      </c>
      <c r="N45" s="330">
        <f t="shared" si="42"/>
        <v>0.50929432521828111</v>
      </c>
      <c r="O45" s="330">
        <f t="shared" si="42"/>
        <v>0.46810140185503785</v>
      </c>
      <c r="P45" s="330">
        <f t="shared" si="42"/>
        <v>0.43024025905793917</v>
      </c>
      <c r="Q45" s="330">
        <f t="shared" si="42"/>
        <v>0.39544141457531162</v>
      </c>
      <c r="R45" s="330">
        <f t="shared" si="42"/>
        <v>0.36345718251407316</v>
      </c>
      <c r="S45" s="330">
        <f t="shared" si="42"/>
        <v>0.33405991039896427</v>
      </c>
      <c r="T45" s="330">
        <f t="shared" si="42"/>
        <v>0.30704035882257752</v>
      </c>
      <c r="U45" s="330">
        <f t="shared" si="42"/>
        <v>0.28220621215310426</v>
      </c>
      <c r="V45" s="330">
        <f t="shared" si="42"/>
        <v>0.25938070969954435</v>
      </c>
      <c r="W45" s="330">
        <f t="shared" si="42"/>
        <v>0.23840138759149293</v>
      </c>
      <c r="X45" s="330">
        <f t="shared" si="42"/>
        <v>0.21911892241865158</v>
      </c>
      <c r="Y45" s="330">
        <f t="shared" si="42"/>
        <v>0.20139606839949595</v>
      </c>
      <c r="Z45" s="330">
        <f t="shared" si="42"/>
        <v>0.18510668051424256</v>
      </c>
      <c r="AA45" s="330">
        <f t="shared" si="42"/>
        <v>0.17013481664912</v>
      </c>
      <c r="AB45" s="330">
        <f t="shared" si="42"/>
        <v>0.15637391236132353</v>
      </c>
      <c r="AC45" s="330">
        <f t="shared" si="42"/>
        <v>0.14372602239092233</v>
      </c>
      <c r="AD45" s="330">
        <f t="shared" si="42"/>
        <v>0.13210112352106831</v>
      </c>
      <c r="AE45" s="330">
        <f t="shared" si="42"/>
        <v>0.12141647382451132</v>
      </c>
      <c r="AF45" s="712">
        <f t="shared" si="42"/>
        <v>0.11159602373576406</v>
      </c>
      <c r="AG45" s="539"/>
      <c r="AH45" s="11"/>
      <c r="AI45" s="11"/>
      <c r="AJ45" s="11"/>
      <c r="AK45" s="11"/>
      <c r="AL45" s="11"/>
      <c r="AM45" s="11"/>
      <c r="AN45" s="11"/>
    </row>
    <row r="46" spans="1:40" ht="15">
      <c r="A46" s="1082"/>
      <c r="B46" s="252">
        <v>36</v>
      </c>
      <c r="C46" s="256" t="s">
        <v>452</v>
      </c>
      <c r="D46" s="605"/>
      <c r="E46" s="606" t="s">
        <v>453</v>
      </c>
      <c r="F46" s="720">
        <f>1/((1+$F$50+0.001)^G50)</f>
        <v>1</v>
      </c>
      <c r="G46" s="710">
        <f>1/((1+$F$50+0.001)^G49)</f>
        <v>0.91827364554637281</v>
      </c>
      <c r="H46" s="330">
        <f t="shared" ref="H46:AF46" si="43">1/((1+$F$50+0.001)^H49)</f>
        <v>0.84322648810502554</v>
      </c>
      <c r="I46" s="330">
        <f t="shared" si="43"/>
        <v>0.77431266125346698</v>
      </c>
      <c r="J46" s="386">
        <f t="shared" si="43"/>
        <v>0.71103091024193477</v>
      </c>
      <c r="K46" s="436">
        <f t="shared" si="43"/>
        <v>0.65292094604401729</v>
      </c>
      <c r="L46" s="330">
        <f t="shared" si="43"/>
        <v>0.59956009737742622</v>
      </c>
      <c r="M46" s="330">
        <f t="shared" si="43"/>
        <v>0.55056023634290752</v>
      </c>
      <c r="N46" s="330">
        <f t="shared" si="43"/>
        <v>0.50556495531947432</v>
      </c>
      <c r="O46" s="330">
        <f t="shared" si="43"/>
        <v>0.46424697458170283</v>
      </c>
      <c r="P46" s="330">
        <f t="shared" si="43"/>
        <v>0.42630576178301444</v>
      </c>
      <c r="Q46" s="330">
        <f t="shared" si="43"/>
        <v>0.39146534598991228</v>
      </c>
      <c r="R46" s="330">
        <f t="shared" si="43"/>
        <v>0.35947231036722888</v>
      </c>
      <c r="S46" s="330">
        <f t="shared" si="43"/>
        <v>0.33009394891389243</v>
      </c>
      <c r="T46" s="330">
        <f t="shared" si="43"/>
        <v>0.30311657384195817</v>
      </c>
      <c r="U46" s="330">
        <f t="shared" si="43"/>
        <v>0.27834396128738126</v>
      </c>
      <c r="V46" s="330">
        <f t="shared" si="43"/>
        <v>0.25559592404718207</v>
      </c>
      <c r="W46" s="330">
        <f t="shared" si="43"/>
        <v>0.23470700096159966</v>
      </c>
      <c r="X46" s="330">
        <f t="shared" si="43"/>
        <v>0.21552525340826414</v>
      </c>
      <c r="Y46" s="330">
        <f t="shared" si="43"/>
        <v>0.19791116015451257</v>
      </c>
      <c r="Z46" s="330">
        <f t="shared" si="43"/>
        <v>0.18173660252939627</v>
      </c>
      <c r="AA46" s="330">
        <f t="shared" si="43"/>
        <v>0.1668839325338809</v>
      </c>
      <c r="AB46" s="330">
        <f t="shared" si="43"/>
        <v>0.15324511711100172</v>
      </c>
      <c r="AC46" s="330">
        <f t="shared" si="43"/>
        <v>0.14072095235170037</v>
      </c>
      <c r="AD46" s="330">
        <f t="shared" si="43"/>
        <v>0.12922034192075335</v>
      </c>
      <c r="AE46" s="330">
        <f t="shared" si="43"/>
        <v>0.11865963445431897</v>
      </c>
      <c r="AF46" s="711">
        <f t="shared" si="43"/>
        <v>0.10896201510956743</v>
      </c>
      <c r="AG46" s="539"/>
      <c r="AH46" s="11"/>
      <c r="AI46" s="11"/>
      <c r="AJ46" s="11"/>
      <c r="AK46" s="11"/>
      <c r="AL46" s="11"/>
      <c r="AM46" s="11"/>
      <c r="AN46" s="11"/>
    </row>
    <row r="47" spans="1:40" ht="15">
      <c r="A47" s="1082"/>
      <c r="B47" s="253">
        <v>37</v>
      </c>
      <c r="C47" s="251" t="s">
        <v>454</v>
      </c>
      <c r="D47" s="605"/>
      <c r="E47" s="606" t="s">
        <v>455</v>
      </c>
      <c r="F47" s="721">
        <f>1/((1+$F$50+0.005)^G50)</f>
        <v>1</v>
      </c>
      <c r="G47" s="713">
        <f t="shared" ref="G47:AF47" si="44">1/((1+$F$50+0.005)^G49)</f>
        <v>0.91491308325709064</v>
      </c>
      <c r="H47" s="714">
        <f t="shared" si="44"/>
        <v>0.83706594991499605</v>
      </c>
      <c r="I47" s="714">
        <f t="shared" si="44"/>
        <v>0.76584258912625436</v>
      </c>
      <c r="J47" s="715">
        <f t="shared" si="44"/>
        <v>0.70067940450709465</v>
      </c>
      <c r="K47" s="716">
        <f t="shared" si="44"/>
        <v>0.64106075435232812</v>
      </c>
      <c r="L47" s="714">
        <f t="shared" si="44"/>
        <v>0.586514871319605</v>
      </c>
      <c r="M47" s="714">
        <f t="shared" si="44"/>
        <v>0.5366101292951555</v>
      </c>
      <c r="N47" s="714">
        <f t="shared" si="44"/>
        <v>0.4909516279004168</v>
      </c>
      <c r="O47" s="714">
        <f t="shared" si="44"/>
        <v>0.44917806761245821</v>
      </c>
      <c r="P47" s="714">
        <f t="shared" si="44"/>
        <v>0.41095889077077608</v>
      </c>
      <c r="Q47" s="714">
        <f t="shared" si="44"/>
        <v>0.37599166584700461</v>
      </c>
      <c r="R47" s="714">
        <f t="shared" si="44"/>
        <v>0.3439996942790528</v>
      </c>
      <c r="S47" s="714">
        <f t="shared" si="44"/>
        <v>0.31472982093234475</v>
      </c>
      <c r="T47" s="714">
        <f t="shared" si="44"/>
        <v>0.28795043086216354</v>
      </c>
      <c r="U47" s="714">
        <f t="shared" si="44"/>
        <v>0.26344961652530974</v>
      </c>
      <c r="V47" s="714">
        <f t="shared" si="44"/>
        <v>0.24103350093806933</v>
      </c>
      <c r="W47" s="714">
        <f t="shared" si="44"/>
        <v>0.22052470351149983</v>
      </c>
      <c r="X47" s="714">
        <f t="shared" si="44"/>
        <v>0.20176093642406209</v>
      </c>
      <c r="Y47" s="714">
        <f t="shared" si="44"/>
        <v>0.18459372042457647</v>
      </c>
      <c r="Z47" s="714">
        <f t="shared" si="44"/>
        <v>0.16888720990354666</v>
      </c>
      <c r="AA47" s="714">
        <f t="shared" si="44"/>
        <v>0.15451711793554132</v>
      </c>
      <c r="AB47" s="714">
        <f t="shared" si="44"/>
        <v>0.14136973278640561</v>
      </c>
      <c r="AC47" s="714">
        <f t="shared" si="44"/>
        <v>0.12934101810284138</v>
      </c>
      <c r="AD47" s="714">
        <f t="shared" si="44"/>
        <v>0.11833578966408179</v>
      </c>
      <c r="AE47" s="714">
        <f t="shared" si="44"/>
        <v>0.10826696218122762</v>
      </c>
      <c r="AF47" s="717">
        <f t="shared" si="44"/>
        <v>9.9054860184105795E-2</v>
      </c>
      <c r="AG47" s="539"/>
      <c r="AH47" s="11"/>
      <c r="AI47" s="11"/>
      <c r="AJ47" s="11"/>
      <c r="AK47" s="11"/>
      <c r="AL47" s="11"/>
      <c r="AM47" s="11"/>
      <c r="AN47" s="11"/>
    </row>
    <row r="48" spans="1:40" ht="15">
      <c r="A48" s="1092" t="s">
        <v>424</v>
      </c>
      <c r="B48" s="1093"/>
      <c r="C48" s="1093"/>
      <c r="D48" s="1093"/>
      <c r="E48" s="1093"/>
      <c r="F48" s="1093"/>
      <c r="G48" s="1094"/>
      <c r="H48" s="1094"/>
      <c r="I48" s="1094"/>
      <c r="J48" s="1094"/>
      <c r="K48" s="1094"/>
      <c r="L48" s="1094"/>
      <c r="M48" s="1094"/>
      <c r="N48" s="1094"/>
      <c r="O48" s="1094"/>
      <c r="P48" s="1094"/>
      <c r="Q48" s="1094"/>
      <c r="R48" s="1094"/>
      <c r="S48" s="1094"/>
      <c r="T48" s="1094"/>
      <c r="U48" s="1094"/>
      <c r="V48" s="1094"/>
      <c r="W48" s="1094"/>
      <c r="X48" s="1094"/>
      <c r="Y48" s="1094"/>
      <c r="Z48" s="1094"/>
      <c r="AA48" s="1094"/>
      <c r="AB48" s="1094"/>
      <c r="AC48" s="1094"/>
      <c r="AD48" s="1094"/>
      <c r="AE48" s="1094"/>
      <c r="AF48" s="1095"/>
      <c r="AG48" s="539"/>
      <c r="AH48" s="11"/>
      <c r="AI48" s="11"/>
      <c r="AJ48" s="541"/>
      <c r="AK48" s="11"/>
      <c r="AL48" s="11"/>
      <c r="AM48" s="11"/>
      <c r="AN48" s="11"/>
    </row>
    <row r="49" spans="1:40" ht="15">
      <c r="A49" s="1098" t="s">
        <v>456</v>
      </c>
      <c r="C49" s="268" t="s">
        <v>457</v>
      </c>
      <c r="D49" s="257" t="s">
        <v>458</v>
      </c>
      <c r="E49" s="258" t="s">
        <v>459</v>
      </c>
      <c r="F49" s="269" t="s">
        <v>460</v>
      </c>
      <c r="G49" s="331">
        <v>1</v>
      </c>
      <c r="H49" s="332">
        <v>2</v>
      </c>
      <c r="I49" s="332">
        <v>3</v>
      </c>
      <c r="J49" s="331">
        <v>4</v>
      </c>
      <c r="K49" s="332">
        <v>5</v>
      </c>
      <c r="L49" s="332">
        <v>6</v>
      </c>
      <c r="M49" s="331">
        <v>7</v>
      </c>
      <c r="N49" s="332">
        <v>8</v>
      </c>
      <c r="O49" s="332">
        <v>9</v>
      </c>
      <c r="P49" s="331">
        <v>10</v>
      </c>
      <c r="Q49" s="332">
        <v>11</v>
      </c>
      <c r="R49" s="332">
        <v>12</v>
      </c>
      <c r="S49" s="331">
        <v>13</v>
      </c>
      <c r="T49" s="332">
        <v>14</v>
      </c>
      <c r="U49" s="332">
        <v>15</v>
      </c>
      <c r="V49" s="331">
        <v>16</v>
      </c>
      <c r="W49" s="332">
        <v>17</v>
      </c>
      <c r="X49" s="332">
        <v>18</v>
      </c>
      <c r="Y49" s="331">
        <v>19</v>
      </c>
      <c r="Z49" s="332">
        <v>20</v>
      </c>
      <c r="AA49" s="332">
        <v>21</v>
      </c>
      <c r="AB49" s="331">
        <v>22</v>
      </c>
      <c r="AC49" s="332">
        <v>23</v>
      </c>
      <c r="AD49" s="332">
        <v>24</v>
      </c>
      <c r="AE49" s="331">
        <v>25</v>
      </c>
      <c r="AF49" s="332">
        <v>26</v>
      </c>
      <c r="AG49" s="539"/>
      <c r="AH49" s="11"/>
      <c r="AI49" s="11"/>
      <c r="AJ49" s="11"/>
      <c r="AK49" s="11"/>
      <c r="AL49" s="11"/>
      <c r="AM49" s="11"/>
      <c r="AN49" s="11"/>
    </row>
    <row r="50" spans="1:40" ht="15.75" thickBot="1">
      <c r="A50" s="1099"/>
      <c r="C50" s="264">
        <v>0.04</v>
      </c>
      <c r="D50" s="265">
        <v>4.4999999999999998E-2</v>
      </c>
      <c r="E50" s="266">
        <v>3.0000000000000001E-3</v>
      </c>
      <c r="F50" s="267">
        <f>E50+D50+C50</f>
        <v>8.7999999999999995E-2</v>
      </c>
      <c r="G50" s="331">
        <v>0</v>
      </c>
      <c r="S50" s="250"/>
      <c r="T50" s="250"/>
      <c r="U50" s="250"/>
      <c r="V50" s="250"/>
      <c r="W50" s="250"/>
      <c r="X50" s="250"/>
      <c r="Y50" s="250"/>
      <c r="Z50" s="250"/>
      <c r="AA50" s="250"/>
      <c r="AB50" s="250"/>
      <c r="AC50" s="250"/>
      <c r="AD50" s="250"/>
      <c r="AE50" s="250"/>
      <c r="AF50" s="250"/>
      <c r="AG50" s="538"/>
      <c r="AH50" s="11"/>
      <c r="AI50" s="11"/>
      <c r="AJ50" s="11"/>
      <c r="AK50" s="11"/>
      <c r="AL50" s="11"/>
      <c r="AM50" s="11"/>
      <c r="AN50" s="11"/>
    </row>
    <row r="51" spans="1:40" ht="15">
      <c r="A51" s="250"/>
      <c r="C51" s="250"/>
      <c r="D51" s="250"/>
      <c r="G51"/>
      <c r="H51" s="250"/>
      <c r="I51" s="250"/>
      <c r="J51" s="250"/>
      <c r="K51" s="250"/>
      <c r="S51" s="250"/>
      <c r="T51" s="250"/>
      <c r="U51" s="250"/>
      <c r="V51" s="250"/>
      <c r="W51" s="250"/>
      <c r="X51" s="250"/>
      <c r="Y51" s="250"/>
      <c r="Z51" s="250"/>
      <c r="AA51" s="250"/>
      <c r="AB51" s="250"/>
      <c r="AC51" s="250"/>
      <c r="AD51" s="250"/>
      <c r="AE51" s="250"/>
      <c r="AF51" s="250"/>
      <c r="AG51" s="538"/>
      <c r="AH51" s="11"/>
      <c r="AI51" s="11"/>
      <c r="AJ51" s="11"/>
      <c r="AK51" s="11"/>
      <c r="AL51" s="11"/>
      <c r="AM51" s="11"/>
      <c r="AN51" s="11"/>
    </row>
    <row r="52" spans="1:40" ht="15" customHeight="1">
      <c r="A52" s="1100" t="s">
        <v>461</v>
      </c>
      <c r="C52" s="457" t="s">
        <v>424</v>
      </c>
      <c r="D52" s="458" t="s">
        <v>401</v>
      </c>
      <c r="E52" s="459" t="s">
        <v>402</v>
      </c>
      <c r="F52" s="458" t="s">
        <v>462</v>
      </c>
      <c r="G52" s="250"/>
      <c r="I52" s="495"/>
      <c r="J52" s="495"/>
      <c r="K52" s="250"/>
      <c r="S52" s="250"/>
      <c r="T52" s="250"/>
      <c r="U52" s="250"/>
      <c r="V52" s="250"/>
      <c r="W52" s="250"/>
      <c r="X52" s="250"/>
      <c r="Y52" s="250"/>
      <c r="Z52" s="250"/>
      <c r="AA52" s="250"/>
      <c r="AB52" s="250"/>
      <c r="AC52" s="250"/>
      <c r="AD52" s="250"/>
      <c r="AE52" s="250"/>
      <c r="AF52" s="250"/>
      <c r="AG52" s="538"/>
      <c r="AH52" s="11"/>
      <c r="AI52" s="11"/>
      <c r="AJ52" s="11"/>
      <c r="AK52" s="11"/>
      <c r="AL52" s="11"/>
      <c r="AM52" s="11"/>
      <c r="AN52" s="11"/>
    </row>
    <row r="53" spans="1:40" ht="15" customHeight="1">
      <c r="A53" s="1100"/>
      <c r="C53" s="460" t="s">
        <v>463</v>
      </c>
      <c r="D53" s="427">
        <f>Assumptions!K36</f>
        <v>-0.10200008144984521</v>
      </c>
      <c r="E53" s="427">
        <f>Assumptions!L36</f>
        <v>-0.06</v>
      </c>
      <c r="F53" s="461" t="s">
        <v>464</v>
      </c>
      <c r="G53" s="502"/>
      <c r="I53" s="250"/>
      <c r="J53" s="250"/>
      <c r="K53" s="250"/>
      <c r="S53" s="250"/>
      <c r="T53" s="250"/>
      <c r="U53" s="250"/>
      <c r="V53" s="250"/>
      <c r="W53" s="250"/>
      <c r="X53" s="250"/>
      <c r="Y53" s="250"/>
      <c r="Z53" s="250"/>
      <c r="AA53" s="250"/>
      <c r="AB53" s="250"/>
      <c r="AC53" s="250"/>
      <c r="AD53" s="250"/>
      <c r="AE53" s="250"/>
      <c r="AF53" s="250"/>
      <c r="AG53" s="538"/>
      <c r="AH53" s="11"/>
      <c r="AI53" s="11"/>
      <c r="AJ53" s="11"/>
      <c r="AK53" s="11"/>
      <c r="AL53" s="11"/>
      <c r="AM53" s="11"/>
      <c r="AN53" s="11"/>
    </row>
    <row r="54" spans="1:40" ht="15" customHeight="1">
      <c r="A54" s="1100"/>
      <c r="C54" s="462" t="s">
        <v>465</v>
      </c>
      <c r="D54" s="427">
        <f>Assumptions!K37</f>
        <v>-0.4108507528156683</v>
      </c>
      <c r="E54" s="427">
        <f>Assumptions!L37</f>
        <v>-0.3</v>
      </c>
      <c r="F54" s="463" t="s">
        <v>466</v>
      </c>
      <c r="G54" s="250"/>
      <c r="I54" s="250"/>
      <c r="J54" s="250"/>
      <c r="K54" s="250"/>
      <c r="S54" s="250"/>
      <c r="T54" s="250"/>
      <c r="U54" s="250"/>
      <c r="V54" s="250"/>
      <c r="W54" s="250"/>
      <c r="X54" s="250"/>
      <c r="Y54" s="250"/>
      <c r="Z54" s="250"/>
      <c r="AA54" s="250"/>
      <c r="AB54" s="250"/>
      <c r="AC54" s="250"/>
      <c r="AD54" s="250"/>
      <c r="AE54" s="250"/>
      <c r="AF54" s="250"/>
      <c r="AG54" s="538"/>
      <c r="AH54" s="11"/>
      <c r="AI54" s="11"/>
      <c r="AJ54" s="11"/>
      <c r="AK54" s="11"/>
      <c r="AL54" s="11"/>
      <c r="AM54" s="11"/>
      <c r="AN54" s="11"/>
    </row>
    <row r="55" spans="1:40" ht="15" customHeight="1">
      <c r="A55" s="1100"/>
      <c r="C55" s="437" t="s">
        <v>467</v>
      </c>
      <c r="D55" s="427">
        <f>Assumptions!K38</f>
        <v>-8.4352754038467814E-3</v>
      </c>
      <c r="E55" s="427">
        <f>Assumptions!L38</f>
        <v>-8.4352754038467814E-3</v>
      </c>
      <c r="F55" s="461" t="s">
        <v>468</v>
      </c>
      <c r="G55" s="250"/>
      <c r="I55" s="250"/>
      <c r="J55" s="250"/>
      <c r="K55" s="250"/>
      <c r="L55" s="250"/>
      <c r="M55" s="250"/>
      <c r="N55" s="250"/>
      <c r="O55" s="250"/>
      <c r="P55" s="250"/>
      <c r="Q55" s="250"/>
      <c r="R55" s="250"/>
      <c r="S55" s="250"/>
      <c r="T55" s="250"/>
      <c r="U55" s="250"/>
      <c r="V55" s="250"/>
      <c r="W55" s="250"/>
      <c r="X55" s="250"/>
      <c r="Y55" s="250"/>
      <c r="Z55" s="250"/>
      <c r="AA55" s="250"/>
      <c r="AB55" s="250"/>
      <c r="AC55" s="250"/>
      <c r="AD55" s="250"/>
      <c r="AE55" s="250"/>
      <c r="AF55" s="250"/>
      <c r="AG55" s="538"/>
      <c r="AH55" s="11"/>
      <c r="AI55" s="11"/>
      <c r="AJ55" s="11"/>
      <c r="AK55" s="11"/>
      <c r="AL55" s="11"/>
      <c r="AM55" s="11"/>
      <c r="AN55" s="11"/>
    </row>
    <row r="56" spans="1:40" ht="15" customHeight="1">
      <c r="A56" s="1100"/>
      <c r="C56" s="462" t="s">
        <v>469</v>
      </c>
      <c r="D56" s="427">
        <f>Assumptions!K39</f>
        <v>0.16671898570088284</v>
      </c>
      <c r="E56" s="427">
        <f>Assumptions!L39</f>
        <v>0.18</v>
      </c>
      <c r="F56" s="461" t="s">
        <v>470</v>
      </c>
      <c r="G56" s="250"/>
      <c r="I56" s="250"/>
      <c r="J56" s="250"/>
      <c r="K56" s="250"/>
      <c r="L56" s="250"/>
      <c r="M56" s="250"/>
      <c r="N56" s="250"/>
      <c r="O56" s="250"/>
      <c r="P56" s="250"/>
      <c r="Q56" s="250"/>
      <c r="R56" s="250"/>
      <c r="S56" s="250"/>
      <c r="T56" s="250"/>
      <c r="U56" s="250"/>
      <c r="V56" s="250"/>
      <c r="W56" s="250"/>
      <c r="X56" s="250"/>
      <c r="Y56" s="250"/>
      <c r="Z56" s="250"/>
      <c r="AA56" s="250"/>
      <c r="AB56" s="250"/>
      <c r="AC56" s="250"/>
      <c r="AD56" s="250"/>
      <c r="AE56" s="250"/>
      <c r="AF56" s="250"/>
      <c r="AG56" s="538"/>
      <c r="AH56" s="11"/>
      <c r="AI56" s="11"/>
      <c r="AJ56" s="11"/>
      <c r="AK56" s="11"/>
      <c r="AL56" s="11"/>
      <c r="AM56" s="11"/>
      <c r="AN56" s="11"/>
    </row>
    <row r="57" spans="1:40" ht="15" customHeight="1">
      <c r="A57" s="1100"/>
      <c r="C57" s="437" t="s">
        <v>471</v>
      </c>
      <c r="D57" s="427">
        <f>Assumptions!K40</f>
        <v>4.87E-2</v>
      </c>
      <c r="E57" s="427">
        <f>Assumptions!L40</f>
        <v>5.0299999999999997E-2</v>
      </c>
      <c r="F57" s="463" t="s">
        <v>472</v>
      </c>
      <c r="G57" s="250"/>
      <c r="I57" s="250"/>
      <c r="J57" s="250"/>
      <c r="K57" s="250"/>
      <c r="L57" s="250"/>
      <c r="M57" s="250"/>
      <c r="N57" s="250"/>
      <c r="O57" s="250"/>
      <c r="P57" s="250"/>
      <c r="Q57" s="250"/>
      <c r="R57" s="250"/>
      <c r="S57" s="250"/>
      <c r="T57" s="250"/>
      <c r="U57" s="250"/>
      <c r="V57" s="250"/>
      <c r="W57" s="250"/>
      <c r="X57" s="250"/>
      <c r="Y57" s="250"/>
      <c r="Z57" s="250"/>
      <c r="AA57" s="250"/>
      <c r="AB57" s="250"/>
      <c r="AC57" s="250"/>
      <c r="AD57" s="250"/>
      <c r="AE57" s="250"/>
      <c r="AF57" s="250"/>
      <c r="AG57" s="538"/>
      <c r="AH57" s="11"/>
      <c r="AI57" s="11"/>
      <c r="AJ57" s="11"/>
      <c r="AK57" s="11"/>
      <c r="AL57" s="11"/>
      <c r="AM57" s="11"/>
      <c r="AN57" s="11"/>
    </row>
    <row r="58" spans="1:40" ht="15" customHeight="1">
      <c r="A58" s="1100"/>
      <c r="C58" s="462" t="s">
        <v>473</v>
      </c>
      <c r="D58" s="427">
        <f>Assumptions!K41</f>
        <v>4.1700000000000001E-2</v>
      </c>
      <c r="E58" s="427">
        <f>Assumptions!L41</f>
        <v>4.3299999999999998E-2</v>
      </c>
      <c r="F58" s="461" t="s">
        <v>474</v>
      </c>
      <c r="G58" s="250"/>
      <c r="H58" s="250"/>
      <c r="I58" s="251"/>
      <c r="J58" s="271"/>
      <c r="K58" s="271"/>
      <c r="L58" s="271"/>
      <c r="M58" s="271"/>
      <c r="N58" s="271"/>
      <c r="O58" s="250"/>
      <c r="P58" s="250"/>
      <c r="Q58" s="250"/>
      <c r="R58" s="250"/>
      <c r="S58" s="250"/>
      <c r="T58" s="250"/>
      <c r="U58" s="250"/>
      <c r="V58" s="250"/>
      <c r="W58" s="250"/>
      <c r="X58" s="250"/>
      <c r="Y58" s="250"/>
      <c r="Z58" s="250"/>
      <c r="AA58" s="250"/>
      <c r="AB58" s="250"/>
      <c r="AC58" s="250"/>
      <c r="AD58" s="250"/>
      <c r="AE58" s="250"/>
      <c r="AF58" s="250"/>
      <c r="AG58" s="538"/>
      <c r="AH58" s="11"/>
      <c r="AI58" s="11"/>
      <c r="AJ58" s="11"/>
      <c r="AK58" s="11"/>
      <c r="AL58" s="11"/>
      <c r="AM58" s="11"/>
      <c r="AN58" s="11"/>
    </row>
    <row r="59" spans="1:40" ht="15" customHeight="1">
      <c r="A59" s="1100"/>
      <c r="C59" s="437" t="s">
        <v>475</v>
      </c>
      <c r="D59" s="427">
        <f>Assumptions!K42</f>
        <v>-0.51725277532029823</v>
      </c>
      <c r="E59" s="427">
        <f>Assumptions!L42</f>
        <v>-0.60608547632625387</v>
      </c>
      <c r="F59" s="463" t="s">
        <v>476</v>
      </c>
      <c r="G59" s="250"/>
      <c r="H59" s="250"/>
      <c r="I59" s="250"/>
      <c r="J59" s="272"/>
      <c r="K59" s="272"/>
      <c r="L59" s="272"/>
      <c r="M59" s="272"/>
      <c r="N59" s="271"/>
      <c r="O59" s="250"/>
      <c r="P59" s="250"/>
      <c r="Q59" s="250"/>
      <c r="R59" s="250"/>
      <c r="S59" s="250"/>
      <c r="T59" s="250"/>
      <c r="U59" s="250"/>
      <c r="V59" s="250"/>
      <c r="W59" s="250"/>
      <c r="X59" s="250"/>
      <c r="Y59" s="250"/>
      <c r="Z59" s="250"/>
      <c r="AA59" s="250"/>
      <c r="AB59" s="250"/>
      <c r="AC59" s="250"/>
      <c r="AD59" s="250"/>
      <c r="AE59" s="250"/>
      <c r="AF59" s="250"/>
      <c r="AG59" s="538"/>
      <c r="AH59" s="11"/>
      <c r="AI59" s="11"/>
      <c r="AJ59" s="11"/>
      <c r="AK59" s="11"/>
      <c r="AL59" s="11"/>
      <c r="AM59" s="11"/>
      <c r="AN59" s="11"/>
    </row>
    <row r="60" spans="1:40" ht="15" customHeight="1">
      <c r="A60" s="1100"/>
      <c r="C60" s="457" t="s">
        <v>477</v>
      </c>
      <c r="D60" s="427">
        <f>Assumptions!K43</f>
        <v>-9.9711604329880424E-2</v>
      </c>
      <c r="E60" s="427">
        <f>Assumptions!L43</f>
        <v>-9.9711604329880424E-2</v>
      </c>
      <c r="F60" s="465" t="s">
        <v>478</v>
      </c>
      <c r="G60" s="250"/>
      <c r="H60" s="250"/>
      <c r="I60" s="250"/>
      <c r="J60" s="271"/>
      <c r="K60" s="271"/>
      <c r="L60" s="271"/>
      <c r="M60" s="271"/>
      <c r="N60" s="271"/>
      <c r="O60" s="250"/>
      <c r="P60" s="250"/>
      <c r="Q60" s="250"/>
      <c r="R60" s="250"/>
      <c r="S60" s="250"/>
      <c r="T60" s="250"/>
      <c r="U60" s="250"/>
      <c r="V60" s="250"/>
      <c r="W60" s="250"/>
      <c r="X60" s="250"/>
      <c r="Y60" s="250"/>
      <c r="Z60" s="250"/>
      <c r="AA60" s="250"/>
      <c r="AB60" s="250"/>
      <c r="AC60" s="250"/>
      <c r="AD60" s="250"/>
      <c r="AE60" s="250"/>
      <c r="AF60" s="250"/>
      <c r="AG60" s="538"/>
      <c r="AH60" s="11"/>
      <c r="AI60" s="11"/>
      <c r="AJ60" s="11"/>
      <c r="AK60" s="11"/>
      <c r="AL60" s="11"/>
      <c r="AM60" s="11"/>
      <c r="AN60" s="11"/>
    </row>
    <row r="61" spans="1:40" ht="15" customHeight="1">
      <c r="A61" s="1100"/>
      <c r="C61" s="466" t="s">
        <v>479</v>
      </c>
      <c r="D61" s="427">
        <f>Assumptions!K44</f>
        <v>0.22500000000000001</v>
      </c>
      <c r="E61" s="427">
        <f>Assumptions!L44</f>
        <v>0.22500000000000001</v>
      </c>
      <c r="F61" s="461" t="s">
        <v>480</v>
      </c>
      <c r="G61" s="250"/>
      <c r="H61" s="250"/>
      <c r="I61" s="250"/>
      <c r="J61" s="250"/>
      <c r="K61" s="250"/>
      <c r="L61" s="250"/>
      <c r="M61" s="250"/>
      <c r="N61" s="250"/>
      <c r="O61" s="250"/>
      <c r="P61" s="250"/>
      <c r="Q61" s="250"/>
      <c r="R61" s="250"/>
      <c r="S61" s="250"/>
      <c r="T61" s="250"/>
      <c r="U61" s="250"/>
      <c r="V61" s="250"/>
      <c r="W61" s="250"/>
      <c r="X61" s="250"/>
      <c r="Y61" s="250"/>
      <c r="Z61" s="250"/>
      <c r="AA61" s="250"/>
      <c r="AB61" s="250"/>
      <c r="AC61" s="250"/>
      <c r="AD61" s="250"/>
      <c r="AE61" s="250"/>
      <c r="AF61" s="250"/>
      <c r="AG61" s="538"/>
      <c r="AH61" s="11"/>
      <c r="AI61" s="11"/>
      <c r="AJ61" s="11"/>
      <c r="AK61" s="11"/>
      <c r="AL61" s="11"/>
      <c r="AM61" s="11"/>
      <c r="AN61" s="11"/>
    </row>
    <row r="62" spans="1:40" ht="15" customHeight="1">
      <c r="A62" s="1100"/>
      <c r="C62" s="466" t="s">
        <v>481</v>
      </c>
      <c r="D62" s="427">
        <f>Assumptions!K45</f>
        <v>-1.4673659595896251E-2</v>
      </c>
      <c r="E62" s="427">
        <f>Assumptions!L45</f>
        <v>-7.3368297979481256E-3</v>
      </c>
      <c r="F62" s="461" t="s">
        <v>482</v>
      </c>
      <c r="G62" s="250"/>
      <c r="H62" s="250"/>
      <c r="I62" s="250"/>
      <c r="J62" s="250"/>
      <c r="K62" s="250"/>
      <c r="L62" s="250"/>
      <c r="M62" s="250"/>
      <c r="N62" s="250"/>
      <c r="O62" s="250"/>
      <c r="P62" s="250"/>
      <c r="Q62" s="250"/>
      <c r="R62" s="250"/>
      <c r="S62" s="250"/>
      <c r="T62" s="250"/>
      <c r="U62" s="250"/>
      <c r="V62" s="250"/>
      <c r="W62" s="250"/>
      <c r="X62" s="250"/>
      <c r="Y62" s="250"/>
      <c r="Z62" s="250"/>
      <c r="AA62" s="250"/>
      <c r="AB62" s="250"/>
      <c r="AC62" s="250"/>
      <c r="AD62" s="250"/>
      <c r="AE62" s="250"/>
      <c r="AF62" s="250"/>
      <c r="AG62" s="538"/>
      <c r="AH62" s="11"/>
      <c r="AI62" s="11"/>
      <c r="AJ62" s="11"/>
      <c r="AK62" s="11"/>
      <c r="AL62" s="11"/>
      <c r="AM62" s="11"/>
      <c r="AN62" s="11"/>
    </row>
    <row r="63" spans="1:40" ht="15" customHeight="1">
      <c r="A63" s="1100"/>
      <c r="C63" s="466" t="s">
        <v>483</v>
      </c>
      <c r="D63" s="427">
        <f>Assumptions!K46</f>
        <v>-1.8859218088946944E-2</v>
      </c>
      <c r="E63" s="427">
        <f>Assumptions!L46</f>
        <v>-9.429609044473472E-3</v>
      </c>
      <c r="F63" s="461" t="s">
        <v>482</v>
      </c>
      <c r="G63" s="250"/>
      <c r="H63" s="250"/>
      <c r="I63" s="250"/>
      <c r="J63" s="250"/>
      <c r="K63" s="250"/>
      <c r="L63" s="250"/>
      <c r="M63" s="250"/>
      <c r="N63" s="250"/>
      <c r="O63" s="250"/>
      <c r="P63" s="250"/>
      <c r="Q63" s="250"/>
      <c r="R63" s="250"/>
      <c r="S63" s="250"/>
      <c r="T63" s="250"/>
      <c r="U63" s="250"/>
      <c r="V63" s="250"/>
      <c r="W63" s="250"/>
      <c r="X63" s="250"/>
      <c r="Y63" s="250"/>
      <c r="Z63" s="250"/>
      <c r="AA63" s="250"/>
      <c r="AB63" s="250"/>
      <c r="AC63" s="250"/>
      <c r="AD63" s="250"/>
      <c r="AE63" s="250"/>
      <c r="AF63" s="250"/>
      <c r="AG63" s="538"/>
      <c r="AH63" s="11"/>
      <c r="AI63" s="11"/>
      <c r="AJ63" s="11"/>
      <c r="AK63" s="11"/>
      <c r="AL63" s="11"/>
      <c r="AM63" s="11"/>
      <c r="AN63" s="11"/>
    </row>
    <row r="64" spans="1:40" ht="15" customHeight="1">
      <c r="A64" s="1100"/>
      <c r="C64" s="466" t="s">
        <v>153</v>
      </c>
      <c r="D64" s="427">
        <f>Assumptions!K47</f>
        <v>0</v>
      </c>
      <c r="E64" s="427">
        <f>Assumptions!L47</f>
        <v>0</v>
      </c>
      <c r="F64" s="461" t="s">
        <v>484</v>
      </c>
      <c r="G64" s="250"/>
      <c r="I64" s="250"/>
      <c r="J64" s="250"/>
      <c r="K64" s="250"/>
      <c r="L64" s="250"/>
      <c r="M64" s="250"/>
      <c r="N64" s="250"/>
      <c r="O64" s="250"/>
      <c r="P64" s="250"/>
      <c r="Q64" s="250"/>
      <c r="R64" s="250"/>
      <c r="S64" s="250"/>
      <c r="T64" s="250"/>
      <c r="U64" s="250"/>
      <c r="V64" s="250"/>
      <c r="W64" s="250"/>
      <c r="X64" s="250"/>
      <c r="Y64" s="250"/>
      <c r="Z64" s="250"/>
      <c r="AA64" s="250"/>
      <c r="AB64" s="250"/>
      <c r="AC64" s="250"/>
      <c r="AD64" s="250"/>
      <c r="AE64" s="250"/>
      <c r="AF64" s="250"/>
      <c r="AG64" s="250"/>
    </row>
    <row r="65" spans="1:33" ht="15" customHeight="1">
      <c r="A65" s="1100"/>
      <c r="C65" s="466" t="s">
        <v>485</v>
      </c>
      <c r="D65" s="427">
        <f>-Assumptions!K48</f>
        <v>0.2</v>
      </c>
      <c r="E65" s="427">
        <f>-Assumptions!L48</f>
        <v>0.24702461184542285</v>
      </c>
      <c r="F65" s="461" t="s">
        <v>484</v>
      </c>
      <c r="G65" s="250"/>
      <c r="I65" s="250"/>
      <c r="J65" s="250"/>
      <c r="K65" s="250"/>
      <c r="L65" s="250"/>
      <c r="M65" s="250"/>
      <c r="N65" s="250"/>
      <c r="O65" s="250"/>
      <c r="P65" s="250"/>
      <c r="Q65" s="250"/>
      <c r="R65" s="250"/>
      <c r="S65" s="250"/>
      <c r="T65" s="250"/>
      <c r="U65" s="250"/>
      <c r="V65" s="250"/>
      <c r="W65" s="250"/>
      <c r="X65" s="250"/>
      <c r="Y65" s="250"/>
      <c r="Z65" s="250"/>
      <c r="AA65" s="250"/>
      <c r="AB65" s="250"/>
      <c r="AC65" s="250"/>
      <c r="AD65" s="250"/>
      <c r="AE65" s="250"/>
      <c r="AF65" s="250"/>
      <c r="AG65" s="250"/>
    </row>
    <row r="66" spans="1:33" ht="15" customHeight="1">
      <c r="A66" s="1100"/>
      <c r="C66" s="466" t="s">
        <v>486</v>
      </c>
      <c r="D66" s="427">
        <f>Assumptions!K49</f>
        <v>0</v>
      </c>
      <c r="E66" s="427">
        <f>Assumptions!L49</f>
        <v>0</v>
      </c>
      <c r="F66" s="461" t="s">
        <v>482</v>
      </c>
      <c r="G66" s="250"/>
      <c r="I66" s="250"/>
      <c r="J66" s="250"/>
      <c r="K66" s="250"/>
      <c r="L66" s="250"/>
      <c r="M66" s="250"/>
      <c r="N66" s="250"/>
      <c r="O66" s="250"/>
      <c r="P66" s="250"/>
      <c r="Q66" s="250"/>
      <c r="R66" s="250"/>
      <c r="S66" s="250"/>
      <c r="T66" s="250"/>
      <c r="U66" s="250"/>
      <c r="V66" s="250"/>
      <c r="W66" s="250"/>
      <c r="X66" s="250"/>
      <c r="Y66" s="250"/>
      <c r="Z66" s="250"/>
      <c r="AA66" s="250"/>
      <c r="AB66" s="250"/>
      <c r="AC66" s="250"/>
      <c r="AD66" s="250"/>
      <c r="AE66" s="250"/>
      <c r="AF66" s="250"/>
      <c r="AG66" s="250"/>
    </row>
    <row r="67" spans="1:33" ht="15.75" customHeight="1">
      <c r="A67" s="1100"/>
      <c r="C67" s="466" t="s">
        <v>487</v>
      </c>
      <c r="D67" s="427"/>
      <c r="E67" s="427"/>
      <c r="F67" s="461" t="s">
        <v>482</v>
      </c>
      <c r="G67" s="250"/>
      <c r="J67" s="250"/>
      <c r="K67" s="250"/>
      <c r="L67" s="250"/>
      <c r="M67" s="250"/>
      <c r="N67" s="250"/>
      <c r="O67" s="250"/>
      <c r="P67" s="250"/>
      <c r="Q67" s="250"/>
      <c r="R67" s="250"/>
      <c r="S67" s="250"/>
      <c r="T67" s="250"/>
      <c r="U67" s="250"/>
      <c r="V67" s="250"/>
      <c r="W67" s="250"/>
      <c r="X67" s="250"/>
      <c r="Y67" s="250"/>
      <c r="Z67" s="250"/>
      <c r="AA67" s="250"/>
      <c r="AB67" s="250"/>
      <c r="AC67" s="250"/>
      <c r="AD67" s="250"/>
      <c r="AE67" s="250"/>
      <c r="AF67" s="250"/>
      <c r="AG67" s="250"/>
    </row>
    <row r="68" spans="1:33" ht="15.75" customHeight="1">
      <c r="A68" s="1100"/>
      <c r="C68" s="466" t="s">
        <v>298</v>
      </c>
      <c r="D68" s="761">
        <f>Assumptions!K51</f>
        <v>0.5</v>
      </c>
      <c r="E68" s="761">
        <f>Assumptions!L51</f>
        <v>0.5</v>
      </c>
      <c r="F68" s="461" t="s">
        <v>488</v>
      </c>
      <c r="G68" s="250"/>
      <c r="J68" s="250"/>
      <c r="K68" s="250"/>
      <c r="L68" s="250"/>
      <c r="M68" s="250"/>
      <c r="N68" s="250"/>
      <c r="O68" s="250"/>
      <c r="P68" s="250"/>
      <c r="Q68" s="250"/>
      <c r="R68" s="250"/>
      <c r="S68" s="250"/>
      <c r="T68" s="250"/>
      <c r="U68" s="250"/>
      <c r="V68" s="250"/>
      <c r="W68" s="250"/>
      <c r="X68" s="250"/>
      <c r="Y68" s="250"/>
      <c r="Z68" s="250"/>
      <c r="AA68" s="250"/>
      <c r="AB68" s="250"/>
      <c r="AC68" s="250"/>
      <c r="AD68" s="250"/>
      <c r="AE68" s="250"/>
      <c r="AF68" s="250"/>
      <c r="AG68" s="250"/>
    </row>
    <row r="69" spans="1:33" ht="15">
      <c r="A69" s="250"/>
      <c r="C69" s="250"/>
      <c r="D69" s="250"/>
      <c r="E69" s="250"/>
      <c r="F69" s="250"/>
      <c r="G69" s="250"/>
      <c r="H69" s="250"/>
      <c r="I69" s="250"/>
      <c r="J69" s="250"/>
      <c r="K69" s="250"/>
      <c r="L69" s="250"/>
      <c r="M69" s="250"/>
      <c r="N69" s="250"/>
      <c r="O69" s="250"/>
      <c r="P69" s="250"/>
      <c r="Q69" s="250"/>
      <c r="R69" s="250"/>
      <c r="S69" s="250"/>
      <c r="T69" s="250"/>
      <c r="U69" s="250"/>
      <c r="V69" s="250"/>
      <c r="W69" s="250"/>
      <c r="X69" s="250"/>
      <c r="Y69" s="250"/>
      <c r="Z69" s="250"/>
      <c r="AA69" s="250"/>
      <c r="AB69" s="250"/>
      <c r="AC69" s="250"/>
      <c r="AD69" s="250"/>
      <c r="AE69" s="250"/>
      <c r="AF69" s="250"/>
      <c r="AG69" s="250"/>
    </row>
    <row r="70" spans="1:33" ht="15">
      <c r="A70" s="1078" t="s">
        <v>128</v>
      </c>
      <c r="C70" s="333"/>
      <c r="D70" s="430" t="s">
        <v>489</v>
      </c>
      <c r="E70" s="2"/>
      <c r="G70" s="250"/>
      <c r="H70" s="250"/>
      <c r="I70" s="250"/>
      <c r="J70" s="250"/>
      <c r="K70" s="250"/>
      <c r="L70" s="250"/>
      <c r="M70" s="250"/>
      <c r="N70" s="250"/>
      <c r="O70" s="250"/>
      <c r="P70" s="250"/>
      <c r="Q70" s="250"/>
      <c r="R70" s="250"/>
      <c r="S70" s="250"/>
      <c r="T70" s="250"/>
      <c r="U70" s="250"/>
      <c r="V70" s="250"/>
      <c r="W70" s="250"/>
      <c r="X70" s="250"/>
      <c r="Y70" s="250"/>
      <c r="Z70" s="250"/>
      <c r="AA70" s="250"/>
      <c r="AB70" s="250"/>
      <c r="AC70" s="250"/>
      <c r="AD70" s="250"/>
      <c r="AE70" s="250"/>
      <c r="AF70" s="250"/>
      <c r="AG70" s="250"/>
    </row>
    <row r="71" spans="1:33" ht="15">
      <c r="A71" s="1079"/>
      <c r="C71" s="333" t="s">
        <v>490</v>
      </c>
      <c r="D71" s="431">
        <f ca="1">SUMPRODUCT(G35:AF35,G45:AF45)+((AF43-AF44)*AF45)</f>
        <v>88765.677945409028</v>
      </c>
      <c r="E71" s="387">
        <f ca="1">D71/D73</f>
        <v>0.58536603770474183</v>
      </c>
      <c r="G71" s="250"/>
      <c r="H71" s="250"/>
      <c r="I71" s="250"/>
      <c r="J71" s="250"/>
      <c r="K71" s="250"/>
      <c r="L71" s="250"/>
      <c r="M71" s="250"/>
      <c r="N71" s="250"/>
      <c r="O71" s="250"/>
      <c r="P71" s="250"/>
      <c r="Q71" s="250"/>
      <c r="R71" s="250"/>
      <c r="S71" s="250"/>
      <c r="T71" s="250"/>
      <c r="U71" s="250"/>
      <c r="V71" s="250"/>
      <c r="W71" s="250"/>
      <c r="X71" s="250"/>
      <c r="Y71" s="250"/>
      <c r="Z71" s="250"/>
      <c r="AA71" s="250"/>
      <c r="AB71" s="250"/>
      <c r="AC71" s="250"/>
      <c r="AD71" s="250"/>
      <c r="AE71" s="250"/>
      <c r="AF71" s="250"/>
      <c r="AG71" s="250"/>
    </row>
    <row r="72" spans="1:33" ht="15">
      <c r="A72" s="1079"/>
      <c r="C72" s="333" t="s">
        <v>491</v>
      </c>
      <c r="D72" s="431">
        <f ca="1">(AF34/(F50-AF5))*AF45</f>
        <v>62875.640866773872</v>
      </c>
      <c r="E72" s="387">
        <f ca="1">D72/D73</f>
        <v>0.41463396229525817</v>
      </c>
      <c r="G72" s="250"/>
      <c r="H72" s="250"/>
      <c r="I72" s="250"/>
      <c r="J72" s="250"/>
      <c r="K72" s="250"/>
      <c r="L72" s="250"/>
      <c r="M72" s="250"/>
      <c r="N72" s="250"/>
      <c r="O72" s="250"/>
      <c r="P72" s="250"/>
      <c r="Q72" s="250"/>
      <c r="R72" s="250"/>
      <c r="S72" s="250"/>
      <c r="T72" s="250"/>
      <c r="U72" s="250"/>
      <c r="V72" s="250"/>
      <c r="W72" s="250"/>
      <c r="X72" s="250"/>
      <c r="Y72" s="250"/>
      <c r="Z72" s="250"/>
      <c r="AA72" s="250"/>
      <c r="AB72" s="250"/>
      <c r="AC72" s="250"/>
      <c r="AD72" s="250"/>
      <c r="AE72" s="250"/>
      <c r="AF72" s="250"/>
      <c r="AG72" s="250"/>
    </row>
    <row r="73" spans="1:33" ht="15">
      <c r="A73" s="1079"/>
      <c r="C73" s="333" t="s">
        <v>492</v>
      </c>
      <c r="D73" s="431">
        <f ca="1">D71+D72</f>
        <v>151641.3188121829</v>
      </c>
      <c r="E73" s="2"/>
      <c r="G73" s="250"/>
      <c r="H73" s="250"/>
      <c r="I73" s="250"/>
      <c r="J73" s="250"/>
      <c r="K73" s="250"/>
      <c r="L73" s="250"/>
      <c r="M73" s="250"/>
      <c r="N73" s="250"/>
      <c r="O73" s="250"/>
      <c r="P73" s="250"/>
      <c r="Q73" s="250"/>
      <c r="R73" s="250"/>
      <c r="S73" s="250"/>
      <c r="T73" s="250"/>
      <c r="U73" s="250"/>
      <c r="V73" s="250"/>
      <c r="W73" s="250"/>
      <c r="X73" s="250"/>
      <c r="Y73" s="250"/>
      <c r="Z73" s="250"/>
      <c r="AA73" s="250"/>
      <c r="AB73" s="250"/>
      <c r="AC73" s="250"/>
      <c r="AD73" s="250"/>
      <c r="AE73" s="250"/>
      <c r="AF73" s="250"/>
      <c r="AG73" s="250"/>
    </row>
    <row r="74" spans="1:33" ht="15">
      <c r="A74" s="1079"/>
      <c r="C74" s="700" t="s">
        <v>493</v>
      </c>
      <c r="D74" s="701">
        <f ca="1">OP!C20</f>
        <v>818.39</v>
      </c>
      <c r="E74" s="334"/>
      <c r="G74" s="250"/>
      <c r="H74" s="250"/>
      <c r="I74" s="250"/>
      <c r="J74" s="250"/>
      <c r="K74" s="250"/>
      <c r="L74" s="250"/>
      <c r="M74" s="250"/>
      <c r="N74" s="250"/>
      <c r="O74" s="250"/>
      <c r="P74" s="250"/>
      <c r="Q74" s="250"/>
      <c r="R74" s="250"/>
      <c r="S74" s="250"/>
      <c r="T74" s="250"/>
      <c r="U74" s="250"/>
      <c r="V74" s="250"/>
      <c r="W74" s="250"/>
      <c r="X74" s="250"/>
      <c r="Y74" s="250"/>
      <c r="Z74" s="250"/>
      <c r="AA74" s="250"/>
      <c r="AB74" s="250"/>
      <c r="AC74" s="250"/>
      <c r="AD74" s="250"/>
      <c r="AE74" s="250"/>
      <c r="AF74" s="250"/>
      <c r="AG74" s="250"/>
    </row>
    <row r="75" spans="1:33" ht="15">
      <c r="A75" s="1079"/>
      <c r="C75" s="700" t="s">
        <v>494</v>
      </c>
      <c r="D75" s="432">
        <f ca="1">D76/D74-1</f>
        <v>-0.56652536686640176</v>
      </c>
      <c r="H75" s="250"/>
      <c r="I75" s="250"/>
      <c r="J75" s="250"/>
      <c r="K75" s="250"/>
      <c r="L75" s="250"/>
      <c r="M75" s="250"/>
      <c r="N75" s="250"/>
      <c r="O75" s="250"/>
      <c r="P75" s="250"/>
      <c r="Q75" s="250"/>
      <c r="R75" s="250"/>
      <c r="S75" s="250"/>
      <c r="T75" s="250"/>
      <c r="U75" s="250"/>
      <c r="V75" s="250"/>
      <c r="W75" s="250"/>
      <c r="X75" s="250"/>
      <c r="Y75" s="250"/>
      <c r="Z75" s="250"/>
      <c r="AA75" s="250"/>
      <c r="AB75" s="250"/>
      <c r="AC75" s="250"/>
      <c r="AD75" s="250"/>
      <c r="AE75" s="250"/>
      <c r="AF75" s="250"/>
      <c r="AG75" s="250"/>
    </row>
    <row r="76" spans="1:33" ht="15">
      <c r="A76" s="1080"/>
      <c r="C76" s="433" t="s">
        <v>495</v>
      </c>
      <c r="D76" s="434">
        <f ca="1">D73*1000000/OP!C21</f>
        <v>354.75130501020544</v>
      </c>
    </row>
    <row r="77" spans="1:33" ht="15">
      <c r="A77" s="414"/>
      <c r="C77" s="334"/>
      <c r="D77" s="702"/>
    </row>
    <row r="78" spans="1:33" ht="15">
      <c r="A78" s="1074" t="s">
        <v>496</v>
      </c>
      <c r="C78" s="456" t="s">
        <v>497</v>
      </c>
      <c r="D78" s="701">
        <f ca="1">(SUMPRODUCT(G35:AF35,G45:AF45)+((AF43-AF44)*AF45)+(AF34/(F50+0.001-AF5))*AF45)*1000000/OP!C21</f>
        <v>352.61953777504903</v>
      </c>
      <c r="E78" s="435">
        <f ca="1">D78/D76-1</f>
        <v>-6.0091878593514503E-3</v>
      </c>
    </row>
    <row r="79" spans="1:33" ht="15">
      <c r="A79" s="1075"/>
      <c r="C79" s="456" t="s">
        <v>498</v>
      </c>
      <c r="D79" s="701">
        <f ca="1">(SUMPRODUCT(G35:AF35,G45:AF45)+((AF43-AF44)*AF45)+(AF34/(F50+0.005-AF5))*AF45)*1000000/OP!C21</f>
        <v>344.67651465227431</v>
      </c>
      <c r="E79" s="435">
        <f ca="1">D79/D76-1</f>
        <v>-2.8399586458579207E-2</v>
      </c>
    </row>
    <row r="80" spans="1:33" ht="15">
      <c r="A80" s="454"/>
      <c r="C80" s="455"/>
      <c r="D80" s="702"/>
      <c r="E80" s="435"/>
    </row>
    <row r="81" spans="1:12" ht="15">
      <c r="A81" s="467" t="s">
        <v>499</v>
      </c>
      <c r="J81" s="5"/>
    </row>
    <row r="82" spans="1:12">
      <c r="G82" s="1"/>
      <c r="H82" s="1"/>
      <c r="I82" s="1"/>
      <c r="J82" s="4"/>
    </row>
    <row r="83" spans="1:12">
      <c r="G83" s="1"/>
      <c r="H83" s="1"/>
      <c r="I83" s="1"/>
      <c r="J83" s="4"/>
    </row>
    <row r="84" spans="1:12">
      <c r="G84" s="1"/>
      <c r="H84" s="1"/>
      <c r="I84" s="1"/>
      <c r="K84" s="4"/>
    </row>
    <row r="85" spans="1:12">
      <c r="L85" s="5"/>
    </row>
    <row r="86" spans="1:12">
      <c r="G86" s="1"/>
      <c r="H86" s="1"/>
      <c r="I86" s="1"/>
    </row>
    <row r="87" spans="1:12">
      <c r="G87" s="1"/>
      <c r="H87" s="1"/>
      <c r="I87" s="1"/>
    </row>
    <row r="88" spans="1:12">
      <c r="G88" s="1"/>
      <c r="H88" s="1"/>
      <c r="I88" s="1"/>
    </row>
  </sheetData>
  <mergeCells count="15">
    <mergeCell ref="A33:AF33"/>
    <mergeCell ref="A78:A79"/>
    <mergeCell ref="A1:AF2"/>
    <mergeCell ref="A70:A76"/>
    <mergeCell ref="A5:A17"/>
    <mergeCell ref="A19:A32"/>
    <mergeCell ref="A43:A47"/>
    <mergeCell ref="G3:J3"/>
    <mergeCell ref="K3:AF3"/>
    <mergeCell ref="A42:AF42"/>
    <mergeCell ref="A48:AF48"/>
    <mergeCell ref="A34:A36"/>
    <mergeCell ref="A38:A41"/>
    <mergeCell ref="A49:A50"/>
    <mergeCell ref="A52:A68"/>
  </mergeCells>
  <phoneticPr fontId="0" type="noConversion"/>
  <conditionalFormatting sqref="D75">
    <cfRule type="cellIs" dxfId="1" priority="1" operator="lessThan">
      <formula>0</formula>
    </cfRule>
    <cfRule type="cellIs" dxfId="0" priority="2" operator="greaterThan">
      <formula>0%</formula>
    </cfRule>
  </conditionalFormatting>
  <pageMargins left="0.75" right="0.75" top="1" bottom="1" header="0" footer="0"/>
  <pageSetup orientation="portrait"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4465F-F60F-4DA4-8EB4-9D275D264FB2}">
  <dimension ref="A2:AJ144"/>
  <sheetViews>
    <sheetView showGridLines="0" zoomScale="85" zoomScaleNormal="85" workbookViewId="0">
      <selection activeCell="J34" sqref="J34"/>
    </sheetView>
  </sheetViews>
  <sheetFormatPr defaultColWidth="9.140625" defaultRowHeight="12.75"/>
  <cols>
    <col min="1" max="1" width="9.140625" style="664"/>
    <col min="2" max="2" width="17.7109375" style="664" customWidth="1"/>
    <col min="3" max="4" width="12.7109375" style="664" customWidth="1"/>
    <col min="5" max="5" width="13.42578125" style="664" customWidth="1"/>
    <col min="6" max="6" width="13" style="664" customWidth="1"/>
    <col min="7" max="7" width="14.140625" style="664" customWidth="1"/>
    <col min="8" max="8" width="12.42578125" style="664" customWidth="1"/>
    <col min="9" max="9" width="14.140625" style="664" customWidth="1"/>
    <col min="10" max="10" width="12.42578125" style="664" customWidth="1"/>
    <col min="11" max="12" width="17.7109375" style="664" customWidth="1"/>
    <col min="13" max="20" width="11.28515625" style="664" bestFit="1" customWidth="1"/>
    <col min="21" max="35" width="12.28515625" style="664" bestFit="1" customWidth="1"/>
    <col min="36" max="16384" width="9.140625" style="664"/>
  </cols>
  <sheetData>
    <row r="2" spans="1:35" s="663" customFormat="1" ht="12.6" customHeight="1">
      <c r="A2" s="660"/>
      <c r="B2" s="661" t="s">
        <v>500</v>
      </c>
      <c r="C2" s="662"/>
      <c r="D2" s="660"/>
      <c r="E2" s="660"/>
      <c r="F2" s="660"/>
      <c r="G2" s="660"/>
      <c r="H2" s="660"/>
      <c r="I2" s="660"/>
      <c r="J2" s="660"/>
      <c r="K2" s="660"/>
      <c r="L2" s="660"/>
      <c r="M2" s="660"/>
      <c r="N2" s="660"/>
      <c r="O2" s="660"/>
      <c r="P2" s="660"/>
      <c r="Q2" s="660"/>
      <c r="R2" s="660"/>
      <c r="S2" s="660"/>
      <c r="T2" s="660"/>
      <c r="U2" s="660"/>
      <c r="V2" s="660"/>
      <c r="W2" s="660"/>
      <c r="X2" s="660"/>
      <c r="Y2" s="660"/>
      <c r="Z2" s="660"/>
      <c r="AA2" s="660"/>
      <c r="AB2" s="660"/>
      <c r="AC2" s="660"/>
      <c r="AD2" s="660"/>
      <c r="AE2" s="660"/>
      <c r="AF2" s="660"/>
      <c r="AG2" s="660"/>
      <c r="AH2" s="660"/>
      <c r="AI2" s="660"/>
    </row>
    <row r="3" spans="1:35" ht="12.6" customHeight="1">
      <c r="C3" s="665"/>
    </row>
    <row r="4" spans="1:35">
      <c r="B4" s="664" t="s">
        <v>501</v>
      </c>
      <c r="F4" s="666"/>
      <c r="G4" s="667"/>
      <c r="H4" s="667"/>
      <c r="I4" s="667"/>
      <c r="J4" s="667"/>
      <c r="K4" s="667"/>
      <c r="L4" s="667"/>
    </row>
    <row r="5" spans="1:35">
      <c r="B5" s="668"/>
      <c r="G5" s="669"/>
      <c r="H5" s="669"/>
      <c r="I5" s="669"/>
      <c r="J5" s="669"/>
      <c r="K5" s="669"/>
      <c r="L5" s="669"/>
    </row>
    <row r="6" spans="1:35">
      <c r="B6" s="664" t="s">
        <v>502</v>
      </c>
    </row>
    <row r="8" spans="1:35">
      <c r="B8" s="667"/>
      <c r="C8" s="689">
        <v>2023</v>
      </c>
      <c r="D8" s="689">
        <f>C8-1</f>
        <v>2022</v>
      </c>
      <c r="E8" s="689">
        <f t="shared" ref="E8:G8" si="0">D8-1</f>
        <v>2021</v>
      </c>
      <c r="F8" s="689">
        <f t="shared" si="0"/>
        <v>2020</v>
      </c>
      <c r="G8" s="689">
        <f t="shared" si="0"/>
        <v>2019</v>
      </c>
      <c r="I8" s="688" t="s">
        <v>503</v>
      </c>
      <c r="K8" s="683" t="s">
        <v>504</v>
      </c>
      <c r="L8" s="683" t="s">
        <v>505</v>
      </c>
    </row>
    <row r="9" spans="1:35">
      <c r="B9" s="687" t="s">
        <v>506</v>
      </c>
      <c r="C9" s="318">
        <f>(Inputs!B6-Inputs!C6)/Inputs!C6</f>
        <v>6.6643471659919032E-2</v>
      </c>
      <c r="D9" s="318">
        <f>(Inputs!C6-Inputs!D6)/Inputs!D6</f>
        <v>6.458347363458819E-2</v>
      </c>
      <c r="E9" s="318">
        <f>(Inputs!D6-Inputs!E6)/Inputs!E6</f>
        <v>0.1881100976156185</v>
      </c>
      <c r="F9" s="318">
        <f>(Inputs!E6-Inputs!F6)/Inputs!F6</f>
        <v>0.24012700932724748</v>
      </c>
      <c r="G9" s="318">
        <f>(Inputs!F6-Inputs!G6)/Inputs!G6</f>
        <v>0.27618082816259337</v>
      </c>
      <c r="H9" s="318"/>
      <c r="I9" s="669">
        <f>AVERAGE(C9:G9)</f>
        <v>0.16712897607999333</v>
      </c>
      <c r="K9" s="684"/>
      <c r="L9" s="684"/>
    </row>
    <row r="10" spans="1:35" ht="10.5" customHeight="1">
      <c r="B10" s="687" t="s">
        <v>143</v>
      </c>
      <c r="C10" s="318">
        <f>Inputs!B8/Inputs!B6</f>
        <v>0.20620941197402368</v>
      </c>
      <c r="D10" s="318">
        <f>Inputs!C8/Inputs!C6</f>
        <v>0.17816928137651822</v>
      </c>
      <c r="E10" s="318">
        <f>Inputs!D8/Inputs!D6</f>
        <v>0.20859990571755674</v>
      </c>
      <c r="F10" s="318">
        <f>Inputs!E8/Inputs!E6</f>
        <v>0.18342934869579133</v>
      </c>
      <c r="G10" s="318">
        <f>Inputs!F8/Inputs!F6</f>
        <v>0.12919230005953561</v>
      </c>
      <c r="H10" s="318"/>
      <c r="I10" s="669">
        <f>AVERAGE(C10:G10)</f>
        <v>0.18112004956468511</v>
      </c>
      <c r="K10" s="684"/>
      <c r="L10" s="684"/>
    </row>
    <row r="12" spans="1:35">
      <c r="B12" s="732" t="s">
        <v>507</v>
      </c>
      <c r="C12" s="731">
        <f>+C14/C13</f>
        <v>0.12844480257856566</v>
      </c>
      <c r="D12" s="731">
        <f>+D14/D13</f>
        <v>0.21675531914893617</v>
      </c>
      <c r="E12" s="731">
        <f>+E14/E13</f>
        <v>0.16763698630136986</v>
      </c>
      <c r="F12" s="731">
        <f>+F14/F13</f>
        <v>0.16411378555798686</v>
      </c>
      <c r="G12" s="731">
        <f>+G14/G13</f>
        <v>0.15664403491755577</v>
      </c>
    </row>
    <row r="13" spans="1:35">
      <c r="B13" s="732" t="s">
        <v>508</v>
      </c>
      <c r="C13" s="736">
        <v>6205</v>
      </c>
      <c r="D13" s="736">
        <v>5264</v>
      </c>
      <c r="E13" s="736">
        <v>5840</v>
      </c>
      <c r="F13" s="736">
        <v>3199</v>
      </c>
      <c r="G13" s="736">
        <v>2062</v>
      </c>
    </row>
    <row r="14" spans="1:35">
      <c r="B14" s="732" t="s">
        <v>509</v>
      </c>
      <c r="C14" s="664">
        <v>797</v>
      </c>
      <c r="D14" s="736">
        <v>1141</v>
      </c>
      <c r="E14" s="664">
        <v>979</v>
      </c>
      <c r="F14" s="664">
        <v>525</v>
      </c>
      <c r="G14" s="664">
        <v>323</v>
      </c>
    </row>
    <row r="15" spans="1:35">
      <c r="D15" s="736"/>
    </row>
    <row r="16" spans="1:35">
      <c r="B16" s="1110" t="s">
        <v>510</v>
      </c>
      <c r="C16" s="1110"/>
      <c r="D16"/>
      <c r="E16"/>
      <c r="F16"/>
      <c r="G16"/>
      <c r="H16"/>
      <c r="I16"/>
    </row>
    <row r="17" spans="1:35">
      <c r="B17" s="1111" t="s">
        <v>511</v>
      </c>
      <c r="C17" s="1112"/>
      <c r="D17" s="737"/>
      <c r="E17" s="737"/>
      <c r="F17" s="737"/>
      <c r="G17" s="737"/>
      <c r="H17" s="737"/>
      <c r="I17" s="738">
        <v>7.0000000000000001E-3</v>
      </c>
    </row>
    <row r="18" spans="1:35">
      <c r="B18" s="1113" t="s">
        <v>512</v>
      </c>
      <c r="C18" s="1114"/>
      <c r="D18" s="739"/>
      <c r="E18" s="739"/>
      <c r="F18" s="739"/>
      <c r="G18" s="739"/>
      <c r="H18" s="739"/>
      <c r="I18" s="740">
        <v>4.3299999999999998E-2</v>
      </c>
    </row>
    <row r="19" spans="1:35">
      <c r="B19" s="1113" t="s">
        <v>513</v>
      </c>
      <c r="C19" s="1114"/>
      <c r="D19" s="739"/>
      <c r="E19" s="739"/>
      <c r="F19" s="739"/>
      <c r="G19" s="739"/>
      <c r="H19" s="739"/>
      <c r="I19" s="740">
        <v>4.1700000000000001E-2</v>
      </c>
    </row>
    <row r="20" spans="1:35">
      <c r="B20" s="1115" t="s">
        <v>514</v>
      </c>
      <c r="C20" s="1114"/>
      <c r="D20" s="739"/>
      <c r="E20" s="739"/>
      <c r="F20" s="739"/>
      <c r="G20" s="739"/>
      <c r="H20" s="739"/>
      <c r="I20" s="740">
        <v>0</v>
      </c>
    </row>
    <row r="21" spans="1:35">
      <c r="B21" s="1108" t="s">
        <v>515</v>
      </c>
      <c r="C21" s="1109"/>
      <c r="D21" s="741"/>
      <c r="E21" s="741"/>
      <c r="F21" s="741"/>
      <c r="G21" s="741"/>
      <c r="H21" s="741"/>
      <c r="I21" s="742">
        <f>I17+I19+I20</f>
        <v>4.87E-2</v>
      </c>
    </row>
    <row r="22" spans="1:35">
      <c r="B22" s="1108" t="s">
        <v>516</v>
      </c>
      <c r="C22" s="1109"/>
      <c r="D22" s="741"/>
      <c r="E22" s="741"/>
      <c r="F22" s="741"/>
      <c r="G22" s="741"/>
      <c r="H22" s="741"/>
      <c r="I22" s="742">
        <f>I20+I18+I17</f>
        <v>5.0299999999999997E-2</v>
      </c>
    </row>
    <row r="23" spans="1:35">
      <c r="B23" s="743"/>
      <c r="C23" s="743"/>
      <c r="D23" s="14"/>
      <c r="E23" s="14"/>
      <c r="F23" s="14"/>
      <c r="G23" s="14"/>
      <c r="H23" s="14"/>
      <c r="I23" s="744"/>
    </row>
    <row r="24" spans="1:35">
      <c r="B24" s="745" t="s">
        <v>54</v>
      </c>
      <c r="C24" s="746" t="s">
        <v>192</v>
      </c>
      <c r="D24" s="1104" t="s">
        <v>517</v>
      </c>
      <c r="E24" s="1104"/>
      <c r="F24" s="1104" t="s">
        <v>518</v>
      </c>
      <c r="G24" s="1104"/>
      <c r="H24" s="14"/>
      <c r="I24" s="744"/>
    </row>
    <row r="25" spans="1:35">
      <c r="B25" s="745" t="str">
        <f>Segments!C5</f>
        <v>United States and Canada (UCAN)</v>
      </c>
      <c r="C25" s="747">
        <f>Segments!B5</f>
        <v>0.44350000000000001</v>
      </c>
      <c r="D25" s="1105">
        <v>0</v>
      </c>
      <c r="E25" s="1106"/>
      <c r="F25" s="1105">
        <v>4.5999999999999999E-2</v>
      </c>
      <c r="G25" s="1106"/>
      <c r="H25" s="14"/>
      <c r="I25" s="744"/>
    </row>
    <row r="26" spans="1:35">
      <c r="B26" s="745" t="str">
        <f>Segments!C6</f>
        <v>Europe, Middle East and Africa (EMEA)</v>
      </c>
      <c r="C26" s="747">
        <f>Segments!B6</f>
        <v>0.313</v>
      </c>
      <c r="D26" s="1107">
        <f>+(0.88+0.72+0)/300</f>
        <v>5.333333333333334E-3</v>
      </c>
      <c r="E26" s="1106"/>
      <c r="F26" s="1107">
        <f>+(5.48+4.6+5.32)/300</f>
        <v>5.1333333333333335E-2</v>
      </c>
      <c r="G26" s="1106"/>
      <c r="H26" s="14"/>
      <c r="I26" s="744"/>
    </row>
    <row r="27" spans="1:35">
      <c r="B27" s="745" t="str">
        <f>Segments!C7</f>
        <v>Latin America (LATAM)</v>
      </c>
      <c r="C27" s="747">
        <f>Segments!B7</f>
        <v>0.1318</v>
      </c>
      <c r="D27" s="1101">
        <f>+(4.4+2.78)/200</f>
        <v>3.5900000000000001E-2</v>
      </c>
      <c r="E27" s="1102"/>
      <c r="F27" s="1103">
        <f>+(9+7.38)/200</f>
        <v>8.1900000000000001E-2</v>
      </c>
      <c r="G27" s="1102"/>
      <c r="H27" s="14"/>
      <c r="I27" s="744"/>
    </row>
    <row r="28" spans="1:35">
      <c r="B28" s="745" t="str">
        <f>Segments!C8</f>
        <v>Asia-Pacific (APAC)</v>
      </c>
      <c r="C28" s="747">
        <f>Segments!B8</f>
        <v>0.1116</v>
      </c>
      <c r="D28" s="1101">
        <f>+(3.21+1.03+0)/300</f>
        <v>1.4133333333333335E-2</v>
      </c>
      <c r="E28" s="1118"/>
      <c r="F28" s="1103">
        <f>+(7.81+5.63+4.6)/300</f>
        <v>6.013333333333333E-2</v>
      </c>
      <c r="G28" s="1102"/>
      <c r="H28" s="14"/>
      <c r="I28" s="744"/>
    </row>
    <row r="29" spans="1:35">
      <c r="B29" s="748" t="s">
        <v>460</v>
      </c>
      <c r="C29" s="749">
        <f>SUM(C25:C27)</f>
        <v>0.88829999999999998</v>
      </c>
      <c r="D29" s="1116">
        <f>D25*C25+C26*D26+C27*D27+C28*D28</f>
        <v>7.9782333333333344E-3</v>
      </c>
      <c r="E29" s="1117"/>
      <c r="F29" s="1116">
        <f>F25*C25+C26*F26+C27*F27+C28*F28</f>
        <v>5.3973633333333333E-2</v>
      </c>
      <c r="G29" s="1116"/>
      <c r="H29" s="14"/>
      <c r="I29" s="744"/>
    </row>
    <row r="30" spans="1:35">
      <c r="B30" s="743"/>
      <c r="C30" s="743"/>
      <c r="D30" s="14"/>
      <c r="E30" s="14"/>
      <c r="F30" s="14"/>
      <c r="G30" s="14"/>
      <c r="H30" s="14"/>
      <c r="I30" s="744"/>
    </row>
    <row r="31" spans="1:35">
      <c r="B31" s="743"/>
      <c r="C31" s="743"/>
      <c r="D31" s="14"/>
      <c r="E31" s="14"/>
      <c r="F31" s="14"/>
      <c r="G31" s="14"/>
      <c r="H31" s="14"/>
      <c r="I31" s="744"/>
    </row>
    <row r="32" spans="1:35" s="663" customFormat="1" ht="15">
      <c r="A32" s="660"/>
      <c r="B32" s="662" t="s">
        <v>519</v>
      </c>
      <c r="C32" s="662"/>
      <c r="D32" s="660"/>
      <c r="E32" s="660"/>
      <c r="F32" s="660"/>
      <c r="G32" s="660"/>
      <c r="H32" s="660"/>
      <c r="I32" s="660"/>
      <c r="J32" s="660"/>
      <c r="K32" s="660"/>
      <c r="L32" s="660"/>
      <c r="M32" s="660"/>
      <c r="N32" s="660"/>
      <c r="O32" s="660"/>
      <c r="P32" s="660"/>
      <c r="Q32" s="660"/>
      <c r="R32" s="660"/>
      <c r="S32" s="660"/>
      <c r="T32" s="660"/>
      <c r="U32" s="660"/>
      <c r="V32" s="660"/>
      <c r="W32" s="660"/>
      <c r="X32" s="660"/>
      <c r="Y32" s="660"/>
      <c r="Z32" s="660"/>
      <c r="AA32" s="660"/>
      <c r="AB32" s="660"/>
      <c r="AC32" s="660"/>
      <c r="AD32" s="660"/>
      <c r="AE32" s="660"/>
      <c r="AF32" s="660"/>
      <c r="AG32" s="660"/>
      <c r="AH32" s="660"/>
      <c r="AI32" s="660"/>
    </row>
    <row r="33" spans="1:36" ht="15">
      <c r="A33" s="685"/>
      <c r="B33" s="686"/>
      <c r="C33" s="686"/>
      <c r="D33" s="685"/>
      <c r="E33" s="685"/>
      <c r="F33" s="685"/>
      <c r="G33" s="685"/>
      <c r="H33" s="685"/>
      <c r="I33" s="685"/>
      <c r="J33" s="685"/>
      <c r="K33" s="685"/>
      <c r="L33" s="685"/>
      <c r="M33" s="685"/>
      <c r="N33" s="685"/>
      <c r="O33" s="685"/>
      <c r="P33" s="685"/>
      <c r="Q33" s="685"/>
      <c r="R33" s="685"/>
      <c r="S33" s="685"/>
      <c r="T33" s="685"/>
      <c r="U33" s="685"/>
      <c r="V33" s="685"/>
      <c r="W33" s="685"/>
      <c r="X33" s="685"/>
      <c r="Y33" s="685"/>
      <c r="Z33" s="685"/>
      <c r="AA33" s="685"/>
      <c r="AB33" s="685"/>
      <c r="AC33" s="685"/>
      <c r="AD33" s="685"/>
      <c r="AE33" s="685"/>
      <c r="AF33" s="685"/>
      <c r="AG33" s="685"/>
      <c r="AH33" s="685"/>
      <c r="AI33" s="685"/>
    </row>
    <row r="34" spans="1:36" ht="15">
      <c r="C34" s="1119" t="s">
        <v>520</v>
      </c>
      <c r="D34" s="1119"/>
      <c r="E34" s="1119"/>
      <c r="F34" s="1119"/>
      <c r="G34" s="1119"/>
    </row>
    <row r="35" spans="1:36" ht="15">
      <c r="B35" s="670"/>
      <c r="C35" s="682">
        <f>C8</f>
        <v>2023</v>
      </c>
      <c r="D35" s="682">
        <f>D8</f>
        <v>2022</v>
      </c>
      <c r="E35" s="682">
        <f>E8</f>
        <v>2021</v>
      </c>
      <c r="F35" s="682">
        <f>F8</f>
        <v>2020</v>
      </c>
      <c r="G35" s="682">
        <f>G8</f>
        <v>2019</v>
      </c>
      <c r="H35" s="671"/>
      <c r="I35" s="690" t="s">
        <v>521</v>
      </c>
      <c r="K35" s="683" t="s">
        <v>504</v>
      </c>
      <c r="L35" s="683" t="s">
        <v>505</v>
      </c>
      <c r="N35" s="664" t="s">
        <v>522</v>
      </c>
    </row>
    <row r="36" spans="1:36">
      <c r="B36" s="687" t="s">
        <v>463</v>
      </c>
      <c r="C36" s="672">
        <f>DCF!F9/(DCF!F40)</f>
        <v>-8.0714447207777526E-2</v>
      </c>
      <c r="D36" s="672">
        <f>DCF!E9/(DCF!E40)</f>
        <v>-7.6958209636903405E-2</v>
      </c>
      <c r="E36" s="672">
        <f>DCF!D9/(DCF!D40)</f>
        <v>-4.7423620611035111E-2</v>
      </c>
      <c r="F36" s="762">
        <v>-0.120833333333333</v>
      </c>
      <c r="G36" s="672">
        <v>-0.18407079646017699</v>
      </c>
      <c r="I36" s="673">
        <f t="shared" ref="I36:I50" si="1">AVERAGE(C36:G36)</f>
        <v>-0.10200008144984521</v>
      </c>
      <c r="K36" s="684">
        <f>I36</f>
        <v>-0.10200008144984521</v>
      </c>
      <c r="L36" s="684">
        <v>-0.06</v>
      </c>
      <c r="N36" s="664" t="s">
        <v>464</v>
      </c>
      <c r="AJ36" s="674"/>
    </row>
    <row r="37" spans="1:36">
      <c r="B37" s="687" t="s">
        <v>465</v>
      </c>
      <c r="C37" s="672">
        <f>DCF!E10/(DCF!E38)</f>
        <v>-0.4284448788832208</v>
      </c>
      <c r="D37" s="672">
        <f>DCF!E10/(DCF!E38)</f>
        <v>-0.4284448788832208</v>
      </c>
      <c r="E37" s="672">
        <f>DCF!D10/(DCF!D38)</f>
        <v>-0.39553686934023286</v>
      </c>
      <c r="F37" s="672">
        <v>-0.42574062401512802</v>
      </c>
      <c r="G37" s="672">
        <v>-0.376086512956539</v>
      </c>
      <c r="I37" s="673">
        <f t="shared" si="1"/>
        <v>-0.4108507528156683</v>
      </c>
      <c r="K37" s="684">
        <f>I37</f>
        <v>-0.4108507528156683</v>
      </c>
      <c r="L37" s="684">
        <v>-0.3</v>
      </c>
      <c r="N37" s="664" t="s">
        <v>466</v>
      </c>
    </row>
    <row r="38" spans="1:36">
      <c r="B38" s="687" t="s">
        <v>467</v>
      </c>
      <c r="C38" s="672">
        <f>DCF!F11/DCF!F6</f>
        <v>-1.0052486433591317E-2</v>
      </c>
      <c r="D38" s="672">
        <f>DCF!E11/DCF!E6</f>
        <v>-1.8186993927125507E-2</v>
      </c>
      <c r="E38" s="672">
        <f>DCF!D11/DCF!D6</f>
        <v>-1.3569937369519834E-2</v>
      </c>
      <c r="F38" s="672">
        <v>-1.6602656425028007E-4</v>
      </c>
      <c r="G38" s="672">
        <v>-2.0093272474697361E-4</v>
      </c>
      <c r="I38" s="673">
        <f t="shared" si="1"/>
        <v>-8.4352754038467814E-3</v>
      </c>
      <c r="K38" s="684">
        <f>I38</f>
        <v>-8.4352754038467814E-3</v>
      </c>
      <c r="L38" s="684">
        <f>K38</f>
        <v>-8.4352754038467814E-3</v>
      </c>
      <c r="N38" s="664" t="s">
        <v>468</v>
      </c>
    </row>
    <row r="39" spans="1:36" ht="12.6" customHeight="1">
      <c r="B39" s="687" t="s">
        <v>469</v>
      </c>
      <c r="C39" s="672">
        <f>C12</f>
        <v>0.12844480257856566</v>
      </c>
      <c r="D39" s="672">
        <f>D12</f>
        <v>0.21675531914893617</v>
      </c>
      <c r="E39" s="672">
        <f>E12</f>
        <v>0.16763698630136986</v>
      </c>
      <c r="F39" s="672">
        <f>F12</f>
        <v>0.16411378555798686</v>
      </c>
      <c r="G39" s="672">
        <f>G12</f>
        <v>0.15664403491755577</v>
      </c>
      <c r="I39" s="673">
        <f t="shared" si="1"/>
        <v>0.16671898570088284</v>
      </c>
      <c r="K39" s="684">
        <f>I39</f>
        <v>0.16671898570088284</v>
      </c>
      <c r="L39" s="684">
        <v>0.18</v>
      </c>
      <c r="N39" s="664" t="s">
        <v>470</v>
      </c>
    </row>
    <row r="40" spans="1:36">
      <c r="B40" s="687" t="s">
        <v>471</v>
      </c>
      <c r="C40" s="675">
        <f>'Fin. Data'!B14/'Fin. Data'!B58</f>
        <v>-4.5196717354573979E-2</v>
      </c>
      <c r="D40" s="675">
        <f>'Fin. Data'!C14/'Fin. Data'!C58</f>
        <v>-2.179305457122608E-2</v>
      </c>
      <c r="E40" s="675">
        <f>'Fin. Data'!D14/'Fin. Data'!D58</f>
        <v>-2.0326136885622417E-2</v>
      </c>
      <c r="F40" s="675">
        <f>'Fin. Data'!E14/'Fin. Data'!E58</f>
        <v>-7.6952973183054801E-2</v>
      </c>
      <c r="G40" s="675">
        <f>'Fin. Data'!F14/'Fin. Data'!F58</f>
        <v>-3.3103279789898001E-2</v>
      </c>
      <c r="I40" s="673">
        <f t="shared" si="1"/>
        <v>-3.9474432356875047E-2</v>
      </c>
      <c r="K40" s="684">
        <f>I21</f>
        <v>4.87E-2</v>
      </c>
      <c r="L40" s="684">
        <f>I22</f>
        <v>5.0299999999999997E-2</v>
      </c>
      <c r="N40" s="664" t="s">
        <v>472</v>
      </c>
    </row>
    <row r="41" spans="1:36">
      <c r="B41" s="687" t="s">
        <v>473</v>
      </c>
      <c r="C41" s="675"/>
      <c r="D41" s="675"/>
      <c r="E41" s="675"/>
      <c r="F41" s="675"/>
      <c r="G41" s="675"/>
      <c r="I41" s="673" t="e">
        <f>AVERAGE(C41:G41)</f>
        <v>#DIV/0!</v>
      </c>
      <c r="K41" s="684">
        <f>I19</f>
        <v>4.1700000000000001E-2</v>
      </c>
      <c r="L41" s="684">
        <f>I18</f>
        <v>4.3299999999999998E-2</v>
      </c>
      <c r="N41" s="664" t="s">
        <v>474</v>
      </c>
    </row>
    <row r="42" spans="1:36">
      <c r="B42" s="687" t="s">
        <v>523</v>
      </c>
      <c r="C42" s="803">
        <f>C89</f>
        <v>-0.35917919520801828</v>
      </c>
      <c r="D42" s="803">
        <f>D89</f>
        <v>-0.50303011133603237</v>
      </c>
      <c r="E42" s="803">
        <f>E89</f>
        <v>-0.5764697959458549</v>
      </c>
      <c r="F42" s="803">
        <f>F89</f>
        <v>-0.45187630020803332</v>
      </c>
      <c r="G42" s="803">
        <f>G89</f>
        <v>-0.69570847390355228</v>
      </c>
      <c r="I42" s="673">
        <f t="shared" si="1"/>
        <v>-0.51725277532029823</v>
      </c>
      <c r="K42" s="684">
        <f t="shared" ref="K42:K50" si="2">I42</f>
        <v>-0.51725277532029823</v>
      </c>
      <c r="L42" s="684">
        <f>C88</f>
        <v>-0.60608547632625387</v>
      </c>
      <c r="N42" s="664" t="s">
        <v>524</v>
      </c>
    </row>
    <row r="43" spans="1:36">
      <c r="B43" s="687" t="s">
        <v>477</v>
      </c>
      <c r="C43" s="672">
        <f>+Inputs!B62/(Inputs!B6-Inputs!C6)</f>
        <v>-5.5102040816326525E-2</v>
      </c>
      <c r="D43" s="672">
        <f>+Inputs!C62/(Inputs!C6-Inputs!D6)</f>
        <v>-0.39525547445255477</v>
      </c>
      <c r="E43" s="672">
        <f>+Inputs!D62/(Inputs!D6-Inputs!E6)</f>
        <v>-5.146746065504041E-2</v>
      </c>
      <c r="F43" s="672">
        <f>+Inputs!E62/(Inputs!E6-Inputs!F6)</f>
        <v>-6.5909090909090908E-3</v>
      </c>
      <c r="G43" s="672">
        <f>+Inputs!F62/(Inputs!F6-Inputs!G6)</f>
        <v>9.8578633654287026E-3</v>
      </c>
      <c r="I43" s="673">
        <f t="shared" si="1"/>
        <v>-9.9711604329880424E-2</v>
      </c>
      <c r="K43" s="684">
        <f t="shared" si="2"/>
        <v>-9.9711604329880424E-2</v>
      </c>
      <c r="L43" s="684">
        <f t="shared" ref="L43:L50" si="3">K43</f>
        <v>-9.9711604329880424E-2</v>
      </c>
      <c r="N43" s="664" t="s">
        <v>478</v>
      </c>
    </row>
    <row r="44" spans="1:36">
      <c r="B44" s="687" t="s">
        <v>479</v>
      </c>
      <c r="C44" s="672"/>
      <c r="D44" s="672"/>
      <c r="E44" s="672"/>
      <c r="F44" s="672"/>
      <c r="G44" s="672"/>
      <c r="I44" s="673" t="e">
        <f t="shared" si="1"/>
        <v>#DIV/0!</v>
      </c>
      <c r="K44" s="684">
        <f>0.9/4</f>
        <v>0.22500000000000001</v>
      </c>
      <c r="L44" s="684">
        <f>K44</f>
        <v>0.22500000000000001</v>
      </c>
      <c r="N44" s="664" t="s">
        <v>480</v>
      </c>
    </row>
    <row r="45" spans="1:36" ht="12.6" customHeight="1">
      <c r="B45" s="687" t="s">
        <v>525</v>
      </c>
      <c r="C45" s="672">
        <f>+'Fin. Data'!B32/'Fin. Data'!B5</f>
        <v>-1.0337158615781515E-2</v>
      </c>
      <c r="D45" s="672">
        <f>+'Fin. Data'!C32/'Fin. Data'!C5</f>
        <v>-1.289536943319838E-2</v>
      </c>
      <c r="E45" s="672">
        <f>+'Fin. Data'!D32/'Fin. Data'!D5</f>
        <v>-1.7664489191191325E-2</v>
      </c>
      <c r="F45" s="672">
        <f>+'Fin. Data'!E32/'Fin. Data'!E5</f>
        <v>-1.9919187069931187E-2</v>
      </c>
      <c r="G45" s="672">
        <f>+'Fin. Data'!F32/'Fin. Data'!F5</f>
        <v>-1.2552093669378844E-2</v>
      </c>
      <c r="I45" s="673">
        <f t="shared" si="1"/>
        <v>-1.4673659595896251E-2</v>
      </c>
      <c r="K45" s="684">
        <f t="shared" si="2"/>
        <v>-1.4673659595896251E-2</v>
      </c>
      <c r="L45" s="684">
        <f>K45/2</f>
        <v>-7.3368297979481256E-3</v>
      </c>
      <c r="N45" s="664" t="s">
        <v>482</v>
      </c>
    </row>
    <row r="46" spans="1:36">
      <c r="B46" s="687" t="s">
        <v>483</v>
      </c>
      <c r="C46" s="672">
        <f>+'Fin. Data'!B33/'Fin. Data'!B5</f>
        <v>-1.4971977582065652E-2</v>
      </c>
      <c r="D46" s="672">
        <f>+'Fin. Data'!C33/'Fin. Data'!C5</f>
        <v>-5.2780237854251004E-2</v>
      </c>
      <c r="E46" s="672">
        <f>+'Fin. Data'!D33/'Fin. Data'!D5</f>
        <v>-2.6543875008418073E-2</v>
      </c>
      <c r="F46" s="672">
        <f>+'Fin. Data'!E33/'Fin. Data'!E5</f>
        <v>0</v>
      </c>
      <c r="G46" s="672">
        <f>+'Fin. Data'!F33/'Fin. Data'!F5</f>
        <v>0</v>
      </c>
      <c r="I46" s="673">
        <f t="shared" si="1"/>
        <v>-1.8859218088946944E-2</v>
      </c>
      <c r="K46" s="684">
        <f t="shared" si="2"/>
        <v>-1.8859218088946944E-2</v>
      </c>
      <c r="L46" s="684">
        <f>K46/2</f>
        <v>-9.429609044473472E-3</v>
      </c>
      <c r="N46" s="664" t="s">
        <v>482</v>
      </c>
    </row>
    <row r="47" spans="1:36">
      <c r="B47" s="687" t="s">
        <v>153</v>
      </c>
      <c r="C47" s="672">
        <v>0</v>
      </c>
      <c r="D47" s="672">
        <v>0</v>
      </c>
      <c r="E47" s="672">
        <v>0</v>
      </c>
      <c r="F47" s="672">
        <v>0</v>
      </c>
      <c r="G47" s="672">
        <v>0</v>
      </c>
      <c r="I47" s="673">
        <f t="shared" si="1"/>
        <v>0</v>
      </c>
      <c r="K47" s="684">
        <f t="shared" si="2"/>
        <v>0</v>
      </c>
      <c r="L47" s="684">
        <f t="shared" si="3"/>
        <v>0</v>
      </c>
      <c r="N47" s="664" t="s">
        <v>484</v>
      </c>
    </row>
    <row r="48" spans="1:36">
      <c r="B48" s="687" t="s">
        <v>485</v>
      </c>
      <c r="C48" s="672">
        <f>+'Fin. Data'!B28/'Fin. Data'!B23</f>
        <v>-1.1178439349112426</v>
      </c>
      <c r="D48" s="672">
        <f>+'Fin. Data'!C28/'Fin. Data'!C23</f>
        <v>0</v>
      </c>
      <c r="E48" s="672">
        <f>+'Fin. Data'!D28/'Fin. Data'!D23</f>
        <v>-0.11727912431587177</v>
      </c>
      <c r="F48" s="672">
        <f>+'Fin. Data'!E28/'Fin. Data'!E23</f>
        <v>0</v>
      </c>
      <c r="G48" s="672">
        <f>+'Fin. Data'!F28/'Fin. Data'!F23</f>
        <v>0</v>
      </c>
      <c r="I48" s="673">
        <f t="shared" si="1"/>
        <v>-0.24702461184542285</v>
      </c>
      <c r="K48" s="684">
        <v>-0.2</v>
      </c>
      <c r="L48" s="684">
        <f>I48</f>
        <v>-0.24702461184542285</v>
      </c>
      <c r="N48" s="664" t="s">
        <v>484</v>
      </c>
    </row>
    <row r="49" spans="2:28">
      <c r="B49" s="687" t="s">
        <v>486</v>
      </c>
      <c r="C49" s="672">
        <v>0</v>
      </c>
      <c r="D49" s="672">
        <v>0</v>
      </c>
      <c r="E49" s="672">
        <v>0</v>
      </c>
      <c r="F49" s="672">
        <v>0</v>
      </c>
      <c r="G49" s="672">
        <v>0</v>
      </c>
      <c r="I49" s="673">
        <f t="shared" si="1"/>
        <v>0</v>
      </c>
      <c r="K49" s="684">
        <f t="shared" si="2"/>
        <v>0</v>
      </c>
      <c r="L49" s="684">
        <f t="shared" si="3"/>
        <v>0</v>
      </c>
      <c r="N49" s="664" t="s">
        <v>482</v>
      </c>
    </row>
    <row r="50" spans="2:28">
      <c r="B50" s="687" t="s">
        <v>487</v>
      </c>
      <c r="I50" s="673" t="e">
        <f t="shared" si="1"/>
        <v>#DIV/0!</v>
      </c>
      <c r="K50" s="684" t="e">
        <f t="shared" si="2"/>
        <v>#DIV/0!</v>
      </c>
      <c r="L50" s="684" t="e">
        <f t="shared" si="3"/>
        <v>#DIV/0!</v>
      </c>
      <c r="N50" s="664" t="s">
        <v>482</v>
      </c>
    </row>
    <row r="51" spans="2:28">
      <c r="B51" s="687" t="s">
        <v>298</v>
      </c>
      <c r="C51" s="664">
        <f>'Fin. Data'!B58/'Fin. Data'!B19</f>
        <v>0.77049325144246639</v>
      </c>
      <c r="D51" s="664">
        <f>'Fin. Data'!C58/'Fin. Data'!C19</f>
        <v>0.86269794362810026</v>
      </c>
      <c r="E51" s="664">
        <f>'Fin. Data'!D58/'Fin. Data'!D19</f>
        <v>0.94756199741020042</v>
      </c>
      <c r="F51" s="664">
        <f>'Fin. Data'!E58/'Fin. Data'!E19</f>
        <v>1.1679830875582013</v>
      </c>
      <c r="G51" s="664">
        <f>'Fin. Data'!F58/'Fin. Data'!F19</f>
        <v>1.38803641974262</v>
      </c>
      <c r="I51" s="664">
        <f>AVERAGE(C51:G51)</f>
        <v>1.0273545399563175</v>
      </c>
      <c r="K51" s="760">
        <v>0.5</v>
      </c>
      <c r="L51" s="760">
        <v>0.5</v>
      </c>
      <c r="N51" s="664" t="s">
        <v>488</v>
      </c>
    </row>
    <row r="54" spans="2:28" s="663" customFormat="1" ht="15">
      <c r="B54" s="676" t="s">
        <v>526</v>
      </c>
    </row>
    <row r="57" spans="2:28">
      <c r="B57" s="794" t="s">
        <v>527</v>
      </c>
      <c r="C57" s="794"/>
      <c r="D57" s="794"/>
      <c r="E57" s="794" t="s">
        <v>528</v>
      </c>
      <c r="F57" s="794"/>
      <c r="G57" s="794" t="s">
        <v>529</v>
      </c>
      <c r="H57" s="794"/>
      <c r="I57" s="794" t="s">
        <v>530</v>
      </c>
      <c r="J57" s="794"/>
    </row>
    <row r="58" spans="2:28">
      <c r="B58" s="666" t="s">
        <v>531</v>
      </c>
      <c r="C58" s="733">
        <v>2</v>
      </c>
      <c r="E58" s="763">
        <v>0.8</v>
      </c>
      <c r="F58" s="731"/>
      <c r="G58" s="763">
        <v>1</v>
      </c>
      <c r="H58" s="731"/>
      <c r="I58" s="763">
        <v>1.2</v>
      </c>
    </row>
    <row r="59" spans="2:28">
      <c r="B59" s="666" t="s">
        <v>143</v>
      </c>
      <c r="C59" s="733">
        <v>2</v>
      </c>
      <c r="E59" s="763">
        <v>0.9</v>
      </c>
      <c r="G59" s="763">
        <v>1</v>
      </c>
      <c r="I59" s="778">
        <v>1.1000000000000001</v>
      </c>
    </row>
    <row r="63" spans="2:28" ht="12.6" customHeight="1"/>
    <row r="64" spans="2:28" ht="13.5" customHeight="1">
      <c r="B64" s="772"/>
      <c r="C64" s="793">
        <v>2024</v>
      </c>
      <c r="D64" s="793">
        <f>+C64+1</f>
        <v>2025</v>
      </c>
      <c r="E64" s="793">
        <f t="shared" ref="E64:AB64" si="4">+D64+1</f>
        <v>2026</v>
      </c>
      <c r="F64" s="793">
        <f t="shared" si="4"/>
        <v>2027</v>
      </c>
      <c r="G64" s="793">
        <f t="shared" si="4"/>
        <v>2028</v>
      </c>
      <c r="H64" s="793">
        <f>+G64+1</f>
        <v>2029</v>
      </c>
      <c r="I64" s="793">
        <f t="shared" si="4"/>
        <v>2030</v>
      </c>
      <c r="J64" s="793">
        <f t="shared" si="4"/>
        <v>2031</v>
      </c>
      <c r="K64" s="793">
        <f t="shared" si="4"/>
        <v>2032</v>
      </c>
      <c r="L64" s="793">
        <f t="shared" si="4"/>
        <v>2033</v>
      </c>
      <c r="M64" s="793">
        <f t="shared" si="4"/>
        <v>2034</v>
      </c>
      <c r="N64" s="793">
        <f t="shared" si="4"/>
        <v>2035</v>
      </c>
      <c r="O64" s="793">
        <f t="shared" si="4"/>
        <v>2036</v>
      </c>
      <c r="P64" s="793">
        <f t="shared" si="4"/>
        <v>2037</v>
      </c>
      <c r="Q64" s="793">
        <f t="shared" si="4"/>
        <v>2038</v>
      </c>
      <c r="R64" s="793">
        <f t="shared" si="4"/>
        <v>2039</v>
      </c>
      <c r="S64" s="793">
        <f t="shared" si="4"/>
        <v>2040</v>
      </c>
      <c r="T64" s="793">
        <f t="shared" si="4"/>
        <v>2041</v>
      </c>
      <c r="U64" s="793">
        <f t="shared" si="4"/>
        <v>2042</v>
      </c>
      <c r="V64" s="793">
        <f t="shared" si="4"/>
        <v>2043</v>
      </c>
      <c r="W64" s="793">
        <f t="shared" si="4"/>
        <v>2044</v>
      </c>
      <c r="X64" s="793">
        <f t="shared" si="4"/>
        <v>2045</v>
      </c>
      <c r="Y64" s="793">
        <f t="shared" si="4"/>
        <v>2046</v>
      </c>
      <c r="Z64" s="793">
        <f t="shared" si="4"/>
        <v>2047</v>
      </c>
      <c r="AA64" s="793">
        <f t="shared" si="4"/>
        <v>2048</v>
      </c>
      <c r="AB64" s="793">
        <f t="shared" si="4"/>
        <v>2049</v>
      </c>
    </row>
    <row r="65" spans="1:36" ht="12.6" customHeight="1">
      <c r="B65" s="768"/>
    </row>
    <row r="66" spans="1:36" ht="12.6" customHeight="1">
      <c r="B66" s="769" t="s">
        <v>142</v>
      </c>
      <c r="C66" s="664">
        <f ca="1">+DCF!F6*(1+Assumptions!C67)</f>
        <v>38223.56</v>
      </c>
      <c r="D66" s="765">
        <f ca="1">+C66*(1+D67)</f>
        <v>43527.665797201902</v>
      </c>
      <c r="E66" s="765">
        <f t="shared" ref="E66:G66" ca="1" si="5">+D66*(1+E67)</f>
        <v>49798.871362057085</v>
      </c>
      <c r="F66" s="765">
        <f t="shared" ca="1" si="5"/>
        <v>57237.960053377021</v>
      </c>
      <c r="G66" s="765">
        <f t="shared" ca="1" si="5"/>
        <v>66092.176693065339</v>
      </c>
      <c r="H66" s="765">
        <f ca="1">+G66*(1+H67)</f>
        <v>76666.924963955782</v>
      </c>
      <c r="I66" s="765">
        <f t="shared" ref="I66:M66" ca="1" si="6">+H66*(1+I67)</f>
        <v>87193.957830800326</v>
      </c>
      <c r="J66" s="765">
        <f t="shared" ca="1" si="6"/>
        <v>97187.895901728858</v>
      </c>
      <c r="K66" s="765">
        <f t="shared" ca="1" si="6"/>
        <v>106121.98898518163</v>
      </c>
      <c r="L66" s="765">
        <f t="shared" ca="1" si="6"/>
        <v>113469.30742905087</v>
      </c>
      <c r="M66" s="765">
        <f t="shared" ca="1" si="6"/>
        <v>115738.69357763189</v>
      </c>
      <c r="N66" s="765">
        <f t="shared" ref="N66" ca="1" si="7">+M66*(1+N67)</f>
        <v>118053.46744918452</v>
      </c>
      <c r="O66" s="765">
        <f t="shared" ref="O66" ca="1" si="8">+N66*(1+O67)</f>
        <v>120414.53679816822</v>
      </c>
      <c r="P66" s="765">
        <f t="shared" ref="P66" ca="1" si="9">+O66*(1+P67)</f>
        <v>122822.82753413159</v>
      </c>
      <c r="Q66" s="765">
        <f t="shared" ref="Q66" ca="1" si="10">+P66*(1+Q67)</f>
        <v>125279.28408481422</v>
      </c>
      <c r="R66" s="765">
        <f t="shared" ref="R66" ca="1" si="11">+Q66*(1+R67)</f>
        <v>127784.86976651051</v>
      </c>
      <c r="S66" s="765">
        <f t="shared" ref="S66" ca="1" si="12">+R66*(1+S67)</f>
        <v>130340.56716184072</v>
      </c>
      <c r="T66" s="765">
        <f t="shared" ref="T66" ca="1" si="13">+S66*(1+T67)</f>
        <v>132947.37850507753</v>
      </c>
      <c r="U66" s="765">
        <f t="shared" ref="U66" ca="1" si="14">+T66*(1+U67)</f>
        <v>135606.32607517909</v>
      </c>
      <c r="V66" s="765">
        <f ca="1">+U66*(1+V67)</f>
        <v>138318.45259668268</v>
      </c>
      <c r="W66" s="765">
        <f t="shared" ref="W66" ca="1" si="15">+V66*(1+W67)</f>
        <v>141084.82164861634</v>
      </c>
      <c r="X66" s="765">
        <f t="shared" ref="X66" ca="1" si="16">+W66*(1+X67)</f>
        <v>143906.51808158867</v>
      </c>
      <c r="Y66" s="765">
        <f t="shared" ref="Y66" ca="1" si="17">+X66*(1+Y67)</f>
        <v>146784.64844322045</v>
      </c>
      <c r="Z66" s="765">
        <f t="shared" ref="Z66" ca="1" si="18">+Y66*(1+Z67)</f>
        <v>149720.34141208485</v>
      </c>
      <c r="AA66" s="765">
        <f t="shared" ref="AA66" ca="1" si="19">+Z66*(1+AA67)</f>
        <v>152714.74824032656</v>
      </c>
      <c r="AB66" s="765">
        <f t="shared" ref="AB66" ca="1" si="20">+AA66*(1+AB67)</f>
        <v>155769.04320513309</v>
      </c>
    </row>
    <row r="67" spans="1:36">
      <c r="B67" s="770" t="s">
        <v>532</v>
      </c>
      <c r="C67" s="784">
        <f ca="1">OFFSET(C$67,Assumptions!$C$58,0)</f>
        <v>0.13345669127894902</v>
      </c>
      <c r="D67" s="784">
        <f>D69</f>
        <v>0.1387653530231592</v>
      </c>
      <c r="E67" s="784">
        <f t="shared" ref="E67:AB67" si="21">E69</f>
        <v>0.14407401476736939</v>
      </c>
      <c r="F67" s="784">
        <f t="shared" si="21"/>
        <v>0.14938267651157958</v>
      </c>
      <c r="G67" s="784">
        <f t="shared" si="21"/>
        <v>0.15469133825578976</v>
      </c>
      <c r="H67" s="784">
        <f t="shared" si="21"/>
        <v>0.16</v>
      </c>
      <c r="I67" s="784">
        <f t="shared" si="21"/>
        <v>0.13730866174421019</v>
      </c>
      <c r="J67" s="784">
        <f t="shared" si="21"/>
        <v>0.11461732348842038</v>
      </c>
      <c r="K67" s="784">
        <f t="shared" si="21"/>
        <v>9.1925985232630569E-2</v>
      </c>
      <c r="L67" s="784">
        <f t="shared" si="21"/>
        <v>6.9234646976840758E-2</v>
      </c>
      <c r="M67" s="784">
        <f t="shared" si="21"/>
        <v>0.02</v>
      </c>
      <c r="N67" s="784">
        <f t="shared" si="21"/>
        <v>0.02</v>
      </c>
      <c r="O67" s="784">
        <f t="shared" si="21"/>
        <v>0.02</v>
      </c>
      <c r="P67" s="784">
        <f t="shared" si="21"/>
        <v>0.02</v>
      </c>
      <c r="Q67" s="784">
        <f t="shared" si="21"/>
        <v>0.02</v>
      </c>
      <c r="R67" s="784">
        <f t="shared" si="21"/>
        <v>0.02</v>
      </c>
      <c r="S67" s="784">
        <f t="shared" si="21"/>
        <v>0.02</v>
      </c>
      <c r="T67" s="784">
        <f t="shared" si="21"/>
        <v>0.02</v>
      </c>
      <c r="U67" s="784">
        <f t="shared" si="21"/>
        <v>0.02</v>
      </c>
      <c r="V67" s="784">
        <f t="shared" si="21"/>
        <v>0.02</v>
      </c>
      <c r="W67" s="784">
        <f t="shared" si="21"/>
        <v>0.02</v>
      </c>
      <c r="X67" s="784">
        <f t="shared" si="21"/>
        <v>0.02</v>
      </c>
      <c r="Y67" s="784">
        <f t="shared" si="21"/>
        <v>0.02</v>
      </c>
      <c r="Z67" s="784">
        <f t="shared" si="21"/>
        <v>0.02</v>
      </c>
      <c r="AA67" s="784">
        <f t="shared" si="21"/>
        <v>0.02</v>
      </c>
      <c r="AB67" s="784">
        <f t="shared" si="21"/>
        <v>0.02</v>
      </c>
    </row>
    <row r="68" spans="1:36">
      <c r="B68" s="783" t="s">
        <v>533</v>
      </c>
      <c r="C68" s="781">
        <f>+C69*0.8</f>
        <v>0.10676535302315922</v>
      </c>
      <c r="D68" s="780">
        <f t="shared" ref="D68:L68" si="22">+C68+($M68-$C68)/($M$64-$C$64)</f>
        <v>9.7088817720843296E-2</v>
      </c>
      <c r="E68" s="780">
        <f t="shared" si="22"/>
        <v>8.7412282418527373E-2</v>
      </c>
      <c r="F68" s="780">
        <f t="shared" si="22"/>
        <v>7.7735747116211451E-2</v>
      </c>
      <c r="G68" s="780">
        <f t="shared" si="22"/>
        <v>6.8059211813895529E-2</v>
      </c>
      <c r="H68" s="780">
        <f t="shared" si="22"/>
        <v>5.8382676511579606E-2</v>
      </c>
      <c r="I68" s="780">
        <f t="shared" si="22"/>
        <v>4.8706141209263684E-2</v>
      </c>
      <c r="J68" s="780">
        <f t="shared" si="22"/>
        <v>3.9029605906947762E-2</v>
      </c>
      <c r="K68" s="780">
        <f t="shared" si="22"/>
        <v>2.935307060463184E-2</v>
      </c>
      <c r="L68" s="780">
        <f t="shared" si="22"/>
        <v>1.9676535302315917E-2</v>
      </c>
      <c r="M68" s="789">
        <v>0.01</v>
      </c>
      <c r="N68" s="782">
        <f t="shared" ref="N68:AB68" si="23">M68</f>
        <v>0.01</v>
      </c>
      <c r="O68" s="782">
        <f t="shared" si="23"/>
        <v>0.01</v>
      </c>
      <c r="P68" s="782">
        <f t="shared" si="23"/>
        <v>0.01</v>
      </c>
      <c r="Q68" s="782">
        <f t="shared" si="23"/>
        <v>0.01</v>
      </c>
      <c r="R68" s="782">
        <f t="shared" si="23"/>
        <v>0.01</v>
      </c>
      <c r="S68" s="782">
        <f t="shared" si="23"/>
        <v>0.01</v>
      </c>
      <c r="T68" s="782">
        <f t="shared" si="23"/>
        <v>0.01</v>
      </c>
      <c r="U68" s="782">
        <f t="shared" si="23"/>
        <v>0.01</v>
      </c>
      <c r="V68" s="782">
        <f t="shared" si="23"/>
        <v>0.01</v>
      </c>
      <c r="W68" s="782">
        <f t="shared" si="23"/>
        <v>0.01</v>
      </c>
      <c r="X68" s="782">
        <f t="shared" si="23"/>
        <v>0.01</v>
      </c>
      <c r="Y68" s="782">
        <f t="shared" si="23"/>
        <v>0.01</v>
      </c>
      <c r="Z68" s="782">
        <f t="shared" si="23"/>
        <v>0.01</v>
      </c>
      <c r="AA68" s="782">
        <f t="shared" si="23"/>
        <v>0.01</v>
      </c>
      <c r="AB68" s="782">
        <f t="shared" si="23"/>
        <v>0.01</v>
      </c>
    </row>
    <row r="69" spans="1:36">
      <c r="B69" s="771" t="s">
        <v>534</v>
      </c>
      <c r="C69" s="767">
        <f>C74</f>
        <v>0.13345669127894902</v>
      </c>
      <c r="D69" s="763">
        <f>+C69+($H69-$C69)/($H$64-$C$64)</f>
        <v>0.1387653530231592</v>
      </c>
      <c r="E69" s="763">
        <f t="shared" ref="E69:G69" si="24">+D69+($H69-$C69)/($H$64-$C$64)</f>
        <v>0.14407401476736939</v>
      </c>
      <c r="F69" s="763">
        <f t="shared" si="24"/>
        <v>0.14938267651157958</v>
      </c>
      <c r="G69" s="763">
        <f t="shared" si="24"/>
        <v>0.15469133825578976</v>
      </c>
      <c r="H69" s="763">
        <v>0.16</v>
      </c>
      <c r="I69" s="763">
        <f>+H69+($M$69-$C$69)/($M$64-$H$64)</f>
        <v>0.13730866174421019</v>
      </c>
      <c r="J69" s="763">
        <f t="shared" ref="J69:L69" si="25">+I69+($M$69-$C$69)/($M$64-$H$64)</f>
        <v>0.11461732348842038</v>
      </c>
      <c r="K69" s="763">
        <f t="shared" si="25"/>
        <v>9.1925985232630569E-2</v>
      </c>
      <c r="L69" s="763">
        <f t="shared" si="25"/>
        <v>6.9234646976840758E-2</v>
      </c>
      <c r="M69" s="790">
        <v>0.02</v>
      </c>
      <c r="N69" s="778">
        <f t="shared" ref="N69:AB69" si="26">M69</f>
        <v>0.02</v>
      </c>
      <c r="O69" s="779">
        <f t="shared" si="26"/>
        <v>0.02</v>
      </c>
      <c r="P69" s="779">
        <f t="shared" si="26"/>
        <v>0.02</v>
      </c>
      <c r="Q69" s="779">
        <f t="shared" si="26"/>
        <v>0.02</v>
      </c>
      <c r="R69" s="779">
        <f t="shared" si="26"/>
        <v>0.02</v>
      </c>
      <c r="S69" s="779">
        <f t="shared" si="26"/>
        <v>0.02</v>
      </c>
      <c r="T69" s="779">
        <f t="shared" si="26"/>
        <v>0.02</v>
      </c>
      <c r="U69" s="779">
        <f t="shared" si="26"/>
        <v>0.02</v>
      </c>
      <c r="V69" s="779">
        <f t="shared" si="26"/>
        <v>0.02</v>
      </c>
      <c r="W69" s="779">
        <f t="shared" si="26"/>
        <v>0.02</v>
      </c>
      <c r="X69" s="779">
        <f t="shared" si="26"/>
        <v>0.02</v>
      </c>
      <c r="Y69" s="779">
        <f t="shared" si="26"/>
        <v>0.02</v>
      </c>
      <c r="Z69" s="779">
        <f t="shared" si="26"/>
        <v>0.02</v>
      </c>
      <c r="AA69" s="779">
        <f t="shared" si="26"/>
        <v>0.02</v>
      </c>
      <c r="AB69" s="779">
        <f t="shared" si="26"/>
        <v>0.02</v>
      </c>
    </row>
    <row r="70" spans="1:36">
      <c r="B70" s="783" t="s">
        <v>535</v>
      </c>
      <c r="C70" s="782">
        <f>+C69*1.2</f>
        <v>0.16014802953473881</v>
      </c>
      <c r="D70" s="780">
        <f>+C70+($M70-$C70)/($M$64-$C$64)</f>
        <v>0.14713322658126493</v>
      </c>
      <c r="E70" s="780">
        <f t="shared" ref="E70:L70" si="27">+D70+($M70-$C70)/($M$64-$C$64)</f>
        <v>0.13411842362779106</v>
      </c>
      <c r="F70" s="780">
        <f t="shared" si="27"/>
        <v>0.12110362067431718</v>
      </c>
      <c r="G70" s="780">
        <f t="shared" si="27"/>
        <v>0.10808881772084331</v>
      </c>
      <c r="H70" s="780">
        <f t="shared" si="27"/>
        <v>9.507401476736943E-2</v>
      </c>
      <c r="I70" s="780">
        <f t="shared" si="27"/>
        <v>8.2059211813895555E-2</v>
      </c>
      <c r="J70" s="780">
        <f t="shared" si="27"/>
        <v>6.904440886042168E-2</v>
      </c>
      <c r="K70" s="780">
        <f t="shared" si="27"/>
        <v>5.6029605906947798E-2</v>
      </c>
      <c r="L70" s="780">
        <f t="shared" si="27"/>
        <v>4.3014802953473916E-2</v>
      </c>
      <c r="M70" s="789">
        <v>0.03</v>
      </c>
      <c r="N70" s="782">
        <f t="shared" ref="N70:AB70" si="28">M70</f>
        <v>0.03</v>
      </c>
      <c r="O70" s="782">
        <f t="shared" si="28"/>
        <v>0.03</v>
      </c>
      <c r="P70" s="782">
        <f t="shared" si="28"/>
        <v>0.03</v>
      </c>
      <c r="Q70" s="782">
        <f t="shared" si="28"/>
        <v>0.03</v>
      </c>
      <c r="R70" s="782">
        <f t="shared" si="28"/>
        <v>0.03</v>
      </c>
      <c r="S70" s="782">
        <f t="shared" si="28"/>
        <v>0.03</v>
      </c>
      <c r="T70" s="782">
        <f t="shared" si="28"/>
        <v>0.03</v>
      </c>
      <c r="U70" s="782">
        <f t="shared" si="28"/>
        <v>0.03</v>
      </c>
      <c r="V70" s="782">
        <f t="shared" si="28"/>
        <v>0.03</v>
      </c>
      <c r="W70" s="782">
        <f t="shared" si="28"/>
        <v>0.03</v>
      </c>
      <c r="X70" s="782">
        <f t="shared" si="28"/>
        <v>0.03</v>
      </c>
      <c r="Y70" s="782">
        <f t="shared" si="28"/>
        <v>0.03</v>
      </c>
      <c r="Z70" s="782">
        <f t="shared" si="28"/>
        <v>0.03</v>
      </c>
      <c r="AA70" s="782">
        <f t="shared" si="28"/>
        <v>0.03</v>
      </c>
      <c r="AB70" s="782">
        <f t="shared" si="28"/>
        <v>0.03</v>
      </c>
    </row>
    <row r="71" spans="1:36">
      <c r="B71" s="771"/>
      <c r="C71" s="766"/>
    </row>
    <row r="72" spans="1:36">
      <c r="B72" s="773" t="s">
        <v>536</v>
      </c>
      <c r="C72" s="774">
        <f>I9</f>
        <v>0.16712897607999333</v>
      </c>
    </row>
    <row r="73" spans="1:36">
      <c r="B73" s="775" t="s">
        <v>537</v>
      </c>
      <c r="C73" s="776" t="s">
        <v>538</v>
      </c>
    </row>
    <row r="74" spans="1:36">
      <c r="B74" s="773" t="s">
        <v>539</v>
      </c>
      <c r="C74" s="777">
        <f>(38223.56-Inputs!B6)/Inputs!B6</f>
        <v>0.13345669127894902</v>
      </c>
    </row>
    <row r="75" spans="1:36">
      <c r="B75" s="771"/>
      <c r="C75" s="766"/>
    </row>
    <row r="76" spans="1:36">
      <c r="B76" s="764"/>
      <c r="C76" s="785"/>
    </row>
    <row r="77" spans="1:36" ht="12.6" customHeight="1">
      <c r="B77" s="671" t="s">
        <v>143</v>
      </c>
      <c r="C77" s="788">
        <f ca="1">OFFSET(C$77,Assumptions!$C$59,0)</f>
        <v>0.24</v>
      </c>
      <c r="D77" s="784">
        <f t="shared" ref="D77:AB77" si="29">D79</f>
        <v>0.24199999999999999</v>
      </c>
      <c r="E77" s="784">
        <f t="shared" si="29"/>
        <v>0.24399999999999999</v>
      </c>
      <c r="F77" s="784">
        <f t="shared" si="29"/>
        <v>0.246</v>
      </c>
      <c r="G77" s="784">
        <f t="shared" si="29"/>
        <v>0.248</v>
      </c>
      <c r="H77" s="784">
        <f t="shared" si="29"/>
        <v>0.25</v>
      </c>
      <c r="I77" s="784">
        <f t="shared" si="29"/>
        <v>0.252</v>
      </c>
      <c r="J77" s="784">
        <f t="shared" si="29"/>
        <v>0.254</v>
      </c>
      <c r="K77" s="784">
        <f t="shared" si="29"/>
        <v>0.25600000000000001</v>
      </c>
      <c r="L77" s="784">
        <f t="shared" si="29"/>
        <v>0.25800000000000001</v>
      </c>
      <c r="M77" s="784">
        <f t="shared" si="29"/>
        <v>0.26</v>
      </c>
      <c r="N77" s="784">
        <f t="shared" si="29"/>
        <v>0.26</v>
      </c>
      <c r="O77" s="784">
        <f t="shared" si="29"/>
        <v>0.26</v>
      </c>
      <c r="P77" s="784">
        <f t="shared" si="29"/>
        <v>0.26</v>
      </c>
      <c r="Q77" s="784">
        <f t="shared" si="29"/>
        <v>0.26</v>
      </c>
      <c r="R77" s="784">
        <f t="shared" si="29"/>
        <v>0.26</v>
      </c>
      <c r="S77" s="784">
        <f t="shared" si="29"/>
        <v>0.26</v>
      </c>
      <c r="T77" s="784">
        <f t="shared" si="29"/>
        <v>0.26</v>
      </c>
      <c r="U77" s="784">
        <f t="shared" si="29"/>
        <v>0.26</v>
      </c>
      <c r="V77" s="784">
        <f t="shared" si="29"/>
        <v>0.26</v>
      </c>
      <c r="W77" s="784">
        <f t="shared" si="29"/>
        <v>0.26</v>
      </c>
      <c r="X77" s="784">
        <f t="shared" si="29"/>
        <v>0.26</v>
      </c>
      <c r="Y77" s="784">
        <f t="shared" si="29"/>
        <v>0.26</v>
      </c>
      <c r="Z77" s="784">
        <f t="shared" si="29"/>
        <v>0.26</v>
      </c>
      <c r="AA77" s="784">
        <f t="shared" si="29"/>
        <v>0.26</v>
      </c>
      <c r="AB77" s="784">
        <f t="shared" si="29"/>
        <v>0.26</v>
      </c>
    </row>
    <row r="78" spans="1:36">
      <c r="A78" s="786"/>
      <c r="B78" s="783" t="s">
        <v>533</v>
      </c>
      <c r="C78" s="782">
        <f>+C79*$E$59</f>
        <v>0.216</v>
      </c>
      <c r="D78" s="782">
        <f t="shared" ref="D78:AB78" si="30">+D79*$E$59</f>
        <v>0.21779999999999999</v>
      </c>
      <c r="E78" s="782">
        <f t="shared" si="30"/>
        <v>0.21959999999999999</v>
      </c>
      <c r="F78" s="782">
        <f t="shared" si="30"/>
        <v>0.22140000000000001</v>
      </c>
      <c r="G78" s="782">
        <f t="shared" si="30"/>
        <v>0.22320000000000001</v>
      </c>
      <c r="H78" s="782">
        <f t="shared" si="30"/>
        <v>0.22500000000000001</v>
      </c>
      <c r="I78" s="782">
        <f t="shared" si="30"/>
        <v>0.2268</v>
      </c>
      <c r="J78" s="782">
        <f t="shared" si="30"/>
        <v>0.2286</v>
      </c>
      <c r="K78" s="782">
        <f t="shared" si="30"/>
        <v>0.23040000000000002</v>
      </c>
      <c r="L78" s="782">
        <f t="shared" si="30"/>
        <v>0.23220000000000002</v>
      </c>
      <c r="M78" s="782">
        <f t="shared" si="30"/>
        <v>0.23400000000000001</v>
      </c>
      <c r="N78" s="782">
        <f t="shared" si="30"/>
        <v>0.23400000000000001</v>
      </c>
      <c r="O78" s="782">
        <f t="shared" si="30"/>
        <v>0.23400000000000001</v>
      </c>
      <c r="P78" s="782">
        <f t="shared" si="30"/>
        <v>0.23400000000000001</v>
      </c>
      <c r="Q78" s="782">
        <f t="shared" si="30"/>
        <v>0.23400000000000001</v>
      </c>
      <c r="R78" s="782">
        <f t="shared" si="30"/>
        <v>0.23400000000000001</v>
      </c>
      <c r="S78" s="782">
        <f t="shared" si="30"/>
        <v>0.23400000000000001</v>
      </c>
      <c r="T78" s="782">
        <f t="shared" si="30"/>
        <v>0.23400000000000001</v>
      </c>
      <c r="U78" s="782">
        <f t="shared" si="30"/>
        <v>0.23400000000000001</v>
      </c>
      <c r="V78" s="782">
        <f t="shared" si="30"/>
        <v>0.23400000000000001</v>
      </c>
      <c r="W78" s="782">
        <f t="shared" si="30"/>
        <v>0.23400000000000001</v>
      </c>
      <c r="X78" s="782">
        <f t="shared" si="30"/>
        <v>0.23400000000000001</v>
      </c>
      <c r="Y78" s="782">
        <f t="shared" si="30"/>
        <v>0.23400000000000001</v>
      </c>
      <c r="Z78" s="782">
        <f t="shared" si="30"/>
        <v>0.23400000000000001</v>
      </c>
      <c r="AA78" s="782">
        <f t="shared" si="30"/>
        <v>0.23400000000000001</v>
      </c>
      <c r="AB78" s="782">
        <f t="shared" si="30"/>
        <v>0.23400000000000001</v>
      </c>
      <c r="AC78" s="786"/>
      <c r="AD78" s="786"/>
      <c r="AE78" s="786"/>
      <c r="AF78" s="786"/>
      <c r="AG78" s="786"/>
      <c r="AH78" s="786"/>
      <c r="AI78" s="786"/>
      <c r="AJ78" s="786"/>
    </row>
    <row r="79" spans="1:36">
      <c r="A79" s="786"/>
      <c r="B79" s="787" t="s">
        <v>534</v>
      </c>
      <c r="C79" s="780">
        <v>0.24</v>
      </c>
      <c r="D79" s="780">
        <f>+C79+($M$79-$C$79)/($M$64-$C$64)</f>
        <v>0.24199999999999999</v>
      </c>
      <c r="E79" s="780">
        <f t="shared" ref="E79:L79" si="31">+D79+($M$79-$C$79)/($M$64-$C$64)</f>
        <v>0.24399999999999999</v>
      </c>
      <c r="F79" s="780">
        <f t="shared" si="31"/>
        <v>0.246</v>
      </c>
      <c r="G79" s="780">
        <f t="shared" si="31"/>
        <v>0.248</v>
      </c>
      <c r="H79" s="780">
        <f t="shared" si="31"/>
        <v>0.25</v>
      </c>
      <c r="I79" s="780">
        <f t="shared" si="31"/>
        <v>0.252</v>
      </c>
      <c r="J79" s="780">
        <f t="shared" si="31"/>
        <v>0.254</v>
      </c>
      <c r="K79" s="780">
        <f t="shared" si="31"/>
        <v>0.25600000000000001</v>
      </c>
      <c r="L79" s="780">
        <f t="shared" si="31"/>
        <v>0.25800000000000001</v>
      </c>
      <c r="M79" s="779">
        <v>0.26</v>
      </c>
      <c r="N79" s="779">
        <f t="shared" ref="N79:AB79" si="32">M79</f>
        <v>0.26</v>
      </c>
      <c r="O79" s="779">
        <f t="shared" si="32"/>
        <v>0.26</v>
      </c>
      <c r="P79" s="779">
        <f t="shared" si="32"/>
        <v>0.26</v>
      </c>
      <c r="Q79" s="779">
        <f t="shared" si="32"/>
        <v>0.26</v>
      </c>
      <c r="R79" s="779">
        <f t="shared" si="32"/>
        <v>0.26</v>
      </c>
      <c r="S79" s="779">
        <f t="shared" si="32"/>
        <v>0.26</v>
      </c>
      <c r="T79" s="779">
        <f t="shared" si="32"/>
        <v>0.26</v>
      </c>
      <c r="U79" s="779">
        <f t="shared" si="32"/>
        <v>0.26</v>
      </c>
      <c r="V79" s="779">
        <f t="shared" si="32"/>
        <v>0.26</v>
      </c>
      <c r="W79" s="779">
        <f t="shared" si="32"/>
        <v>0.26</v>
      </c>
      <c r="X79" s="779">
        <f t="shared" si="32"/>
        <v>0.26</v>
      </c>
      <c r="Y79" s="779">
        <f t="shared" si="32"/>
        <v>0.26</v>
      </c>
      <c r="Z79" s="779">
        <f t="shared" si="32"/>
        <v>0.26</v>
      </c>
      <c r="AA79" s="779">
        <f t="shared" si="32"/>
        <v>0.26</v>
      </c>
      <c r="AB79" s="779">
        <f t="shared" si="32"/>
        <v>0.26</v>
      </c>
      <c r="AC79" s="786"/>
      <c r="AD79" s="786"/>
      <c r="AE79" s="786"/>
      <c r="AF79" s="786"/>
      <c r="AG79" s="786"/>
      <c r="AH79" s="786"/>
      <c r="AI79" s="786"/>
      <c r="AJ79" s="786"/>
    </row>
    <row r="80" spans="1:36">
      <c r="A80" s="786"/>
      <c r="B80" s="783" t="s">
        <v>535</v>
      </c>
      <c r="C80" s="782">
        <f>+C79*$I$59</f>
        <v>0.26400000000000001</v>
      </c>
      <c r="D80" s="782">
        <f t="shared" ref="D80:AB80" si="33">+D79*$I$59</f>
        <v>0.26619999999999999</v>
      </c>
      <c r="E80" s="782">
        <f t="shared" si="33"/>
        <v>0.26840000000000003</v>
      </c>
      <c r="F80" s="782">
        <f t="shared" si="33"/>
        <v>0.27060000000000001</v>
      </c>
      <c r="G80" s="782">
        <f t="shared" si="33"/>
        <v>0.27280000000000004</v>
      </c>
      <c r="H80" s="782">
        <f t="shared" si="33"/>
        <v>0.27500000000000002</v>
      </c>
      <c r="I80" s="782">
        <f t="shared" si="33"/>
        <v>0.2772</v>
      </c>
      <c r="J80" s="782">
        <f t="shared" si="33"/>
        <v>0.27940000000000004</v>
      </c>
      <c r="K80" s="782">
        <f t="shared" si="33"/>
        <v>0.28160000000000002</v>
      </c>
      <c r="L80" s="782">
        <f t="shared" si="33"/>
        <v>0.28380000000000005</v>
      </c>
      <c r="M80" s="782">
        <f t="shared" si="33"/>
        <v>0.28600000000000003</v>
      </c>
      <c r="N80" s="782">
        <f t="shared" si="33"/>
        <v>0.28600000000000003</v>
      </c>
      <c r="O80" s="782">
        <f t="shared" si="33"/>
        <v>0.28600000000000003</v>
      </c>
      <c r="P80" s="782">
        <f t="shared" si="33"/>
        <v>0.28600000000000003</v>
      </c>
      <c r="Q80" s="782">
        <f t="shared" si="33"/>
        <v>0.28600000000000003</v>
      </c>
      <c r="R80" s="782">
        <f t="shared" si="33"/>
        <v>0.28600000000000003</v>
      </c>
      <c r="S80" s="782">
        <f t="shared" si="33"/>
        <v>0.28600000000000003</v>
      </c>
      <c r="T80" s="782">
        <f t="shared" si="33"/>
        <v>0.28600000000000003</v>
      </c>
      <c r="U80" s="782">
        <f t="shared" si="33"/>
        <v>0.28600000000000003</v>
      </c>
      <c r="V80" s="782">
        <f t="shared" si="33"/>
        <v>0.28600000000000003</v>
      </c>
      <c r="W80" s="782">
        <f t="shared" si="33"/>
        <v>0.28600000000000003</v>
      </c>
      <c r="X80" s="782">
        <f t="shared" si="33"/>
        <v>0.28600000000000003</v>
      </c>
      <c r="Y80" s="782">
        <f t="shared" si="33"/>
        <v>0.28600000000000003</v>
      </c>
      <c r="Z80" s="782">
        <f t="shared" si="33"/>
        <v>0.28600000000000003</v>
      </c>
      <c r="AA80" s="782">
        <f t="shared" si="33"/>
        <v>0.28600000000000003</v>
      </c>
      <c r="AB80" s="782">
        <f t="shared" si="33"/>
        <v>0.28600000000000003</v>
      </c>
      <c r="AC80" s="786"/>
      <c r="AD80" s="786"/>
      <c r="AE80" s="786"/>
      <c r="AF80" s="786"/>
      <c r="AG80" s="786"/>
      <c r="AH80" s="786"/>
      <c r="AI80" s="786"/>
      <c r="AJ80" s="786"/>
    </row>
    <row r="81" spans="2:12">
      <c r="B81" s="768"/>
    </row>
    <row r="82" spans="2:12">
      <c r="B82" s="773" t="s">
        <v>536</v>
      </c>
      <c r="C82" s="774">
        <f>I10</f>
        <v>0.18112004956468511</v>
      </c>
    </row>
    <row r="83" spans="2:12">
      <c r="B83" s="775" t="s">
        <v>537</v>
      </c>
      <c r="C83" s="776">
        <v>0.24</v>
      </c>
    </row>
    <row r="84" spans="2:12">
      <c r="B84" s="768"/>
    </row>
    <row r="85" spans="2:12">
      <c r="B85" s="768"/>
    </row>
    <row r="86" spans="2:12" ht="15.75" customHeight="1">
      <c r="B86" s="802" t="s">
        <v>540</v>
      </c>
    </row>
    <row r="87" spans="2:12">
      <c r="B87" s="768" t="s">
        <v>541</v>
      </c>
      <c r="C87" s="786">
        <v>-12112.6</v>
      </c>
      <c r="D87" s="786">
        <v>-15903.8</v>
      </c>
      <c r="E87" s="786">
        <v>-17120</v>
      </c>
      <c r="F87" s="786">
        <v>-11295.1</v>
      </c>
      <c r="G87" s="786">
        <v>-14022.7</v>
      </c>
      <c r="H87" s="786">
        <v>-11756.4</v>
      </c>
      <c r="I87" s="786">
        <v>-8525.6</v>
      </c>
      <c r="J87" s="786">
        <v>-6731.2</v>
      </c>
      <c r="K87" s="786">
        <v>-4533.3999999999996</v>
      </c>
      <c r="L87" s="786">
        <v>-3139.2</v>
      </c>
    </row>
    <row r="88" spans="2:12">
      <c r="B88" s="802" t="s">
        <v>542</v>
      </c>
      <c r="C88" s="16">
        <f>+AVERAGE(C89:L89)</f>
        <v>-0.60608547632625387</v>
      </c>
    </row>
    <row r="89" spans="2:12">
      <c r="B89" s="768" t="s">
        <v>543</v>
      </c>
      <c r="C89" s="731">
        <f>+C87/Inputs!B6</f>
        <v>-0.35917919520801828</v>
      </c>
      <c r="D89" s="731">
        <f>+D87/Inputs!C6</f>
        <v>-0.50303011133603237</v>
      </c>
      <c r="E89" s="731">
        <f>+E87/Inputs!D6</f>
        <v>-0.5764697959458549</v>
      </c>
      <c r="F89" s="731">
        <f>+F87/Inputs!E6</f>
        <v>-0.45187630020803332</v>
      </c>
      <c r="G89" s="731">
        <f>+G87/Inputs!F6</f>
        <v>-0.69570847390355228</v>
      </c>
      <c r="H89" s="731">
        <f>+H87/Inputs!G6</f>
        <v>-0.74435861719640373</v>
      </c>
      <c r="I89" s="731">
        <f>+I87/Inputs!H6</f>
        <v>-0.72911998631659969</v>
      </c>
      <c r="J89" s="731">
        <f>+J87/Inputs!I6</f>
        <v>-0.76222398369380584</v>
      </c>
      <c r="K89" s="731">
        <f>+K87/Inputs!J6</f>
        <v>-0.66864306784660765</v>
      </c>
      <c r="L89" s="731">
        <f>+L87/Inputs!K6</f>
        <v>-0.57024523160762941</v>
      </c>
    </row>
    <row r="90" spans="2:12">
      <c r="B90" s="802" t="s">
        <v>544</v>
      </c>
      <c r="C90" s="16">
        <f>AVERAGE(C89:G89)</f>
        <v>-0.51725277532029823</v>
      </c>
    </row>
    <row r="91" spans="2:12">
      <c r="B91" s="768"/>
    </row>
    <row r="92" spans="2:12">
      <c r="B92" s="768"/>
    </row>
    <row r="93" spans="2:12">
      <c r="B93" s="768"/>
    </row>
    <row r="94" spans="2:12">
      <c r="B94" s="768"/>
    </row>
    <row r="95" spans="2:12">
      <c r="B95" s="768"/>
    </row>
    <row r="96" spans="2:12">
      <c r="B96" s="768"/>
    </row>
    <row r="97" spans="1:2">
      <c r="A97" s="677"/>
      <c r="B97" s="768"/>
    </row>
    <row r="98" spans="1:2">
      <c r="A98" s="677"/>
      <c r="B98" s="768"/>
    </row>
    <row r="99" spans="1:2">
      <c r="A99" s="677"/>
      <c r="B99" s="768"/>
    </row>
    <row r="104" spans="1:2">
      <c r="B104" s="768"/>
    </row>
    <row r="105" spans="1:2">
      <c r="B105" s="768"/>
    </row>
    <row r="106" spans="1:2">
      <c r="B106" s="768"/>
    </row>
    <row r="107" spans="1:2">
      <c r="B107" s="768"/>
    </row>
    <row r="108" spans="1:2">
      <c r="B108" s="768"/>
    </row>
    <row r="109" spans="1:2">
      <c r="B109" s="768"/>
    </row>
    <row r="110" spans="1:2">
      <c r="B110" s="768"/>
    </row>
    <row r="111" spans="1:2">
      <c r="B111" s="768"/>
    </row>
    <row r="112" spans="1:2">
      <c r="B112" s="768"/>
    </row>
    <row r="113" spans="2:2">
      <c r="B113" s="768"/>
    </row>
    <row r="114" spans="2:2">
      <c r="B114" s="768"/>
    </row>
    <row r="115" spans="2:2">
      <c r="B115" s="768"/>
    </row>
    <row r="116" spans="2:2">
      <c r="B116" s="768"/>
    </row>
    <row r="117" spans="2:2">
      <c r="B117" s="768"/>
    </row>
    <row r="118" spans="2:2">
      <c r="B118" s="768"/>
    </row>
    <row r="119" spans="2:2">
      <c r="B119" s="768"/>
    </row>
    <row r="120" spans="2:2">
      <c r="B120" s="768"/>
    </row>
    <row r="121" spans="2:2">
      <c r="B121" s="768"/>
    </row>
    <row r="122" spans="2:2">
      <c r="B122" s="768"/>
    </row>
    <row r="123" spans="2:2">
      <c r="B123" s="768"/>
    </row>
    <row r="124" spans="2:2">
      <c r="B124" s="768"/>
    </row>
    <row r="125" spans="2:2">
      <c r="B125" s="768"/>
    </row>
    <row r="126" spans="2:2">
      <c r="B126" s="768"/>
    </row>
    <row r="127" spans="2:2">
      <c r="B127" s="768"/>
    </row>
    <row r="128" spans="2:2">
      <c r="B128" s="768"/>
    </row>
    <row r="129" spans="2:2">
      <c r="B129" s="768"/>
    </row>
    <row r="130" spans="2:2">
      <c r="B130" s="768"/>
    </row>
    <row r="131" spans="2:2">
      <c r="B131" s="768"/>
    </row>
    <row r="132" spans="2:2">
      <c r="B132" s="768"/>
    </row>
    <row r="133" spans="2:2">
      <c r="B133" s="768"/>
    </row>
    <row r="134" spans="2:2">
      <c r="B134" s="768"/>
    </row>
    <row r="135" spans="2:2">
      <c r="B135" s="768"/>
    </row>
    <row r="136" spans="2:2">
      <c r="B136" s="768"/>
    </row>
    <row r="137" spans="2:2">
      <c r="B137" s="768"/>
    </row>
    <row r="138" spans="2:2">
      <c r="B138" s="768"/>
    </row>
    <row r="139" spans="2:2">
      <c r="B139" s="768"/>
    </row>
    <row r="140" spans="2:2">
      <c r="B140" s="768"/>
    </row>
    <row r="141" spans="2:2">
      <c r="B141" s="768"/>
    </row>
    <row r="142" spans="2:2">
      <c r="B142" s="768"/>
    </row>
    <row r="143" spans="2:2">
      <c r="B143" s="768"/>
    </row>
    <row r="144" spans="2:2">
      <c r="B144" s="768"/>
    </row>
  </sheetData>
  <mergeCells count="20">
    <mergeCell ref="D29:E29"/>
    <mergeCell ref="F29:G29"/>
    <mergeCell ref="D28:E28"/>
    <mergeCell ref="F28:G28"/>
    <mergeCell ref="C34:G34"/>
    <mergeCell ref="B21:C21"/>
    <mergeCell ref="B22:C22"/>
    <mergeCell ref="B16:C16"/>
    <mergeCell ref="B17:C17"/>
    <mergeCell ref="B18:C18"/>
    <mergeCell ref="B19:C19"/>
    <mergeCell ref="B20:C20"/>
    <mergeCell ref="D27:E27"/>
    <mergeCell ref="F27:G27"/>
    <mergeCell ref="D24:E24"/>
    <mergeCell ref="F24:G24"/>
    <mergeCell ref="D25:E25"/>
    <mergeCell ref="F25:G25"/>
    <mergeCell ref="D26:E26"/>
    <mergeCell ref="F26:G26"/>
  </mergeCells>
  <phoneticPr fontId="87" type="noConversion"/>
  <pageMargins left="0.7" right="0.7" top="0.75" bottom="0.75" header="0.3" footer="0.3"/>
  <pageSetup paperSize="9" orientation="portrait"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A3883-DD98-4992-AC33-2C1B89D086E1}">
  <sheetPr>
    <tabColor rgb="FFFFFF00"/>
  </sheetPr>
  <dimension ref="A1:IA99"/>
  <sheetViews>
    <sheetView topLeftCell="G1" zoomScale="87" workbookViewId="0">
      <selection activeCell="K17" sqref="K17"/>
    </sheetView>
  </sheetViews>
  <sheetFormatPr defaultColWidth="11.42578125" defaultRowHeight="12.75"/>
  <cols>
    <col min="1" max="1" width="36.140625" style="11" customWidth="1"/>
    <col min="2" max="10" width="12.42578125" style="46" customWidth="1"/>
    <col min="11" max="12" width="12.42578125" style="53" customWidth="1"/>
    <col min="13" max="13" width="12.140625" style="53" bestFit="1" customWidth="1"/>
    <col min="14" max="16384" width="11.42578125" style="45"/>
  </cols>
  <sheetData>
    <row r="1" spans="1:25" ht="15.75">
      <c r="A1" s="1121" t="e" vm="1">
        <f>Inputs!H3</f>
        <v>#VALUE!</v>
      </c>
      <c r="B1" s="1121"/>
      <c r="C1" s="1121"/>
      <c r="D1" s="1121"/>
      <c r="E1" s="1121"/>
      <c r="F1" s="1121"/>
      <c r="G1" s="1121"/>
      <c r="H1" s="1121"/>
      <c r="I1" s="1121"/>
      <c r="J1" s="1121"/>
      <c r="K1" s="1121"/>
      <c r="L1" s="1121"/>
      <c r="M1" s="1121"/>
    </row>
    <row r="2" spans="1:25" ht="12">
      <c r="A2" s="1122" t="str">
        <f>Inputs!G2</f>
        <v>Figures in Millions of USD</v>
      </c>
      <c r="B2" s="1122"/>
      <c r="C2" s="1122"/>
      <c r="D2" s="1122"/>
      <c r="E2" s="1122"/>
      <c r="F2" s="1122"/>
      <c r="G2" s="1122"/>
      <c r="H2" s="1122"/>
      <c r="I2" s="1122"/>
      <c r="J2" s="1122"/>
      <c r="K2" s="1122"/>
      <c r="L2" s="1122"/>
      <c r="M2" s="1122"/>
    </row>
    <row r="3" spans="1:25" ht="20.25">
      <c r="A3" s="1120" t="s">
        <v>545</v>
      </c>
      <c r="B3" s="1120"/>
      <c r="C3" s="1120"/>
      <c r="D3" s="1120"/>
      <c r="E3" s="1120"/>
      <c r="F3" s="1120"/>
      <c r="G3" s="1120"/>
      <c r="H3" s="1120"/>
      <c r="I3" s="1120"/>
      <c r="J3" s="1120"/>
      <c r="K3" s="1120"/>
      <c r="L3" s="1120"/>
      <c r="M3" s="1120"/>
    </row>
    <row r="4" spans="1:25">
      <c r="A4" s="118"/>
      <c r="B4" s="56">
        <f>OP!J20</f>
        <v>2023</v>
      </c>
      <c r="C4" s="47">
        <f>B4-1</f>
        <v>2022</v>
      </c>
      <c r="D4" s="47">
        <f t="shared" ref="D4:M4" si="0">C4-1</f>
        <v>2021</v>
      </c>
      <c r="E4" s="47">
        <f t="shared" si="0"/>
        <v>2020</v>
      </c>
      <c r="F4" s="47">
        <f t="shared" si="0"/>
        <v>2019</v>
      </c>
      <c r="G4" s="47">
        <f t="shared" si="0"/>
        <v>2018</v>
      </c>
      <c r="H4" s="47">
        <f t="shared" si="0"/>
        <v>2017</v>
      </c>
      <c r="I4" s="47">
        <f t="shared" si="0"/>
        <v>2016</v>
      </c>
      <c r="J4" s="47">
        <f>I4-1</f>
        <v>2015</v>
      </c>
      <c r="K4" s="47">
        <f t="shared" si="0"/>
        <v>2014</v>
      </c>
      <c r="L4" s="47">
        <f t="shared" si="0"/>
        <v>2013</v>
      </c>
      <c r="M4" s="47">
        <f t="shared" si="0"/>
        <v>2012</v>
      </c>
    </row>
    <row r="5" spans="1:25">
      <c r="A5" s="119" t="s">
        <v>142</v>
      </c>
      <c r="B5" s="57">
        <f>_xlfn.XLOOKUP($A5,Inputs!$A:$A,Inputs!B:B,,0)</f>
        <v>33723</v>
      </c>
      <c r="C5" s="57">
        <f>_xlfn.XLOOKUP($A5,Inputs!$A:$A,Inputs!C:C,,0)</f>
        <v>31616</v>
      </c>
      <c r="D5" s="57">
        <f>_xlfn.XLOOKUP($A5,Inputs!$A:$A,Inputs!D:D,,0)</f>
        <v>29698</v>
      </c>
      <c r="E5" s="57">
        <f>_xlfn.XLOOKUP($A5,Inputs!$A:$A,Inputs!E:E,,0)</f>
        <v>24996</v>
      </c>
      <c r="F5" s="57">
        <f>_xlfn.XLOOKUP($A5,Inputs!$A:$A,Inputs!F:F,,0)</f>
        <v>20156</v>
      </c>
      <c r="G5" s="57">
        <f>_xlfn.XLOOKUP($A5,Inputs!$A:$A,Inputs!G:G,,0)</f>
        <v>15794</v>
      </c>
      <c r="H5" s="57">
        <f>_xlfn.XLOOKUP($A5,Inputs!$A:$A,Inputs!H:H,,0)</f>
        <v>11693</v>
      </c>
      <c r="I5" s="57">
        <f>_xlfn.XLOOKUP($A5,Inputs!$A:$A,Inputs!I:I,,0)</f>
        <v>8831</v>
      </c>
      <c r="J5" s="57">
        <f>_xlfn.XLOOKUP($A5,Inputs!$A:$A,Inputs!J:J,,0)</f>
        <v>6780</v>
      </c>
      <c r="K5" s="57">
        <f>_xlfn.XLOOKUP($A5,Inputs!$A:$A,Inputs!K:K,,0)</f>
        <v>5505</v>
      </c>
      <c r="L5" s="57">
        <f>_xlfn.XLOOKUP($A5,Inputs!$A:$A,Inputs!L:L,,0)</f>
        <v>4375</v>
      </c>
      <c r="M5" s="58">
        <f>_xlfn.XLOOKUP($A5,Inputs!$A:$A,Inputs!M:M,,0)</f>
        <v>3609</v>
      </c>
    </row>
    <row r="6" spans="1:25">
      <c r="A6" s="120" t="s">
        <v>546</v>
      </c>
      <c r="B6" s="59">
        <f t="shared" ref="B6:L6" si="1">IFERROR(B5/C5-1,"-")</f>
        <v>6.6643471659919129E-2</v>
      </c>
      <c r="C6" s="59">
        <f t="shared" si="1"/>
        <v>6.4583473634588273E-2</v>
      </c>
      <c r="D6" s="59">
        <f t="shared" si="1"/>
        <v>0.18811009761561848</v>
      </c>
      <c r="E6" s="59">
        <f t="shared" si="1"/>
        <v>0.2401270093272474</v>
      </c>
      <c r="F6" s="59">
        <f t="shared" si="1"/>
        <v>0.27618082816259348</v>
      </c>
      <c r="G6" s="59">
        <f t="shared" si="1"/>
        <v>0.35072265457966312</v>
      </c>
      <c r="H6" s="59">
        <f t="shared" si="1"/>
        <v>0.32408560751896731</v>
      </c>
      <c r="I6" s="59">
        <f t="shared" si="1"/>
        <v>0.30250737463126853</v>
      </c>
      <c r="J6" s="59">
        <f t="shared" si="1"/>
        <v>0.23160762942779289</v>
      </c>
      <c r="K6" s="59">
        <f t="shared" si="1"/>
        <v>0.25828571428571423</v>
      </c>
      <c r="L6" s="59">
        <f t="shared" si="1"/>
        <v>0.21224715987808263</v>
      </c>
      <c r="M6" s="60" t="str">
        <f>IFERROR(M5/#REF!-1,"-")</f>
        <v>-</v>
      </c>
      <c r="N6" s="475"/>
    </row>
    <row r="7" spans="1:25">
      <c r="A7" s="119" t="s">
        <v>547</v>
      </c>
      <c r="B7" s="57">
        <f>_xlfn.XLOOKUP($A7,Inputs!$A:$A,Inputs!B:B,,0)</f>
        <v>14008</v>
      </c>
      <c r="C7" s="57">
        <f>_xlfn.XLOOKUP($A7,Inputs!$A:$A,Inputs!C:C,,0)</f>
        <v>12447</v>
      </c>
      <c r="D7" s="57">
        <f>_xlfn.XLOOKUP($A7,Inputs!$A:$A,Inputs!D:D,,0)</f>
        <v>12365</v>
      </c>
      <c r="E7" s="57">
        <f>_xlfn.XLOOKUP($A7,Inputs!$A:$A,Inputs!E:E,,0)</f>
        <v>10821</v>
      </c>
      <c r="F7" s="57">
        <f>_xlfn.XLOOKUP($A7,Inputs!$A:$A,Inputs!F:F,,0)</f>
        <v>7716</v>
      </c>
      <c r="G7" s="57">
        <f>_xlfn.XLOOKUP($A7,Inputs!$A:$A,Inputs!G:G,,0)</f>
        <v>5827</v>
      </c>
      <c r="H7" s="57">
        <f>_xlfn.XLOOKUP($A7,Inputs!$A:$A,Inputs!H:H,,0)</f>
        <v>4033</v>
      </c>
      <c r="I7" s="57">
        <f>_xlfn.XLOOKUP($A7,Inputs!$A:$A,Inputs!I:I,,0)</f>
        <v>2801</v>
      </c>
      <c r="J7" s="57">
        <f>_xlfn.XLOOKUP($A7,Inputs!$A:$A,Inputs!J:J,,0)</f>
        <v>2188</v>
      </c>
      <c r="K7" s="57">
        <f>_xlfn.XLOOKUP($A7,Inputs!$A:$A,Inputs!K:K,,0)</f>
        <v>1752</v>
      </c>
      <c r="L7" s="57">
        <f>_xlfn.XLOOKUP($A7,Inputs!$A:$A,Inputs!L:L,,0)</f>
        <v>1257</v>
      </c>
      <c r="M7" s="58">
        <f>_xlfn.XLOOKUP($A7,Inputs!$A:$A,Inputs!M:M,,0)</f>
        <v>957</v>
      </c>
    </row>
    <row r="8" spans="1:25">
      <c r="A8" s="120" t="s">
        <v>548</v>
      </c>
      <c r="B8" s="59">
        <f>IFERROR(B7/B$5,"-")</f>
        <v>0.41538415917919519</v>
      </c>
      <c r="C8" s="59">
        <f t="shared" ref="C8:M8" si="2">IFERROR(C7/C$5,"-")</f>
        <v>0.39369306680161942</v>
      </c>
      <c r="D8" s="59">
        <f t="shared" si="2"/>
        <v>0.41635800390598693</v>
      </c>
      <c r="E8" s="59">
        <f t="shared" si="2"/>
        <v>0.43290926548247721</v>
      </c>
      <c r="F8" s="59">
        <f t="shared" si="2"/>
        <v>0.38281405040682676</v>
      </c>
      <c r="G8" s="59">
        <f t="shared" si="2"/>
        <v>0.36893757122958087</v>
      </c>
      <c r="H8" s="59">
        <f t="shared" si="2"/>
        <v>0.34490720944154624</v>
      </c>
      <c r="I8" s="59">
        <f t="shared" si="2"/>
        <v>0.31717812252293059</v>
      </c>
      <c r="J8" s="59">
        <f t="shared" si="2"/>
        <v>0.32271386430678467</v>
      </c>
      <c r="K8" s="59">
        <f t="shared" si="2"/>
        <v>0.31825613079019072</v>
      </c>
      <c r="L8" s="59">
        <f t="shared" si="2"/>
        <v>0.28731428571428569</v>
      </c>
      <c r="M8" s="60">
        <f t="shared" si="2"/>
        <v>0.26517040731504571</v>
      </c>
    </row>
    <row r="9" spans="1:25">
      <c r="A9" s="119" t="s">
        <v>549</v>
      </c>
      <c r="B9" s="57">
        <f t="shared" ref="B9:M9" si="3">B5-B11</f>
        <v>26769</v>
      </c>
      <c r="C9" s="57">
        <f t="shared" si="3"/>
        <v>25983</v>
      </c>
      <c r="D9" s="57">
        <f t="shared" si="3"/>
        <v>23503</v>
      </c>
      <c r="E9" s="57">
        <f t="shared" si="3"/>
        <v>20411</v>
      </c>
      <c r="F9" s="57">
        <f t="shared" si="3"/>
        <v>17552</v>
      </c>
      <c r="G9" s="57">
        <f t="shared" si="3"/>
        <v>14189</v>
      </c>
      <c r="H9" s="57">
        <f t="shared" si="3"/>
        <v>10854</v>
      </c>
      <c r="I9" s="57">
        <f t="shared" si="3"/>
        <v>8451</v>
      </c>
      <c r="J9" s="57">
        <f t="shared" si="3"/>
        <v>6474</v>
      </c>
      <c r="K9" s="57">
        <f t="shared" si="3"/>
        <v>5102</v>
      </c>
      <c r="L9" s="57">
        <f t="shared" si="3"/>
        <v>4172</v>
      </c>
      <c r="M9" s="58">
        <f t="shared" si="3"/>
        <v>3559</v>
      </c>
    </row>
    <row r="10" spans="1:25">
      <c r="A10" s="120" t="s">
        <v>548</v>
      </c>
      <c r="B10" s="59">
        <f>IFERROR(B9/B$5,"-")</f>
        <v>0.79379058802597635</v>
      </c>
      <c r="C10" s="59">
        <f t="shared" ref="C10:M10" si="4">IFERROR(C9/C$5,"-")</f>
        <v>0.82183071862348178</v>
      </c>
      <c r="D10" s="59">
        <f t="shared" si="4"/>
        <v>0.79140009428244329</v>
      </c>
      <c r="E10" s="59">
        <f t="shared" si="4"/>
        <v>0.81657065130420869</v>
      </c>
      <c r="F10" s="59">
        <f t="shared" si="4"/>
        <v>0.87080769994046436</v>
      </c>
      <c r="G10" s="59">
        <f t="shared" si="4"/>
        <v>0.89837913131568947</v>
      </c>
      <c r="H10" s="59">
        <f t="shared" si="4"/>
        <v>0.92824766954588211</v>
      </c>
      <c r="I10" s="59">
        <f t="shared" si="4"/>
        <v>0.95696976559845992</v>
      </c>
      <c r="J10" s="59">
        <f t="shared" si="4"/>
        <v>0.95486725663716809</v>
      </c>
      <c r="K10" s="59">
        <f t="shared" si="4"/>
        <v>0.92679382379654862</v>
      </c>
      <c r="L10" s="59">
        <f t="shared" si="4"/>
        <v>0.9536</v>
      </c>
      <c r="M10" s="60">
        <f t="shared" si="4"/>
        <v>0.98614574674425048</v>
      </c>
    </row>
    <row r="11" spans="1:25">
      <c r="A11" s="119" t="s">
        <v>286</v>
      </c>
      <c r="B11" s="57">
        <f>_xlfn.XLOOKUP($A11,Inputs!$A:$A,Inputs!B:B,,0)</f>
        <v>6954</v>
      </c>
      <c r="C11" s="57">
        <f>_xlfn.XLOOKUP($A11,Inputs!$A:$A,Inputs!C:C,,0)</f>
        <v>5633</v>
      </c>
      <c r="D11" s="57">
        <f>_xlfn.XLOOKUP($A11,Inputs!$A:$A,Inputs!D:D,,0)</f>
        <v>6195</v>
      </c>
      <c r="E11" s="57">
        <f>_xlfn.XLOOKUP($A11,Inputs!$A:$A,Inputs!E:E,,0)</f>
        <v>4585</v>
      </c>
      <c r="F11" s="57">
        <f>_xlfn.XLOOKUP($A11,Inputs!$A:$A,Inputs!F:F,,0)</f>
        <v>2604</v>
      </c>
      <c r="G11" s="57">
        <f>_xlfn.XLOOKUP($A11,Inputs!$A:$A,Inputs!G:G,,0)</f>
        <v>1605</v>
      </c>
      <c r="H11" s="57">
        <f>_xlfn.XLOOKUP($A11,Inputs!$A:$A,Inputs!H:H,,0)</f>
        <v>839</v>
      </c>
      <c r="I11" s="57">
        <f>_xlfn.XLOOKUP($A11,Inputs!$A:$A,Inputs!I:I,,0)</f>
        <v>380</v>
      </c>
      <c r="J11" s="57">
        <f>_xlfn.XLOOKUP($A11,Inputs!$A:$A,Inputs!J:J,,0)</f>
        <v>306</v>
      </c>
      <c r="K11" s="57">
        <f>_xlfn.XLOOKUP($A11,Inputs!$A:$A,Inputs!K:K,,0)</f>
        <v>403</v>
      </c>
      <c r="L11" s="57">
        <f>_xlfn.XLOOKUP($A11,Inputs!$A:$A,Inputs!L:L,,0)</f>
        <v>203</v>
      </c>
      <c r="M11" s="58">
        <f>_xlfn.XLOOKUP($A11,Inputs!$A:$A,Inputs!M:M,,0)</f>
        <v>50</v>
      </c>
    </row>
    <row r="12" spans="1:25">
      <c r="A12" s="120" t="s">
        <v>143</v>
      </c>
      <c r="B12" s="59">
        <f t="shared" ref="B12:M12" si="5">IFERROR(B11/B$5,"-")</f>
        <v>0.20620941197402368</v>
      </c>
      <c r="C12" s="59">
        <f t="shared" si="5"/>
        <v>0.17816928137651822</v>
      </c>
      <c r="D12" s="59">
        <f t="shared" si="5"/>
        <v>0.20859990571755674</v>
      </c>
      <c r="E12" s="59">
        <f t="shared" si="5"/>
        <v>0.18342934869579133</v>
      </c>
      <c r="F12" s="59">
        <f t="shared" si="5"/>
        <v>0.12919230005953561</v>
      </c>
      <c r="G12" s="59">
        <f t="shared" si="5"/>
        <v>0.1016208686843105</v>
      </c>
      <c r="H12" s="59">
        <f t="shared" si="5"/>
        <v>7.1752330454117844E-2</v>
      </c>
      <c r="I12" s="59">
        <f t="shared" si="5"/>
        <v>4.3030234401540031E-2</v>
      </c>
      <c r="J12" s="59">
        <f t="shared" si="5"/>
        <v>4.5132743362831858E-2</v>
      </c>
      <c r="K12" s="59">
        <f t="shared" si="5"/>
        <v>7.3206176203451406E-2</v>
      </c>
      <c r="L12" s="59">
        <f t="shared" si="5"/>
        <v>4.6399999999999997E-2</v>
      </c>
      <c r="M12" s="60">
        <f t="shared" si="5"/>
        <v>1.3854253255749516E-2</v>
      </c>
    </row>
    <row r="13" spans="1:25">
      <c r="A13" s="119" t="s">
        <v>550</v>
      </c>
      <c r="B13" s="59">
        <f t="shared" ref="B13" si="6">IFERROR(B12/C12-1,"-")</f>
        <v>0.15737915302161065</v>
      </c>
      <c r="C13" s="59">
        <f t="shared" ref="C13" si="7">IFERROR(C12/D12-1,"-")</f>
        <v>-0.14588033602585337</v>
      </c>
      <c r="D13" s="59">
        <f t="shared" ref="D13" si="8">IFERROR(D12/E12-1,"-")</f>
        <v>0.13722208142116643</v>
      </c>
      <c r="E13" s="59">
        <f t="shared" ref="E13" si="9">IFERROR(E12/F12-1,"-")</f>
        <v>0.41981641793869828</v>
      </c>
      <c r="F13" s="59">
        <f t="shared" ref="F13" si="10">IFERROR(F12/G12-1,"-")</f>
        <v>0.27131662750174779</v>
      </c>
      <c r="G13" s="59">
        <f t="shared" ref="G13" si="11">IFERROR(G12/H12-1,"-")</f>
        <v>0.41627272649063496</v>
      </c>
      <c r="H13" s="59">
        <f t="shared" ref="H13" si="12">IFERROR(H12/I12-1,"-")</f>
        <v>0.66748639536924914</v>
      </c>
      <c r="I13" s="59">
        <f t="shared" ref="I13" si="13">IFERROR(I12/J12-1,"-")</f>
        <v>-4.6585002475681647E-2</v>
      </c>
      <c r="J13" s="59">
        <f t="shared" ref="J13" si="14">IFERROR(J12/K12-1,"-")</f>
        <v>-0.38348448582533656</v>
      </c>
      <c r="K13" s="59">
        <f t="shared" ref="K13" si="15">IFERROR(K12/L12-1,"-")</f>
        <v>0.57771931472955629</v>
      </c>
      <c r="L13" s="59">
        <f t="shared" ref="L13" si="16">IFERROR(L12/M12-1,"-")</f>
        <v>2.3491519999999997</v>
      </c>
      <c r="M13" s="60" t="str">
        <f>IFERROR(M12/#REF!-1,"-")</f>
        <v>-</v>
      </c>
    </row>
    <row r="14" spans="1:25">
      <c r="A14" s="121" t="s">
        <v>287</v>
      </c>
      <c r="B14" s="57">
        <f>_xlfn.XLOOKUP($A14,Inputs!$A:$A,Inputs!B:B,,0)</f>
        <v>-749</v>
      </c>
      <c r="C14" s="57">
        <f>_xlfn.XLOOKUP($A14,Inputs!$A:$A,Inputs!C:C,,0)</f>
        <v>-369</v>
      </c>
      <c r="D14" s="57">
        <f>_xlfn.XLOOKUP($A14,Inputs!$A:$A,Inputs!D:D,,0)</f>
        <v>-354</v>
      </c>
      <c r="E14" s="57">
        <f>_xlfn.XLOOKUP($A14,Inputs!$A:$A,Inputs!E:E,,0)</f>
        <v>-1386</v>
      </c>
      <c r="F14" s="57">
        <f>_xlfn.XLOOKUP($A14,Inputs!$A:$A,Inputs!F:F,,0)</f>
        <v>-542</v>
      </c>
      <c r="G14" s="57">
        <f>_xlfn.XLOOKUP($A14,Inputs!$A:$A,Inputs!G:G,,0)</f>
        <v>-379</v>
      </c>
      <c r="H14" s="57">
        <f>_xlfn.XLOOKUP($A14,Inputs!$A:$A,Inputs!H:H,,0)</f>
        <v>-353</v>
      </c>
      <c r="I14" s="57">
        <f>_xlfn.XLOOKUP($A14,Inputs!$A:$A,Inputs!I:I,,0)</f>
        <v>-119</v>
      </c>
      <c r="J14" s="57">
        <f>_xlfn.XLOOKUP($A14,Inputs!$A:$A,Inputs!J:J,,0)</f>
        <v>-164</v>
      </c>
      <c r="K14" s="57">
        <f>_xlfn.XLOOKUP($A14,Inputs!$A:$A,Inputs!K:K,,0)</f>
        <v>-53</v>
      </c>
      <c r="L14" s="57">
        <f>_xlfn.XLOOKUP($A14,Inputs!$A:$A,Inputs!L:L,,0)</f>
        <v>-32</v>
      </c>
      <c r="M14" s="58">
        <f>_xlfn.XLOOKUP($A14,Inputs!$A:$A,Inputs!M:M,,0)</f>
        <v>17</v>
      </c>
    </row>
    <row r="15" spans="1:25">
      <c r="A15" s="119" t="s">
        <v>551</v>
      </c>
      <c r="B15" s="57">
        <f>_xlfn.XLOOKUP($A15,Inputs!$A:$A,Inputs!B:B,,0)</f>
        <v>0</v>
      </c>
      <c r="C15" s="57">
        <f>_xlfn.XLOOKUP($A15,Inputs!$A:$A,Inputs!C:C,,0)</f>
        <v>369</v>
      </c>
      <c r="D15" s="57">
        <f>_xlfn.XLOOKUP($A15,Inputs!$A:$A,Inputs!D:D,,0)</f>
        <v>254</v>
      </c>
      <c r="E15" s="57">
        <f>_xlfn.XLOOKUP($A15,Inputs!$A:$A,Inputs!E:E,,0)</f>
        <v>87</v>
      </c>
      <c r="F15" s="57">
        <f>_xlfn.XLOOKUP($A15,Inputs!$A:$A,Inputs!F:F,,0)</f>
        <v>128</v>
      </c>
      <c r="G15" s="57">
        <f>_xlfn.XLOOKUP($A15,Inputs!$A:$A,Inputs!G:G,,0)</f>
        <v>29</v>
      </c>
      <c r="H15" s="57">
        <f>_xlfn.XLOOKUP($A15,Inputs!$A:$A,Inputs!H:H,,0)</f>
        <v>-80</v>
      </c>
      <c r="I15" s="57">
        <f>_xlfn.XLOOKUP($A15,Inputs!$A:$A,Inputs!I:I,,0)</f>
        <v>0</v>
      </c>
      <c r="J15" s="57">
        <f>_xlfn.XLOOKUP($A15,Inputs!$A:$A,Inputs!J:J,,0)</f>
        <v>0</v>
      </c>
      <c r="K15" s="57">
        <f>_xlfn.XLOOKUP($A15,Inputs!$A:$A,Inputs!K:K,,0)</f>
        <v>0</v>
      </c>
      <c r="L15" s="57">
        <f>_xlfn.XLOOKUP($A15,Inputs!$A:$A,Inputs!L:L,,0)</f>
        <v>0</v>
      </c>
      <c r="M15" s="58">
        <f>_xlfn.XLOOKUP($A15,Inputs!$A:$A,Inputs!M:M,,0)</f>
        <v>0</v>
      </c>
    </row>
    <row r="16" spans="1:25">
      <c r="A16" s="121" t="s">
        <v>79</v>
      </c>
      <c r="B16" s="57">
        <f>B11-B15</f>
        <v>6954</v>
      </c>
      <c r="C16" s="57">
        <f t="shared" ref="C16:M16" si="17">C11-C15</f>
        <v>5264</v>
      </c>
      <c r="D16" s="57">
        <f t="shared" si="17"/>
        <v>5941</v>
      </c>
      <c r="E16" s="57">
        <f t="shared" si="17"/>
        <v>4498</v>
      </c>
      <c r="F16" s="57">
        <f t="shared" si="17"/>
        <v>2476</v>
      </c>
      <c r="G16" s="57">
        <f t="shared" si="17"/>
        <v>1576</v>
      </c>
      <c r="H16" s="57">
        <f t="shared" si="17"/>
        <v>919</v>
      </c>
      <c r="I16" s="57">
        <f t="shared" si="17"/>
        <v>380</v>
      </c>
      <c r="J16" s="57">
        <f t="shared" si="17"/>
        <v>306</v>
      </c>
      <c r="K16" s="57">
        <f t="shared" si="17"/>
        <v>403</v>
      </c>
      <c r="L16" s="57">
        <f t="shared" si="17"/>
        <v>203</v>
      </c>
      <c r="M16" s="58">
        <f t="shared" si="17"/>
        <v>50</v>
      </c>
      <c r="N16" s="55"/>
      <c r="O16" s="55"/>
      <c r="P16" s="55"/>
      <c r="Q16" s="55"/>
      <c r="R16" s="55"/>
      <c r="S16" s="55"/>
      <c r="T16" s="55"/>
      <c r="U16" s="55"/>
      <c r="V16" s="55"/>
      <c r="W16" s="55"/>
      <c r="X16" s="55"/>
      <c r="Y16" s="55"/>
    </row>
    <row r="17" spans="1:18">
      <c r="A17" s="119" t="s">
        <v>74</v>
      </c>
      <c r="B17" s="57">
        <f>_xlfn.XLOOKUP($A17,Inputs!$A:$A,Inputs!B:B,,0)</f>
        <v>14554.3</v>
      </c>
      <c r="C17" s="57">
        <f>_xlfn.XLOOKUP($A17,Inputs!$A:$A,Inputs!C:C,,0)</f>
        <v>14362.800000000001</v>
      </c>
      <c r="D17" s="57">
        <f>_xlfn.XLOOKUP($A17,Inputs!$A:$A,Inputs!D:D,,0)</f>
        <v>12438.8</v>
      </c>
      <c r="E17" s="57">
        <f>_xlfn.XLOOKUP($A17,Inputs!$A:$A,Inputs!E:E,,0)</f>
        <v>10922.6</v>
      </c>
      <c r="F17" s="57">
        <f>_xlfn.XLOOKUP($A17,Inputs!$A:$A,Inputs!F:F,,0)</f>
        <v>9319.8000000000011</v>
      </c>
      <c r="G17" s="57">
        <f>_xlfn.XLOOKUP($A17,Inputs!$A:$A,Inputs!G:G,,0)</f>
        <v>7656.5</v>
      </c>
      <c r="H17" s="57">
        <f>_xlfn.XLOOKUP($A17,Inputs!$A:$A,Inputs!H:H,,0)</f>
        <v>6330.4</v>
      </c>
      <c r="I17" s="57">
        <f>_xlfn.XLOOKUP($A17,Inputs!$A:$A,Inputs!I:I,,0)</f>
        <v>4925</v>
      </c>
      <c r="J17" s="57">
        <f>_xlfn.XLOOKUP($A17,Inputs!$A:$A,Inputs!J:J,,0)</f>
        <v>3547.1000000000004</v>
      </c>
      <c r="K17" s="57">
        <f>_xlfn.XLOOKUP($A17,Inputs!$A:$A,Inputs!K:K,,0)</f>
        <v>2781.8</v>
      </c>
      <c r="L17" s="57">
        <f>_xlfn.XLOOKUP($A17,Inputs!$A:$A,Inputs!L:L,,0)</f>
        <v>0</v>
      </c>
      <c r="M17" s="58">
        <f>_xlfn.XLOOKUP($A17,Inputs!$A:$A,Inputs!M:M,,0)</f>
        <v>0</v>
      </c>
      <c r="N17" s="310"/>
    </row>
    <row r="18" spans="1:18">
      <c r="A18" s="121" t="s">
        <v>552</v>
      </c>
      <c r="B18" s="57">
        <f>_xlfn.XLOOKUP($A18,Inputs!$A:$A,Inputs!B:B,,0)</f>
        <v>-1358</v>
      </c>
      <c r="C18" s="57">
        <f>_xlfn.XLOOKUP($A18,Inputs!$A:$A,Inputs!C:C,,0)</f>
        <v>1724</v>
      </c>
      <c r="D18" s="57">
        <f>_xlfn.XLOOKUP($A18,Inputs!$A:$A,Inputs!D:D,,0)</f>
        <v>-197</v>
      </c>
      <c r="E18" s="57">
        <f>_xlfn.XLOOKUP($A18,Inputs!$A:$A,Inputs!E:E,,0)</f>
        <v>-555</v>
      </c>
      <c r="F18" s="57">
        <f>_xlfn.XLOOKUP($A18,Inputs!$A:$A,Inputs!F:F,,0)</f>
        <v>-5108</v>
      </c>
      <c r="G18" s="57">
        <f>_xlfn.XLOOKUP($A18,Inputs!$A:$A,Inputs!G:G,,0)</f>
        <v>0</v>
      </c>
      <c r="H18" s="57">
        <f>_xlfn.XLOOKUP($A18,Inputs!$A:$A,Inputs!H:H,,0)</f>
        <v>32</v>
      </c>
      <c r="I18" s="57">
        <f>_xlfn.XLOOKUP($A18,Inputs!$A:$A,Inputs!I:I,,0)</f>
        <v>-18</v>
      </c>
      <c r="J18" s="57">
        <f>_xlfn.XLOOKUP($A18,Inputs!$A:$A,Inputs!J:J,,0)</f>
        <v>-192</v>
      </c>
      <c r="K18" s="57">
        <f>_xlfn.XLOOKUP($A18,Inputs!$A:$A,Inputs!K:K,,0)</f>
        <v>-409</v>
      </c>
      <c r="L18" s="57">
        <f>_xlfn.XLOOKUP($A18,Inputs!$A:$A,Inputs!L:L,,0)</f>
        <v>0</v>
      </c>
      <c r="M18" s="58">
        <f>_xlfn.XLOOKUP($A18,Inputs!$A:$A,Inputs!M:M,,0)</f>
        <v>0</v>
      </c>
    </row>
    <row r="19" spans="1:18">
      <c r="A19" s="119" t="s">
        <v>70</v>
      </c>
      <c r="B19" s="57">
        <f>B11-B15+B17</f>
        <v>21508.3</v>
      </c>
      <c r="C19" s="57">
        <f t="shared" ref="C19:M19" si="18">C11-C15+C17</f>
        <v>19626.800000000003</v>
      </c>
      <c r="D19" s="57">
        <f t="shared" si="18"/>
        <v>18379.8</v>
      </c>
      <c r="E19" s="57">
        <f t="shared" si="18"/>
        <v>15420.6</v>
      </c>
      <c r="F19" s="57">
        <f t="shared" si="18"/>
        <v>11795.800000000001</v>
      </c>
      <c r="G19" s="57">
        <f t="shared" si="18"/>
        <v>9232.5</v>
      </c>
      <c r="H19" s="57">
        <f t="shared" si="18"/>
        <v>7249.4</v>
      </c>
      <c r="I19" s="57">
        <f t="shared" si="18"/>
        <v>5305</v>
      </c>
      <c r="J19" s="57">
        <f t="shared" si="18"/>
        <v>3853.1000000000004</v>
      </c>
      <c r="K19" s="57">
        <f t="shared" si="18"/>
        <v>3184.8</v>
      </c>
      <c r="L19" s="57">
        <f t="shared" si="18"/>
        <v>203</v>
      </c>
      <c r="M19" s="58">
        <f t="shared" si="18"/>
        <v>50</v>
      </c>
    </row>
    <row r="20" spans="1:18">
      <c r="A20" s="120" t="s">
        <v>553</v>
      </c>
      <c r="B20" s="59">
        <f t="shared" ref="B20" si="19">IFERROR(B19/B$5,"-")</f>
        <v>0.63779319752097974</v>
      </c>
      <c r="C20" s="59">
        <f t="shared" ref="C20" si="20">IFERROR(C19/C$5,"-")</f>
        <v>0.62078694331983819</v>
      </c>
      <c r="D20" s="59">
        <f t="shared" ref="D20" si="21">IFERROR(D19/D$5,"-")</f>
        <v>0.6188901609535995</v>
      </c>
      <c r="E20" s="59">
        <f t="shared" ref="E20" si="22">IFERROR(E19/E$5,"-")</f>
        <v>0.61692270763322132</v>
      </c>
      <c r="F20" s="59">
        <f t="shared" ref="F20" si="23">IFERROR(F19/F$5,"-")</f>
        <v>0.58522524310379054</v>
      </c>
      <c r="G20" s="59">
        <f t="shared" ref="G20" si="24">IFERROR(G19/G$5,"-")</f>
        <v>0.58455742687096368</v>
      </c>
      <c r="H20" s="59">
        <f t="shared" ref="H20" si="25">IFERROR(H19/H$5,"-")</f>
        <v>0.61997776447447184</v>
      </c>
      <c r="I20" s="59">
        <f t="shared" ref="I20" si="26">IFERROR(I19/I$5,"-")</f>
        <v>0.60072471973728914</v>
      </c>
      <c r="J20" s="59">
        <f t="shared" ref="J20" si="27">IFERROR(J19/J$5,"-")</f>
        <v>0.56830383480825963</v>
      </c>
      <c r="K20" s="59">
        <f t="shared" ref="K20" si="28">IFERROR(K19/K$5,"-")</f>
        <v>0.57852861035422343</v>
      </c>
      <c r="L20" s="59">
        <f t="shared" ref="L20" si="29">IFERROR(L19/L$5,"-")</f>
        <v>4.6399999999999997E-2</v>
      </c>
      <c r="M20" s="60">
        <f t="shared" ref="M20" si="30">IFERROR(M19/M$5,"-")</f>
        <v>1.3854253255749516E-2</v>
      </c>
      <c r="P20" s="310"/>
      <c r="Q20" s="310"/>
      <c r="R20" s="310"/>
    </row>
    <row r="21" spans="1:18">
      <c r="A21" s="119" t="s">
        <v>288</v>
      </c>
      <c r="B21" s="57">
        <f>_xlfn.XLOOKUP($A21,Inputs!$A:$A,Inputs!B:B,,0)</f>
        <v>-797</v>
      </c>
      <c r="C21" s="57">
        <f>_xlfn.XLOOKUP($A21,Inputs!$A:$A,Inputs!C:C,,0)</f>
        <v>-1141</v>
      </c>
      <c r="D21" s="57">
        <f>_xlfn.XLOOKUP($A21,Inputs!$A:$A,Inputs!D:D,,0)</f>
        <v>-979</v>
      </c>
      <c r="E21" s="57">
        <f>_xlfn.XLOOKUP($A21,Inputs!$A:$A,Inputs!E:E,,0)</f>
        <v>-525</v>
      </c>
      <c r="F21" s="57">
        <f>_xlfn.XLOOKUP($A21,Inputs!$A:$A,Inputs!F:F,,0)</f>
        <v>-323</v>
      </c>
      <c r="G21" s="57">
        <f>_xlfn.XLOOKUP($A21,Inputs!$A:$A,Inputs!G:G,,0)</f>
        <v>-44</v>
      </c>
      <c r="H21" s="57">
        <f>_xlfn.XLOOKUP($A21,Inputs!$A:$A,Inputs!H:H,,0)</f>
        <v>153</v>
      </c>
      <c r="I21" s="57">
        <f>_xlfn.XLOOKUP($A21,Inputs!$A:$A,Inputs!I:I,,0)</f>
        <v>-74</v>
      </c>
      <c r="J21" s="57">
        <f>_xlfn.XLOOKUP($A21,Inputs!$A:$A,Inputs!J:J,,0)</f>
        <v>-19</v>
      </c>
      <c r="K21" s="57">
        <f>_xlfn.XLOOKUP($A21,Inputs!$A:$A,Inputs!K:K,,0)</f>
        <v>-83</v>
      </c>
      <c r="L21" s="57">
        <f>_xlfn.XLOOKUP($A21,Inputs!$A:$A,Inputs!L:L,,0)</f>
        <v>-59</v>
      </c>
      <c r="M21" s="58">
        <f>_xlfn.XLOOKUP($A21,Inputs!$A:$A,Inputs!M:M,,0)</f>
        <v>-13</v>
      </c>
    </row>
    <row r="22" spans="1:18">
      <c r="A22" s="120" t="s">
        <v>554</v>
      </c>
      <c r="B22" s="59">
        <f t="shared" ref="B22" si="31">IFERROR(B21/B$5,"-")</f>
        <v>-2.3633721792248614E-2</v>
      </c>
      <c r="C22" s="59">
        <f t="shared" ref="C22" si="32">IFERROR(C21/C$5,"-")</f>
        <v>-3.608932186234818E-2</v>
      </c>
      <c r="D22" s="59">
        <f t="shared" ref="D22" si="33">IFERROR(D21/D$5,"-")</f>
        <v>-3.2965182840595325E-2</v>
      </c>
      <c r="E22" s="59">
        <f t="shared" ref="E22" si="34">IFERROR(E21/E$5,"-")</f>
        <v>-2.100336053768603E-2</v>
      </c>
      <c r="F22" s="59">
        <f t="shared" ref="F22" si="35">IFERROR(F21/F$5,"-")</f>
        <v>-1.6025004961301846E-2</v>
      </c>
      <c r="G22" s="59">
        <f t="shared" ref="G22" si="36">IFERROR(G21/G$5,"-")</f>
        <v>-2.785868051158668E-3</v>
      </c>
      <c r="H22" s="59">
        <f t="shared" ref="H22" si="37">IFERROR(H21/H$5,"-")</f>
        <v>1.308475156076285E-2</v>
      </c>
      <c r="I22" s="59">
        <f t="shared" ref="I22" si="38">IFERROR(I21/I$5,"-")</f>
        <v>-8.3795719624051631E-3</v>
      </c>
      <c r="J22" s="59">
        <f t="shared" ref="J22" si="39">IFERROR(J21/J$5,"-")</f>
        <v>-2.8023598820058997E-3</v>
      </c>
      <c r="K22" s="59">
        <f t="shared" ref="K22" si="40">IFERROR(K21/K$5,"-")</f>
        <v>-1.5077202543142598E-2</v>
      </c>
      <c r="L22" s="59">
        <f t="shared" ref="L22" si="41">IFERROR(L21/L$5,"-")</f>
        <v>-1.3485714285714285E-2</v>
      </c>
      <c r="M22" s="60">
        <f t="shared" ref="M22" si="42">IFERROR(M21/M$5,"-")</f>
        <v>-3.6021058464948737E-3</v>
      </c>
    </row>
    <row r="23" spans="1:18">
      <c r="A23" s="119" t="s">
        <v>83</v>
      </c>
      <c r="B23" s="57">
        <f>_xlfn.XLOOKUP($A23,Inputs!$A:$A,Inputs!B:B,,0)</f>
        <v>5408</v>
      </c>
      <c r="C23" s="57">
        <f>_xlfn.XLOOKUP($A23,Inputs!$A:$A,Inputs!C:C,,0)</f>
        <v>4492</v>
      </c>
      <c r="D23" s="57">
        <f>_xlfn.XLOOKUP($A23,Inputs!$A:$A,Inputs!D:D,,0)</f>
        <v>5116</v>
      </c>
      <c r="E23" s="57">
        <f>_xlfn.XLOOKUP($A23,Inputs!$A:$A,Inputs!E:E,,0)</f>
        <v>2761</v>
      </c>
      <c r="F23" s="57">
        <f>_xlfn.XLOOKUP($A23,Inputs!$A:$A,Inputs!F:F,,0)</f>
        <v>1867</v>
      </c>
      <c r="G23" s="57">
        <f>_xlfn.XLOOKUP($A23,Inputs!$A:$A,Inputs!G:G,,0)</f>
        <v>1211</v>
      </c>
      <c r="H23" s="57">
        <f>_xlfn.XLOOKUP($A23,Inputs!$A:$A,Inputs!H:H,,0)</f>
        <v>559</v>
      </c>
      <c r="I23" s="57">
        <f>_xlfn.XLOOKUP($A23,Inputs!$A:$A,Inputs!I:I,,0)</f>
        <v>187</v>
      </c>
      <c r="J23" s="57">
        <f>_xlfn.XLOOKUP($A23,Inputs!$A:$A,Inputs!J:J,,0)</f>
        <v>123</v>
      </c>
      <c r="K23" s="57">
        <f>_xlfn.XLOOKUP($A23,Inputs!$A:$A,Inputs!K:K,,0)</f>
        <v>267</v>
      </c>
      <c r="L23" s="57">
        <f>_xlfn.XLOOKUP($A23,Inputs!$A:$A,Inputs!L:L,,0)</f>
        <v>112</v>
      </c>
      <c r="M23" s="58">
        <f>_xlfn.XLOOKUP($A23,Inputs!$A:$A,Inputs!M:M,,0)</f>
        <v>17</v>
      </c>
    </row>
    <row r="24" spans="1:18">
      <c r="A24" s="120" t="s">
        <v>249</v>
      </c>
      <c r="B24" s="59">
        <f t="shared" ref="B24" si="43">IFERROR(B23/B$5,"-")</f>
        <v>0.16036532930047742</v>
      </c>
      <c r="C24" s="59">
        <f t="shared" ref="C24" si="44">IFERROR(C23/C$5,"-")</f>
        <v>0.14207995951417005</v>
      </c>
      <c r="D24" s="59">
        <f t="shared" ref="D24" si="45">IFERROR(D23/D$5,"-")</f>
        <v>0.17226749276045525</v>
      </c>
      <c r="E24" s="59">
        <f t="shared" ref="E24" si="46">IFERROR(E23/E$5,"-")</f>
        <v>0.11045767322771644</v>
      </c>
      <c r="F24" s="59">
        <f t="shared" ref="F24" si="47">IFERROR(F23/F$5,"-")</f>
        <v>9.2627505457432036E-2</v>
      </c>
      <c r="G24" s="59">
        <f t="shared" ref="G24" si="48">IFERROR(G23/G$5,"-")</f>
        <v>7.6674686589844249E-2</v>
      </c>
      <c r="H24" s="59">
        <f t="shared" ref="H24" si="49">IFERROR(H23/H$5,"-")</f>
        <v>4.7806379885401519E-2</v>
      </c>
      <c r="I24" s="59">
        <f t="shared" ref="I24" si="50">IFERROR(I23/I$5,"-")</f>
        <v>2.117540482391575E-2</v>
      </c>
      <c r="J24" s="59">
        <f t="shared" ref="J24" si="51">IFERROR(J23/J$5,"-")</f>
        <v>1.8141592920353982E-2</v>
      </c>
      <c r="K24" s="59">
        <f t="shared" ref="K24" si="52">IFERROR(K23/K$5,"-")</f>
        <v>4.8501362397820165E-2</v>
      </c>
      <c r="L24" s="59">
        <f t="shared" ref="L24" si="53">IFERROR(L23/L$5,"-")</f>
        <v>2.5600000000000001E-2</v>
      </c>
      <c r="M24" s="60">
        <f t="shared" ref="M24" si="54">IFERROR(M23/M$5,"-")</f>
        <v>4.7104461069548348E-3</v>
      </c>
    </row>
    <row r="25" spans="1:18">
      <c r="A25" s="119" t="s">
        <v>546</v>
      </c>
      <c r="B25" s="59">
        <f t="shared" ref="B25" si="55">IFERROR(B24/C24-1,"-")</f>
        <v>0.12869774068653017</v>
      </c>
      <c r="C25" s="59">
        <f t="shared" ref="C25" si="56">IFERROR(C24/D24-1,"-")</f>
        <v>-0.1752363882619582</v>
      </c>
      <c r="D25" s="59">
        <f t="shared" ref="D25" si="57">IFERROR(D24/E24-1,"-")</f>
        <v>0.5595792281928067</v>
      </c>
      <c r="E25" s="59">
        <f t="shared" ref="E25" si="58">IFERROR(E24/F24-1,"-")</f>
        <v>0.19249323062552337</v>
      </c>
      <c r="F25" s="59">
        <f t="shared" ref="F25" si="59">IFERROR(F24/G24-1,"-")</f>
        <v>0.20805848158107465</v>
      </c>
      <c r="G25" s="59">
        <f t="shared" ref="G25" si="60">IFERROR(G24/H24-1,"-")</f>
        <v>0.60385887351529322</v>
      </c>
      <c r="H25" s="59">
        <f t="shared" ref="H25" si="61">IFERROR(H24/I24-1,"-")</f>
        <v>1.2576371164063147</v>
      </c>
      <c r="I25" s="59">
        <f t="shared" ref="I25" si="62">IFERROR(I24/J24-1,"-")</f>
        <v>0.16722963175730721</v>
      </c>
      <c r="J25" s="59">
        <f t="shared" ref="J25" si="63">IFERROR(J24/K24-1,"-")</f>
        <v>-0.62595704484438697</v>
      </c>
      <c r="K25" s="59">
        <f t="shared" ref="K25" si="64">IFERROR(K24/L24-1,"-")</f>
        <v>0.89458446866485009</v>
      </c>
      <c r="L25" s="59">
        <f t="shared" ref="L25" si="65">IFERROR(L24/M24-1,"-")</f>
        <v>4.4347294117647067</v>
      </c>
      <c r="M25" s="60" t="str">
        <f>IFERROR(M24/#REF!-1,"-")</f>
        <v>-</v>
      </c>
    </row>
    <row r="26" spans="1:18">
      <c r="A26" s="120" t="s">
        <v>555</v>
      </c>
      <c r="B26" s="61">
        <f>B39-C39</f>
        <v>1080</v>
      </c>
      <c r="C26" s="61">
        <f t="shared" ref="C26:M26" si="66">C39-D39</f>
        <v>30</v>
      </c>
      <c r="D26" s="61">
        <f t="shared" si="66"/>
        <v>-2178</v>
      </c>
      <c r="E26" s="61">
        <f t="shared" si="66"/>
        <v>3188</v>
      </c>
      <c r="F26" s="61">
        <f t="shared" si="66"/>
        <v>1224</v>
      </c>
      <c r="G26" s="61">
        <f t="shared" si="66"/>
        <v>0</v>
      </c>
      <c r="H26" s="61">
        <f t="shared" si="66"/>
        <v>971</v>
      </c>
      <c r="I26" s="61">
        <f t="shared" si="66"/>
        <v>1089</v>
      </c>
      <c r="J26" s="61">
        <f t="shared" si="66"/>
        <v>-577</v>
      </c>
      <c r="K26" s="61">
        <f t="shared" si="66"/>
        <v>2311</v>
      </c>
      <c r="L26" s="61">
        <f t="shared" si="66"/>
        <v>0</v>
      </c>
      <c r="M26" s="58">
        <f t="shared" si="66"/>
        <v>0</v>
      </c>
    </row>
    <row r="27" spans="1:18">
      <c r="A27" s="119" t="s">
        <v>153</v>
      </c>
      <c r="B27" s="57">
        <f>_xlfn.XLOOKUP($A27,Inputs!$A:$A,Inputs!B:B,,0)</f>
        <v>0</v>
      </c>
      <c r="C27" s="57">
        <f>_xlfn.XLOOKUP($A27,Inputs!$A:$A,Inputs!C:C,,0)</f>
        <v>0</v>
      </c>
      <c r="D27" s="57">
        <f>_xlfn.XLOOKUP($A27,Inputs!$A:$A,Inputs!D:D,,0)</f>
        <v>0</v>
      </c>
      <c r="E27" s="57">
        <f>_xlfn.XLOOKUP($A27,Inputs!$A:$A,Inputs!E:E,,0)</f>
        <v>0</v>
      </c>
      <c r="F27" s="57">
        <f>_xlfn.XLOOKUP($A27,Inputs!$A:$A,Inputs!F:F,,0)</f>
        <v>0</v>
      </c>
      <c r="G27" s="57">
        <f>_xlfn.XLOOKUP($A27,Inputs!$A:$A,Inputs!G:G,,0)</f>
        <v>0</v>
      </c>
      <c r="H27" s="57">
        <f>_xlfn.XLOOKUP($A27,Inputs!$A:$A,Inputs!H:H,,0)</f>
        <v>0</v>
      </c>
      <c r="I27" s="57">
        <f>_xlfn.XLOOKUP($A27,Inputs!$A:$A,Inputs!I:I,,0)</f>
        <v>0</v>
      </c>
      <c r="J27" s="57">
        <f>_xlfn.XLOOKUP($A27,Inputs!$A:$A,Inputs!J:J,,0)</f>
        <v>0</v>
      </c>
      <c r="K27" s="57">
        <f>_xlfn.XLOOKUP($A27,Inputs!$A:$A,Inputs!K:K,,0)</f>
        <v>0</v>
      </c>
      <c r="L27" s="57">
        <f>_xlfn.XLOOKUP($A27,Inputs!$A:$A,Inputs!L:L,,0)</f>
        <v>0</v>
      </c>
      <c r="M27" s="58">
        <f>_xlfn.XLOOKUP($A27,Inputs!$A:$A,Inputs!M:M,,0)</f>
        <v>0</v>
      </c>
    </row>
    <row r="28" spans="1:18">
      <c r="A28" s="121" t="s">
        <v>556</v>
      </c>
      <c r="B28" s="57">
        <f>_xlfn.XLOOKUP($A28,Inputs!$A:$A,Inputs!B:B,,0)</f>
        <v>-6045.3</v>
      </c>
      <c r="C28" s="57">
        <f>_xlfn.XLOOKUP($A28,Inputs!$A:$A,Inputs!C:C,,0)</f>
        <v>0</v>
      </c>
      <c r="D28" s="57">
        <f>_xlfn.XLOOKUP($A28,Inputs!$A:$A,Inputs!D:D,,0)</f>
        <v>-600</v>
      </c>
      <c r="E28" s="57">
        <f>_xlfn.XLOOKUP($A28,Inputs!$A:$A,Inputs!E:E,,0)</f>
        <v>0</v>
      </c>
      <c r="F28" s="57">
        <f>_xlfn.XLOOKUP($A28,Inputs!$A:$A,Inputs!F:F,,0)</f>
        <v>0</v>
      </c>
      <c r="G28" s="57">
        <f>_xlfn.XLOOKUP($A28,Inputs!$A:$A,Inputs!G:G,,0)</f>
        <v>0</v>
      </c>
      <c r="H28" s="57">
        <f>_xlfn.XLOOKUP($A28,Inputs!$A:$A,Inputs!H:H,,0)</f>
        <v>0</v>
      </c>
      <c r="I28" s="57">
        <f>_xlfn.XLOOKUP($A28,Inputs!$A:$A,Inputs!I:I,,0)</f>
        <v>0</v>
      </c>
      <c r="J28" s="57">
        <f>_xlfn.XLOOKUP($A28,Inputs!$A:$A,Inputs!J:J,,0)</f>
        <v>0</v>
      </c>
      <c r="K28" s="57">
        <f>_xlfn.XLOOKUP($A28,Inputs!$A:$A,Inputs!K:K,,0)</f>
        <v>0</v>
      </c>
      <c r="L28" s="57">
        <f>_xlfn.XLOOKUP($A28,Inputs!$A:$A,Inputs!L:L,,0)</f>
        <v>0</v>
      </c>
      <c r="M28" s="58">
        <f>_xlfn.XLOOKUP($A28,Inputs!$A:$A,Inputs!M:M,,0)</f>
        <v>0</v>
      </c>
    </row>
    <row r="29" spans="1:18">
      <c r="A29" s="119" t="s">
        <v>145</v>
      </c>
      <c r="B29" s="61">
        <f>SUM(B26:B28)</f>
        <v>-4965.3</v>
      </c>
      <c r="C29" s="61">
        <f t="shared" ref="C29:M29" si="67">SUM(C26:C28)</f>
        <v>30</v>
      </c>
      <c r="D29" s="61">
        <f t="shared" si="67"/>
        <v>-2778</v>
      </c>
      <c r="E29" s="61">
        <f t="shared" si="67"/>
        <v>3188</v>
      </c>
      <c r="F29" s="61">
        <f t="shared" si="67"/>
        <v>1224</v>
      </c>
      <c r="G29" s="61">
        <f t="shared" si="67"/>
        <v>0</v>
      </c>
      <c r="H29" s="61">
        <f t="shared" si="67"/>
        <v>971</v>
      </c>
      <c r="I29" s="61">
        <f t="shared" si="67"/>
        <v>1089</v>
      </c>
      <c r="J29" s="61">
        <f t="shared" si="67"/>
        <v>-577</v>
      </c>
      <c r="K29" s="61">
        <f t="shared" si="67"/>
        <v>2311</v>
      </c>
      <c r="L29" s="61">
        <f t="shared" si="67"/>
        <v>0</v>
      </c>
      <c r="M29" s="58">
        <f t="shared" si="67"/>
        <v>0</v>
      </c>
    </row>
    <row r="30" spans="1:18">
      <c r="A30" s="121" t="s">
        <v>557</v>
      </c>
      <c r="B30" s="61">
        <f>+B29-(B58-C29)</f>
        <v>-21507.3</v>
      </c>
      <c r="C30" s="61">
        <f t="shared" ref="C30:M30" si="68">+C29-(C58-D29)</f>
        <v>-19680</v>
      </c>
      <c r="D30" s="61">
        <f t="shared" si="68"/>
        <v>-17006</v>
      </c>
      <c r="E30" s="61">
        <f t="shared" si="68"/>
        <v>-13599</v>
      </c>
      <c r="F30" s="61">
        <f t="shared" si="68"/>
        <v>-15149</v>
      </c>
      <c r="G30" s="61">
        <f t="shared" si="68"/>
        <v>-9389</v>
      </c>
      <c r="H30" s="61">
        <f t="shared" si="68"/>
        <v>-8328</v>
      </c>
      <c r="I30" s="61">
        <f t="shared" si="68"/>
        <v>-6017</v>
      </c>
      <c r="J30" s="61">
        <f t="shared" si="68"/>
        <v>-1660</v>
      </c>
      <c r="K30" s="61">
        <f t="shared" si="68"/>
        <v>-89</v>
      </c>
      <c r="L30" s="61">
        <f t="shared" si="68"/>
        <v>0</v>
      </c>
      <c r="M30" s="58">
        <f t="shared" si="68"/>
        <v>0</v>
      </c>
    </row>
    <row r="31" spans="1:18">
      <c r="A31" s="119" t="s">
        <v>558</v>
      </c>
      <c r="B31" s="61">
        <f>+B30+B33</f>
        <v>-22012.2</v>
      </c>
      <c r="C31" s="61">
        <f t="shared" ref="C31:L31" si="69">+C30+C33</f>
        <v>-21348.7</v>
      </c>
      <c r="D31" s="61">
        <f t="shared" si="69"/>
        <v>-17794.3</v>
      </c>
      <c r="E31" s="61">
        <f t="shared" si="69"/>
        <v>-13599</v>
      </c>
      <c r="F31" s="61">
        <f t="shared" si="69"/>
        <v>-15149</v>
      </c>
      <c r="G31" s="61">
        <f t="shared" si="69"/>
        <v>-9389</v>
      </c>
      <c r="H31" s="61">
        <f t="shared" si="69"/>
        <v>-8402.7999999999993</v>
      </c>
      <c r="I31" s="61">
        <f t="shared" si="69"/>
        <v>-6204.2</v>
      </c>
      <c r="J31" s="61">
        <f t="shared" si="69"/>
        <v>-2031.9</v>
      </c>
      <c r="K31" s="61">
        <f t="shared" si="69"/>
        <v>-515.9</v>
      </c>
      <c r="L31" s="61">
        <f t="shared" si="69"/>
        <v>0</v>
      </c>
      <c r="M31" s="58">
        <f t="shared" ref="M31" si="70">+M30+M33</f>
        <v>0</v>
      </c>
    </row>
    <row r="32" spans="1:18">
      <c r="A32" s="121" t="s">
        <v>150</v>
      </c>
      <c r="B32" s="57">
        <f>_xlfn.XLOOKUP($A32,Inputs!$A:$A,Inputs!B:B,,0)</f>
        <v>-348.6</v>
      </c>
      <c r="C32" s="57">
        <f>_xlfn.XLOOKUP($A32,Inputs!$A:$A,Inputs!C:C,,0)</f>
        <v>-407.7</v>
      </c>
      <c r="D32" s="57">
        <f>_xlfn.XLOOKUP($A32,Inputs!$A:$A,Inputs!D:D,,0)</f>
        <v>-524.6</v>
      </c>
      <c r="E32" s="57">
        <f>_xlfn.XLOOKUP($A32,Inputs!$A:$A,Inputs!E:E,,0)</f>
        <v>-497.9</v>
      </c>
      <c r="F32" s="57">
        <f>_xlfn.XLOOKUP($A32,Inputs!$A:$A,Inputs!F:F,,0)</f>
        <v>-253</v>
      </c>
      <c r="G32" s="57">
        <f>_xlfn.XLOOKUP($A32,Inputs!$A:$A,Inputs!G:G,,0)</f>
        <v>-212.5</v>
      </c>
      <c r="H32" s="57">
        <f>_xlfn.XLOOKUP($A32,Inputs!$A:$A,Inputs!H:H,,0)</f>
        <v>-227</v>
      </c>
      <c r="I32" s="57">
        <f>_xlfn.XLOOKUP($A32,Inputs!$A:$A,Inputs!I:I,,0)</f>
        <v>-184.8</v>
      </c>
      <c r="J32" s="57">
        <f>_xlfn.XLOOKUP($A32,Inputs!$A:$A,Inputs!J:J,,0)</f>
        <v>-169.2</v>
      </c>
      <c r="K32" s="57">
        <f>_xlfn.XLOOKUP($A32,Inputs!$A:$A,Inputs!K:K,,0)</f>
        <v>-144.5</v>
      </c>
      <c r="L32" s="57">
        <f>_xlfn.XLOOKUP($A32,Inputs!$A:$A,Inputs!L:L,,0)</f>
        <v>0</v>
      </c>
      <c r="M32" s="58">
        <f>_xlfn.XLOOKUP($A32,Inputs!$A:$A,Inputs!M:M,,0)</f>
        <v>0</v>
      </c>
    </row>
    <row r="33" spans="1:13">
      <c r="A33" s="119" t="s">
        <v>151</v>
      </c>
      <c r="B33" s="57">
        <f>_xlfn.XLOOKUP($A33,Inputs!$A:$A,Inputs!B:B,,0)</f>
        <v>-504.9</v>
      </c>
      <c r="C33" s="57">
        <f>_xlfn.XLOOKUP($A33,Inputs!$A:$A,Inputs!C:C,,0)</f>
        <v>-1668.6999999999998</v>
      </c>
      <c r="D33" s="57">
        <f>_xlfn.XLOOKUP($A33,Inputs!$A:$A,Inputs!D:D,,0)</f>
        <v>-788.3</v>
      </c>
      <c r="E33" s="57">
        <f>_xlfn.XLOOKUP($A33,Inputs!$A:$A,Inputs!E:E,,0)</f>
        <v>0</v>
      </c>
      <c r="F33" s="57">
        <f>_xlfn.XLOOKUP($A33,Inputs!$A:$A,Inputs!F:F,,0)</f>
        <v>0</v>
      </c>
      <c r="G33" s="57">
        <f>_xlfn.XLOOKUP($A33,Inputs!$A:$A,Inputs!G:G,,0)</f>
        <v>0</v>
      </c>
      <c r="H33" s="57">
        <f>_xlfn.XLOOKUP($A33,Inputs!$A:$A,Inputs!H:H,,0)</f>
        <v>-74.8</v>
      </c>
      <c r="I33" s="57">
        <f>_xlfn.XLOOKUP($A33,Inputs!$A:$A,Inputs!I:I,,0)</f>
        <v>-187.2</v>
      </c>
      <c r="J33" s="57">
        <f>_xlfn.XLOOKUP($A33,Inputs!$A:$A,Inputs!J:J,,0)</f>
        <v>-371.9</v>
      </c>
      <c r="K33" s="57">
        <f>_xlfn.XLOOKUP($A33,Inputs!$A:$A,Inputs!K:K,,0)</f>
        <v>-426.9</v>
      </c>
      <c r="L33" s="57">
        <f>_xlfn.XLOOKUP($A33,Inputs!$A:$A,Inputs!L:L,,0)</f>
        <v>0</v>
      </c>
      <c r="M33" s="58">
        <f>_xlfn.XLOOKUP($A33,Inputs!$A:$A,Inputs!M:M,,0)</f>
        <v>0</v>
      </c>
    </row>
    <row r="34" spans="1:13">
      <c r="A34" s="120" t="s">
        <v>146</v>
      </c>
      <c r="B34" s="61">
        <f t="shared" ref="B34:M34" si="71">+B32+B33</f>
        <v>-853.5</v>
      </c>
      <c r="C34" s="61">
        <f t="shared" si="71"/>
        <v>-2076.3999999999996</v>
      </c>
      <c r="D34" s="61">
        <f t="shared" si="71"/>
        <v>-1312.9</v>
      </c>
      <c r="E34" s="61">
        <f t="shared" si="71"/>
        <v>-497.9</v>
      </c>
      <c r="F34" s="61">
        <f t="shared" si="71"/>
        <v>-253</v>
      </c>
      <c r="G34" s="61">
        <f t="shared" si="71"/>
        <v>-212.5</v>
      </c>
      <c r="H34" s="61">
        <f t="shared" si="71"/>
        <v>-301.8</v>
      </c>
      <c r="I34" s="61">
        <f t="shared" si="71"/>
        <v>-372</v>
      </c>
      <c r="J34" s="61">
        <f t="shared" si="71"/>
        <v>-541.09999999999991</v>
      </c>
      <c r="K34" s="61">
        <f t="shared" si="71"/>
        <v>-571.4</v>
      </c>
      <c r="L34" s="61">
        <f t="shared" si="71"/>
        <v>0</v>
      </c>
      <c r="M34" s="62">
        <f t="shared" si="71"/>
        <v>0</v>
      </c>
    </row>
    <row r="35" spans="1:13">
      <c r="A35" s="119" t="s">
        <v>144</v>
      </c>
      <c r="B35" s="61">
        <f t="shared" ref="B35:M35" si="72">+B27+B28</f>
        <v>-6045.3</v>
      </c>
      <c r="C35" s="61">
        <f t="shared" si="72"/>
        <v>0</v>
      </c>
      <c r="D35" s="61">
        <f t="shared" si="72"/>
        <v>-600</v>
      </c>
      <c r="E35" s="61">
        <f t="shared" si="72"/>
        <v>0</v>
      </c>
      <c r="F35" s="61">
        <f t="shared" si="72"/>
        <v>0</v>
      </c>
      <c r="G35" s="61">
        <f t="shared" si="72"/>
        <v>0</v>
      </c>
      <c r="H35" s="61">
        <f t="shared" si="72"/>
        <v>0</v>
      </c>
      <c r="I35" s="61">
        <f t="shared" si="72"/>
        <v>0</v>
      </c>
      <c r="J35" s="61">
        <f t="shared" si="72"/>
        <v>0</v>
      </c>
      <c r="K35" s="61">
        <f t="shared" si="72"/>
        <v>0</v>
      </c>
      <c r="L35" s="61">
        <f t="shared" si="72"/>
        <v>0</v>
      </c>
      <c r="M35" s="62">
        <f t="shared" si="72"/>
        <v>0</v>
      </c>
    </row>
    <row r="36" spans="1:13">
      <c r="A36" s="121" t="s">
        <v>559</v>
      </c>
      <c r="B36" s="59">
        <f>IFERROR(B35/B23,"-")</f>
        <v>-1.1178439349112426</v>
      </c>
      <c r="C36" s="59">
        <f t="shared" ref="C36:M36" si="73">IFERROR(C35/C23,"-")</f>
        <v>0</v>
      </c>
      <c r="D36" s="59">
        <f t="shared" si="73"/>
        <v>-0.11727912431587177</v>
      </c>
      <c r="E36" s="59">
        <f t="shared" si="73"/>
        <v>0</v>
      </c>
      <c r="F36" s="59">
        <f t="shared" si="73"/>
        <v>0</v>
      </c>
      <c r="G36" s="59">
        <f t="shared" si="73"/>
        <v>0</v>
      </c>
      <c r="H36" s="59">
        <f t="shared" si="73"/>
        <v>0</v>
      </c>
      <c r="I36" s="59">
        <f t="shared" si="73"/>
        <v>0</v>
      </c>
      <c r="J36" s="59">
        <f t="shared" si="73"/>
        <v>0</v>
      </c>
      <c r="K36" s="59">
        <f t="shared" si="73"/>
        <v>0</v>
      </c>
      <c r="L36" s="59">
        <f t="shared" si="73"/>
        <v>0</v>
      </c>
      <c r="M36" s="60">
        <f t="shared" si="73"/>
        <v>0</v>
      </c>
    </row>
    <row r="37" spans="1:13">
      <c r="A37" s="7"/>
      <c r="B37" s="49"/>
      <c r="C37" s="49"/>
      <c r="D37" s="49"/>
      <c r="E37" s="49"/>
      <c r="F37" s="49"/>
      <c r="G37" s="49"/>
      <c r="H37" s="49"/>
      <c r="I37" s="49"/>
      <c r="J37" s="49"/>
      <c r="K37" s="49"/>
      <c r="L37" s="49"/>
      <c r="M37" s="49"/>
    </row>
    <row r="38" spans="1:13" ht="20.25">
      <c r="A38" s="1120" t="s">
        <v>560</v>
      </c>
      <c r="B38" s="1120"/>
      <c r="C38" s="1120"/>
      <c r="D38" s="1120"/>
      <c r="E38" s="1120"/>
      <c r="F38" s="1120"/>
      <c r="G38" s="1120"/>
      <c r="H38" s="1120"/>
      <c r="I38" s="1120"/>
      <c r="J38" s="1120"/>
      <c r="K38" s="1120"/>
      <c r="L38" s="1120"/>
      <c r="M38" s="1120"/>
    </row>
    <row r="39" spans="1:13">
      <c r="A39" s="122" t="s">
        <v>291</v>
      </c>
      <c r="B39" s="57">
        <f>_xlfn.XLOOKUP($A39,Inputs!$A:$A,Inputs!B:B,,0)</f>
        <v>7138</v>
      </c>
      <c r="C39" s="57">
        <f>_xlfn.XLOOKUP($A39,Inputs!$A:$A,Inputs!C:C,,0)</f>
        <v>6058</v>
      </c>
      <c r="D39" s="57">
        <f>_xlfn.XLOOKUP($A39,Inputs!$A:$A,Inputs!D:D,,0)</f>
        <v>6028</v>
      </c>
      <c r="E39" s="57">
        <f>_xlfn.XLOOKUP($A39,Inputs!$A:$A,Inputs!E:E,,0)</f>
        <v>8206</v>
      </c>
      <c r="F39" s="57">
        <f>_xlfn.XLOOKUP($A39,Inputs!$A:$A,Inputs!F:F,,0)</f>
        <v>5018</v>
      </c>
      <c r="G39" s="57">
        <f>_xlfn.XLOOKUP($A39,Inputs!$A:$A,Inputs!G:G,,0)</f>
        <v>3794</v>
      </c>
      <c r="H39" s="57">
        <f>_xlfn.XLOOKUP($A39,Inputs!$A:$A,Inputs!H:H,,0)</f>
        <v>3794</v>
      </c>
      <c r="I39" s="57">
        <f>_xlfn.XLOOKUP($A39,Inputs!$A:$A,Inputs!I:I,,0)</f>
        <v>2823</v>
      </c>
      <c r="J39" s="57">
        <f>_xlfn.XLOOKUP($A39,Inputs!$A:$A,Inputs!J:J,,0)</f>
        <v>1734</v>
      </c>
      <c r="K39" s="57">
        <f>_xlfn.XLOOKUP($A39,Inputs!$A:$A,Inputs!K:K,,0)</f>
        <v>2311</v>
      </c>
      <c r="L39" s="57">
        <f>_xlfn.XLOOKUP($A39,Inputs!$A:$A,Inputs!L:L,,0)</f>
        <v>0</v>
      </c>
      <c r="M39" s="58">
        <f>_xlfn.XLOOKUP($A39,Inputs!$A:$A,Inputs!M:M,,0)</f>
        <v>0</v>
      </c>
    </row>
    <row r="40" spans="1:13">
      <c r="A40" s="120" t="s">
        <v>561</v>
      </c>
      <c r="B40" s="57">
        <f>_xlfn.XLOOKUP($A40,Inputs!$A:$A,Inputs!B:B,,0)</f>
        <v>1287</v>
      </c>
      <c r="C40" s="57">
        <f>_xlfn.XLOOKUP($A40,Inputs!$A:$A,Inputs!C:C,,0)</f>
        <v>989</v>
      </c>
      <c r="D40" s="57">
        <f>_xlfn.XLOOKUP($A40,Inputs!$A:$A,Inputs!D:D,,0)</f>
        <v>804</v>
      </c>
      <c r="E40" s="57">
        <f>_xlfn.XLOOKUP($A40,Inputs!$A:$A,Inputs!E:E,,0)</f>
        <v>611</v>
      </c>
      <c r="F40" s="57">
        <f>_xlfn.XLOOKUP($A40,Inputs!$A:$A,Inputs!F:F,,0)</f>
        <v>454</v>
      </c>
      <c r="G40" s="57">
        <f>_xlfn.XLOOKUP($A40,Inputs!$A:$A,Inputs!G:G,,0)</f>
        <v>363</v>
      </c>
      <c r="H40" s="57">
        <f>_xlfn.XLOOKUP($A40,Inputs!$A:$A,Inputs!H:H,,0)</f>
        <v>0</v>
      </c>
      <c r="I40" s="57">
        <f>_xlfn.XLOOKUP($A40,Inputs!$A:$A,Inputs!I:I,,0)</f>
        <v>0</v>
      </c>
      <c r="J40" s="57">
        <f>_xlfn.XLOOKUP($A40,Inputs!$A:$A,Inputs!J:J,,0)</f>
        <v>0</v>
      </c>
      <c r="K40" s="57">
        <f>_xlfn.XLOOKUP($A40,Inputs!$A:$A,Inputs!K:K,,0)</f>
        <v>0</v>
      </c>
      <c r="L40" s="57">
        <f>_xlfn.XLOOKUP($A40,Inputs!$A:$A,Inputs!L:L,,0)</f>
        <v>0</v>
      </c>
      <c r="M40" s="58">
        <f>_xlfn.XLOOKUP($A40,Inputs!$A:$A,Inputs!M:M,,0)</f>
        <v>0</v>
      </c>
    </row>
    <row r="41" spans="1:13">
      <c r="A41" s="122" t="s">
        <v>293</v>
      </c>
      <c r="B41" s="57">
        <f>_xlfn.XLOOKUP($A41,Inputs!$A:$A,Inputs!B:B,,0)</f>
        <v>0</v>
      </c>
      <c r="C41" s="57">
        <f>_xlfn.XLOOKUP($A41,Inputs!$A:$A,Inputs!C:C,,0)</f>
        <v>0</v>
      </c>
      <c r="D41" s="57">
        <f>_xlfn.XLOOKUP($A41,Inputs!$A:$A,Inputs!D:D,,0)</f>
        <v>0</v>
      </c>
      <c r="E41" s="57">
        <f>_xlfn.XLOOKUP($A41,Inputs!$A:$A,Inputs!E:E,,0)</f>
        <v>0</v>
      </c>
      <c r="F41" s="57">
        <f>_xlfn.XLOOKUP($A41,Inputs!$A:$A,Inputs!F:F,,0)</f>
        <v>0</v>
      </c>
      <c r="G41" s="57">
        <f>_xlfn.XLOOKUP($A41,Inputs!$A:$A,Inputs!G:G,,0)</f>
        <v>0</v>
      </c>
      <c r="H41" s="57">
        <f>_xlfn.XLOOKUP($A41,Inputs!$A:$A,Inputs!H:H,,0)</f>
        <v>0</v>
      </c>
      <c r="I41" s="57">
        <f>_xlfn.XLOOKUP($A41,Inputs!$A:$A,Inputs!I:I,,0)</f>
        <v>0</v>
      </c>
      <c r="J41" s="57">
        <f>_xlfn.XLOOKUP($A41,Inputs!$A:$A,Inputs!J:J,,0)</f>
        <v>0</v>
      </c>
      <c r="K41" s="57">
        <f>_xlfn.XLOOKUP($A41,Inputs!$A:$A,Inputs!K:K,,0)</f>
        <v>0</v>
      </c>
      <c r="L41" s="57">
        <f>_xlfn.XLOOKUP($A41,Inputs!$A:$A,Inputs!L:L,,0)</f>
        <v>0</v>
      </c>
      <c r="M41" s="58">
        <f>_xlfn.XLOOKUP($A41,Inputs!$A:$A,Inputs!M:M,,0)</f>
        <v>0</v>
      </c>
    </row>
    <row r="42" spans="1:13">
      <c r="A42" s="120" t="s">
        <v>562</v>
      </c>
      <c r="B42" s="57">
        <f>_xlfn.XLOOKUP($A42,Inputs!$A:$A,Inputs!B:B,,0)</f>
        <v>4423</v>
      </c>
      <c r="C42" s="57">
        <f>_xlfn.XLOOKUP($A42,Inputs!$A:$A,Inputs!C:C,,0)</f>
        <v>4379</v>
      </c>
      <c r="D42" s="57">
        <f>_xlfn.XLOOKUP($A42,Inputs!$A:$A,Inputs!D:D,,0)</f>
        <v>4386</v>
      </c>
      <c r="E42" s="57">
        <f>_xlfn.XLOOKUP($A42,Inputs!$A:$A,Inputs!E:E,,0)</f>
        <v>3493</v>
      </c>
      <c r="F42" s="57">
        <f>_xlfn.XLOOKUP($A42,Inputs!$A:$A,Inputs!F:F,,0)</f>
        <v>2513</v>
      </c>
      <c r="G42" s="57">
        <f>_xlfn.XLOOKUP($A42,Inputs!$A:$A,Inputs!G:G,,0)</f>
        <v>787</v>
      </c>
      <c r="H42" s="57">
        <f>_xlfn.XLOOKUP($A42,Inputs!$A:$A,Inputs!H:H,,0)</f>
        <v>787</v>
      </c>
      <c r="I42" s="57">
        <f>_xlfn.XLOOKUP($A42,Inputs!$A:$A,Inputs!I:I,,0)</f>
        <v>641</v>
      </c>
      <c r="J42" s="57">
        <f>_xlfn.XLOOKUP($A42,Inputs!$A:$A,Inputs!J:J,,0)</f>
        <v>545</v>
      </c>
      <c r="K42" s="57">
        <f>_xlfn.XLOOKUP($A42,Inputs!$A:$A,Inputs!K:K,,0)</f>
        <v>471</v>
      </c>
      <c r="L42" s="57">
        <f>_xlfn.XLOOKUP($A42,Inputs!$A:$A,Inputs!L:L,,0)</f>
        <v>0</v>
      </c>
      <c r="M42" s="58">
        <f>_xlfn.XLOOKUP($A42,Inputs!$A:$A,Inputs!M:M,,0)</f>
        <v>0</v>
      </c>
    </row>
    <row r="43" spans="1:13">
      <c r="A43" s="122" t="s">
        <v>563</v>
      </c>
      <c r="B43" s="57">
        <f>_xlfn.XLOOKUP($A43,Inputs!$A:$A,Inputs!B:B,,0)</f>
        <v>33454</v>
      </c>
      <c r="C43" s="57">
        <f>_xlfn.XLOOKUP($A43,Inputs!$A:$A,Inputs!C:C,,0)</f>
        <v>34591</v>
      </c>
      <c r="D43" s="57">
        <f>_xlfn.XLOOKUP($A43,Inputs!$A:$A,Inputs!D:D,,0)</f>
        <v>30643</v>
      </c>
      <c r="E43" s="57">
        <f>_xlfn.XLOOKUP($A43,Inputs!$A:$A,Inputs!E:E,,0)</f>
        <v>24768</v>
      </c>
      <c r="F43" s="57">
        <f>_xlfn.XLOOKUP($A43,Inputs!$A:$A,Inputs!F:F,,0)</f>
        <v>24378</v>
      </c>
      <c r="G43" s="57">
        <f>_xlfn.XLOOKUP($A43,Inputs!$A:$A,Inputs!G:G,,0)</f>
        <v>19322</v>
      </c>
      <c r="H43" s="57">
        <f>_xlfn.XLOOKUP($A43,Inputs!$A:$A,Inputs!H:H,,0)</f>
        <v>19685</v>
      </c>
      <c r="I43" s="57">
        <f>_xlfn.XLOOKUP($A43,Inputs!$A:$A,Inputs!I:I,,0)</f>
        <v>14812</v>
      </c>
      <c r="J43" s="57">
        <f>_xlfn.XLOOKUP($A43,Inputs!$A:$A,Inputs!J:J,,0)</f>
        <v>11308</v>
      </c>
      <c r="K43" s="57">
        <f>_xlfn.XLOOKUP($A43,Inputs!$A:$A,Inputs!K:K,,0)</f>
        <v>6891</v>
      </c>
      <c r="L43" s="57">
        <f>_xlfn.XLOOKUP($A43,Inputs!$A:$A,Inputs!L:L,,0)</f>
        <v>0</v>
      </c>
      <c r="M43" s="58">
        <f>_xlfn.XLOOKUP($A43,Inputs!$A:$A,Inputs!M:M,,0)</f>
        <v>0</v>
      </c>
    </row>
    <row r="44" spans="1:13">
      <c r="A44" s="123" t="s">
        <v>58</v>
      </c>
      <c r="B44" s="63">
        <f>_xlfn.XLOOKUP($A44,Inputs!$A:$A,Inputs!B:B,,0)</f>
        <v>48732</v>
      </c>
      <c r="C44" s="63">
        <f>_xlfn.XLOOKUP($A44,Inputs!$A:$A,Inputs!C:C,,0)</f>
        <v>48595</v>
      </c>
      <c r="D44" s="63">
        <f>_xlfn.XLOOKUP($A44,Inputs!$A:$A,Inputs!D:D,,0)</f>
        <v>44585</v>
      </c>
      <c r="E44" s="63">
        <f>_xlfn.XLOOKUP($A44,Inputs!$A:$A,Inputs!E:E,,0)</f>
        <v>39280</v>
      </c>
      <c r="F44" s="63">
        <f>_xlfn.XLOOKUP($A44,Inputs!$A:$A,Inputs!F:F,,0)</f>
        <v>33976</v>
      </c>
      <c r="G44" s="63">
        <f>_xlfn.XLOOKUP($A44,Inputs!$A:$A,Inputs!G:G,,0)</f>
        <v>25974</v>
      </c>
      <c r="H44" s="63">
        <f>_xlfn.XLOOKUP($A44,Inputs!$A:$A,Inputs!H:H,,0)</f>
        <v>25974</v>
      </c>
      <c r="I44" s="63">
        <f>_xlfn.XLOOKUP($A44,Inputs!$A:$A,Inputs!I:I,,0)</f>
        <v>19013</v>
      </c>
      <c r="J44" s="63">
        <f>_xlfn.XLOOKUP($A44,Inputs!$A:$A,Inputs!J:J,,0)</f>
        <v>13587</v>
      </c>
      <c r="K44" s="63">
        <f>_xlfn.XLOOKUP($A44,Inputs!$A:$A,Inputs!K:K,,0)</f>
        <v>10203</v>
      </c>
      <c r="L44" s="63">
        <f>_xlfn.XLOOKUP($A44,Inputs!$A:$A,Inputs!L:L,,0)</f>
        <v>0</v>
      </c>
      <c r="M44" s="63">
        <f>_xlfn.XLOOKUP($A44,Inputs!$A:$A,Inputs!M:M,,0)</f>
        <v>0</v>
      </c>
    </row>
    <row r="45" spans="1:13">
      <c r="B45"/>
      <c r="C45"/>
      <c r="D45"/>
      <c r="E45"/>
      <c r="F45"/>
      <c r="G45"/>
      <c r="H45"/>
      <c r="I45"/>
      <c r="J45"/>
      <c r="K45"/>
      <c r="L45"/>
      <c r="M45"/>
    </row>
    <row r="46" spans="1:13">
      <c r="B46"/>
      <c r="C46"/>
      <c r="D46"/>
      <c r="E46"/>
      <c r="F46"/>
      <c r="G46"/>
      <c r="H46"/>
      <c r="I46"/>
      <c r="J46"/>
      <c r="K46"/>
      <c r="L46"/>
      <c r="M46"/>
    </row>
    <row r="47" spans="1:13" ht="20.25">
      <c r="A47" s="1120" t="s">
        <v>564</v>
      </c>
      <c r="B47" s="1120"/>
      <c r="C47" s="1120"/>
      <c r="D47" s="1120"/>
      <c r="E47" s="1120"/>
      <c r="F47" s="1120"/>
      <c r="G47" s="1120"/>
      <c r="H47" s="1120"/>
      <c r="I47" s="1120"/>
      <c r="J47" s="1120"/>
      <c r="K47" s="1120"/>
      <c r="L47" s="1120"/>
      <c r="M47" s="1120"/>
    </row>
    <row r="48" spans="1:13">
      <c r="A48" s="124" t="s">
        <v>297</v>
      </c>
      <c r="B48" s="63">
        <f>_xlfn.XLOOKUP($A48,Inputs!$A:$A,Inputs!B:B,,0)</f>
        <v>8861</v>
      </c>
      <c r="C48" s="63">
        <f>_xlfn.XLOOKUP($A48,Inputs!$A:$A,Inputs!C:C,,0)</f>
        <v>7931</v>
      </c>
      <c r="D48" s="63">
        <f>_xlfn.XLOOKUP($A48,Inputs!$A:$A,Inputs!D:D,,0)</f>
        <v>8489</v>
      </c>
      <c r="E48" s="63">
        <f>_xlfn.XLOOKUP($A48,Inputs!$A:$A,Inputs!E:E,,0)</f>
        <v>7806</v>
      </c>
      <c r="F48" s="63">
        <f>_xlfn.XLOOKUP($A48,Inputs!$A:$A,Inputs!F:F,,0)</f>
        <v>6856</v>
      </c>
      <c r="G48" s="63">
        <f>_xlfn.XLOOKUP($A48,Inputs!$A:$A,Inputs!G:G,,0)</f>
        <v>6487</v>
      </c>
      <c r="H48" s="63">
        <f>_xlfn.XLOOKUP($A48,Inputs!$A:$A,Inputs!H:H,,0)</f>
        <v>6487</v>
      </c>
      <c r="I48" s="63">
        <f>_xlfn.XLOOKUP($A48,Inputs!$A:$A,Inputs!I:I,,0)</f>
        <v>5466</v>
      </c>
      <c r="J48" s="63">
        <f>_xlfn.XLOOKUP($A48,Inputs!$A:$A,Inputs!J:J,,0)</f>
        <v>4587</v>
      </c>
      <c r="K48" s="63">
        <f>_xlfn.XLOOKUP($A48,Inputs!$A:$A,Inputs!K:K,,0)</f>
        <v>3530</v>
      </c>
      <c r="L48" s="63">
        <f>_xlfn.XLOOKUP($A48,Inputs!$A:$A,Inputs!L:L,,0)</f>
        <v>0</v>
      </c>
      <c r="M48" s="63">
        <f>_xlfn.XLOOKUP($A48,Inputs!$A:$A,Inputs!M:M,,0)</f>
        <v>0</v>
      </c>
    </row>
    <row r="49" spans="1:13">
      <c r="A49" s="125" t="s">
        <v>565</v>
      </c>
      <c r="B49" s="57">
        <f>_xlfn.XLOOKUP($A49,Inputs!$A:$A,Inputs!B:B,,0)</f>
        <v>0</v>
      </c>
      <c r="C49" s="57">
        <f>_xlfn.XLOOKUP($A49,Inputs!$A:$A,Inputs!C:C,,0)</f>
        <v>0</v>
      </c>
      <c r="D49" s="57">
        <f>_xlfn.XLOOKUP($A49,Inputs!$A:$A,Inputs!D:D,,0)</f>
        <v>0</v>
      </c>
      <c r="E49" s="57">
        <f>_xlfn.XLOOKUP($A49,Inputs!$A:$A,Inputs!E:E,,0)</f>
        <v>0</v>
      </c>
      <c r="F49" s="57">
        <f>_xlfn.XLOOKUP($A49,Inputs!$A:$A,Inputs!F:F,,0)</f>
        <v>0</v>
      </c>
      <c r="G49" s="57">
        <f>_xlfn.XLOOKUP($A49,Inputs!$A:$A,Inputs!G:G,,0)</f>
        <v>0</v>
      </c>
      <c r="H49" s="57">
        <f>_xlfn.XLOOKUP($A49,Inputs!$A:$A,Inputs!H:H,,0)</f>
        <v>0</v>
      </c>
      <c r="I49" s="57">
        <f>_xlfn.XLOOKUP($A49,Inputs!$A:$A,Inputs!I:I,,0)</f>
        <v>0</v>
      </c>
      <c r="J49" s="57">
        <f>_xlfn.XLOOKUP($A49,Inputs!$A:$A,Inputs!J:J,,0)</f>
        <v>0</v>
      </c>
      <c r="K49" s="57">
        <f>_xlfn.XLOOKUP($A49,Inputs!$A:$A,Inputs!K:K,,0)</f>
        <v>0</v>
      </c>
      <c r="L49" s="57">
        <f>_xlfn.XLOOKUP($A49,Inputs!$A:$A,Inputs!L:L,,0)</f>
        <v>0</v>
      </c>
      <c r="M49" s="57">
        <f>_xlfn.XLOOKUP($A49,Inputs!$A:$A,Inputs!M:M,,0)</f>
        <v>0</v>
      </c>
    </row>
    <row r="50" spans="1:13">
      <c r="A50" s="119" t="s">
        <v>566</v>
      </c>
      <c r="B50" s="57">
        <f>_xlfn.XLOOKUP($A50,Inputs!$A:$A,Inputs!B:B,,0)</f>
        <v>383</v>
      </c>
      <c r="C50" s="57">
        <f>_xlfn.XLOOKUP($A50,Inputs!$A:$A,Inputs!C:C,,0)</f>
        <v>356</v>
      </c>
      <c r="D50" s="57">
        <f>_xlfn.XLOOKUP($A50,Inputs!$A:$A,Inputs!D:D,,0)</f>
        <v>315</v>
      </c>
      <c r="E50" s="57">
        <f>_xlfn.XLOOKUP($A50,Inputs!$A:$A,Inputs!E:E,,0)</f>
        <v>256</v>
      </c>
      <c r="F50" s="57">
        <f>_xlfn.XLOOKUP($A50,Inputs!$A:$A,Inputs!F:F,,0)</f>
        <v>191</v>
      </c>
      <c r="G50" s="57">
        <f>_xlfn.XLOOKUP($A50,Inputs!$A:$A,Inputs!G:G,,0)</f>
        <v>0</v>
      </c>
      <c r="H50" s="57">
        <f>_xlfn.XLOOKUP($A50,Inputs!$A:$A,Inputs!H:H,,0)</f>
        <v>0</v>
      </c>
      <c r="I50" s="57">
        <f>_xlfn.XLOOKUP($A50,Inputs!$A:$A,Inputs!I:I,,0)</f>
        <v>0</v>
      </c>
      <c r="J50" s="57">
        <f>_xlfn.XLOOKUP($A50,Inputs!$A:$A,Inputs!J:J,,0)</f>
        <v>0</v>
      </c>
      <c r="K50" s="57">
        <f>_xlfn.XLOOKUP($A50,Inputs!$A:$A,Inputs!K:K,,0)</f>
        <v>0</v>
      </c>
      <c r="L50" s="57">
        <f>_xlfn.XLOOKUP($A50,Inputs!$A:$A,Inputs!L:L,,0)</f>
        <v>0</v>
      </c>
      <c r="M50" s="57">
        <f>_xlfn.XLOOKUP($A50,Inputs!$A:$A,Inputs!M:M,,0)</f>
        <v>0</v>
      </c>
    </row>
    <row r="51" spans="1:13">
      <c r="A51" s="120" t="s">
        <v>567</v>
      </c>
      <c r="B51" s="57">
        <f>_xlfn.XLOOKUP($A51,Inputs!$A:$A,Inputs!B:B,,0)</f>
        <v>3264</v>
      </c>
      <c r="C51" s="57">
        <f>_xlfn.XLOOKUP($A51,Inputs!$A:$A,Inputs!C:C,,0)</f>
        <v>2423</v>
      </c>
      <c r="D51" s="57">
        <f>_xlfn.XLOOKUP($A51,Inputs!$A:$A,Inputs!D:D,,0)</f>
        <v>3044</v>
      </c>
      <c r="E51" s="57">
        <f>_xlfn.XLOOKUP($A51,Inputs!$A:$A,Inputs!E:E,,0)</f>
        <v>2464</v>
      </c>
      <c r="F51" s="57">
        <f>_xlfn.XLOOKUP($A51,Inputs!$A:$A,Inputs!F:F,,0)</f>
        <v>1577</v>
      </c>
      <c r="G51" s="57">
        <f>_xlfn.XLOOKUP($A51,Inputs!$A:$A,Inputs!G:G,,0)</f>
        <v>1242</v>
      </c>
      <c r="H51" s="57">
        <f>_xlfn.XLOOKUP($A51,Inputs!$A:$A,Inputs!H:H,,0)</f>
        <v>1238</v>
      </c>
      <c r="I51" s="57">
        <f>_xlfn.XLOOKUP($A51,Inputs!$A:$A,Inputs!I:I,,0)</f>
        <v>933</v>
      </c>
      <c r="J51" s="57">
        <f>_xlfn.XLOOKUP($A51,Inputs!$A:$A,Inputs!J:J,,0)</f>
        <v>641</v>
      </c>
      <c r="K51" s="57">
        <f>_xlfn.XLOOKUP($A51,Inputs!$A:$A,Inputs!K:K,,0)</f>
        <v>487</v>
      </c>
      <c r="L51" s="57">
        <f>_xlfn.XLOOKUP($A51,Inputs!$A:$A,Inputs!L:L,,0)</f>
        <v>0</v>
      </c>
      <c r="M51" s="57">
        <f>_xlfn.XLOOKUP($A51,Inputs!$A:$A,Inputs!M:M,,0)</f>
        <v>0</v>
      </c>
    </row>
    <row r="52" spans="1:13">
      <c r="A52" s="124" t="s">
        <v>568</v>
      </c>
      <c r="B52" s="63">
        <f>_xlfn.XLOOKUP($A52,Inputs!$A:$A,Inputs!B:B,,0)</f>
        <v>19283</v>
      </c>
      <c r="C52" s="63">
        <f>_xlfn.XLOOKUP($A52,Inputs!$A:$A,Inputs!C:C,,0)</f>
        <v>19886</v>
      </c>
      <c r="D52" s="63">
        <f>_xlfn.XLOOKUP($A52,Inputs!$A:$A,Inputs!D:D,,0)</f>
        <v>20246</v>
      </c>
      <c r="E52" s="63">
        <f>_xlfn.XLOOKUP($A52,Inputs!$A:$A,Inputs!E:E,,0)</f>
        <v>20409</v>
      </c>
      <c r="F52" s="63">
        <f>_xlfn.XLOOKUP($A52,Inputs!$A:$A,Inputs!F:F,,0)</f>
        <v>19538</v>
      </c>
      <c r="G52" s="63">
        <f>_xlfn.XLOOKUP($A52,Inputs!$A:$A,Inputs!G:G,,0)</f>
        <v>14249</v>
      </c>
      <c r="H52" s="63">
        <f>_xlfn.XLOOKUP($A52,Inputs!$A:$A,Inputs!H:H,,0)</f>
        <v>14249</v>
      </c>
      <c r="I52" s="63">
        <f>_xlfn.XLOOKUP($A52,Inputs!$A:$A,Inputs!I:I,,0)</f>
        <v>9965</v>
      </c>
      <c r="J52" s="63">
        <f>_xlfn.XLOOKUP($A52,Inputs!$A:$A,Inputs!J:J,,0)</f>
        <v>6320</v>
      </c>
      <c r="K52" s="63">
        <f>_xlfn.XLOOKUP($A52,Inputs!$A:$A,Inputs!K:K,,0)</f>
        <v>4449</v>
      </c>
      <c r="L52" s="63">
        <f>_xlfn.XLOOKUP($A52,Inputs!$A:$A,Inputs!L:L,,0)</f>
        <v>0</v>
      </c>
      <c r="M52" s="63">
        <f>_xlfn.XLOOKUP($A52,Inputs!$A:$A,Inputs!M:M,,0)</f>
        <v>0</v>
      </c>
    </row>
    <row r="53" spans="1:13">
      <c r="A53" s="125" t="s">
        <v>569</v>
      </c>
      <c r="B53" s="57">
        <f>_xlfn.XLOOKUP($A53,Inputs!$A:$A,Inputs!B:B,,0)</f>
        <v>14143</v>
      </c>
      <c r="C53" s="57">
        <f>_xlfn.XLOOKUP($A53,Inputs!$A:$A,Inputs!C:C,,0)</f>
        <v>14353</v>
      </c>
      <c r="D53" s="57">
        <f>_xlfn.XLOOKUP($A53,Inputs!$A:$A,Inputs!D:D,,0)</f>
        <v>14693</v>
      </c>
      <c r="E53" s="57">
        <f>_xlfn.XLOOKUP($A53,Inputs!$A:$A,Inputs!E:E,,0)</f>
        <v>15809</v>
      </c>
      <c r="F53" s="57">
        <f>_xlfn.XLOOKUP($A53,Inputs!$A:$A,Inputs!F:F,,0)</f>
        <v>14759</v>
      </c>
      <c r="G53" s="57">
        <f>_xlfn.XLOOKUP($A53,Inputs!$A:$A,Inputs!G:G,,0)</f>
        <v>10360</v>
      </c>
      <c r="H53" s="57">
        <f>_xlfn.XLOOKUP($A53,Inputs!$A:$A,Inputs!H:H,,0)</f>
        <v>10388</v>
      </c>
      <c r="I53" s="57">
        <f>_xlfn.XLOOKUP($A53,Inputs!$A:$A,Inputs!I:I,,0)</f>
        <v>6529</v>
      </c>
      <c r="J53" s="57">
        <f>_xlfn.XLOOKUP($A53,Inputs!$A:$A,Inputs!J:J,,0)</f>
        <v>3394</v>
      </c>
      <c r="K53" s="57">
        <f>_xlfn.XLOOKUP($A53,Inputs!$A:$A,Inputs!K:K,,0)</f>
        <v>2400</v>
      </c>
      <c r="L53" s="57">
        <f>_xlfn.XLOOKUP($A53,Inputs!$A:$A,Inputs!L:L,,0)</f>
        <v>0</v>
      </c>
      <c r="M53" s="57">
        <f>_xlfn.XLOOKUP($A53,Inputs!$A:$A,Inputs!M:M,,0)</f>
        <v>0</v>
      </c>
    </row>
    <row r="54" spans="1:13">
      <c r="A54" s="119" t="s">
        <v>570</v>
      </c>
      <c r="B54" s="57">
        <f>_xlfn.XLOOKUP($A54,Inputs!$A:$A,Inputs!B:B,,0)</f>
        <v>2046</v>
      </c>
      <c r="C54" s="57">
        <f>_xlfn.XLOOKUP($A54,Inputs!$A:$A,Inputs!C:C,,0)</f>
        <v>2223</v>
      </c>
      <c r="D54" s="57">
        <f>_xlfn.XLOOKUP($A54,Inputs!$A:$A,Inputs!D:D,,0)</f>
        <v>2408</v>
      </c>
      <c r="E54" s="57">
        <f>_xlfn.XLOOKUP($A54,Inputs!$A:$A,Inputs!E:E,,0)</f>
        <v>1946</v>
      </c>
      <c r="F54" s="57">
        <f>_xlfn.XLOOKUP($A54,Inputs!$A:$A,Inputs!F:F,,0)</f>
        <v>1423</v>
      </c>
      <c r="G54" s="57">
        <f>_xlfn.XLOOKUP($A54,Inputs!$A:$A,Inputs!G:G,,0)</f>
        <v>0</v>
      </c>
      <c r="H54" s="57">
        <f>_xlfn.XLOOKUP($A54,Inputs!$A:$A,Inputs!H:H,,0)</f>
        <v>0</v>
      </c>
      <c r="I54" s="57">
        <f>_xlfn.XLOOKUP($A54,Inputs!$A:$A,Inputs!I:I,,0)</f>
        <v>0</v>
      </c>
      <c r="J54" s="57">
        <f>_xlfn.XLOOKUP($A54,Inputs!$A:$A,Inputs!J:J,,0)</f>
        <v>0</v>
      </c>
      <c r="K54" s="57">
        <f>_xlfn.XLOOKUP($A54,Inputs!$A:$A,Inputs!K:K,,0)</f>
        <v>0</v>
      </c>
      <c r="L54" s="57">
        <f>_xlfn.XLOOKUP($A54,Inputs!$A:$A,Inputs!L:L,,0)</f>
        <v>0</v>
      </c>
      <c r="M54" s="57">
        <f>_xlfn.XLOOKUP($A54,Inputs!$A:$A,Inputs!M:M,,0)</f>
        <v>0</v>
      </c>
    </row>
    <row r="55" spans="1:13">
      <c r="A55" s="120" t="s">
        <v>571</v>
      </c>
      <c r="B55" s="57">
        <f>_xlfn.XLOOKUP($A55,Inputs!$A:$A,Inputs!B:B,,0)</f>
        <v>3094</v>
      </c>
      <c r="C55" s="57">
        <f>_xlfn.XLOOKUP($A55,Inputs!$A:$A,Inputs!C:C,,0)</f>
        <v>3310</v>
      </c>
      <c r="D55" s="57">
        <f>_xlfn.XLOOKUP($A55,Inputs!$A:$A,Inputs!D:D,,0)</f>
        <v>3145</v>
      </c>
      <c r="E55" s="57">
        <f>_xlfn.XLOOKUP($A55,Inputs!$A:$A,Inputs!E:E,,0)</f>
        <v>2654</v>
      </c>
      <c r="F55" s="57">
        <f>_xlfn.XLOOKUP($A55,Inputs!$A:$A,Inputs!F:F,,0)</f>
        <v>3356</v>
      </c>
      <c r="G55" s="57">
        <f>_xlfn.XLOOKUP($A55,Inputs!$A:$A,Inputs!G:G,,0)</f>
        <v>3889</v>
      </c>
      <c r="H55" s="57">
        <f>_xlfn.XLOOKUP($A55,Inputs!$A:$A,Inputs!H:H,,0)</f>
        <v>3861</v>
      </c>
      <c r="I55" s="57">
        <f>_xlfn.XLOOKUP($A55,Inputs!$A:$A,Inputs!I:I,,0)</f>
        <v>3436</v>
      </c>
      <c r="J55" s="57">
        <f>_xlfn.XLOOKUP($A55,Inputs!$A:$A,Inputs!J:J,,0)</f>
        <v>2926</v>
      </c>
      <c r="K55" s="57">
        <f>_xlfn.XLOOKUP($A55,Inputs!$A:$A,Inputs!K:K,,0)</f>
        <v>2049</v>
      </c>
      <c r="L55" s="57">
        <f>_xlfn.XLOOKUP($A55,Inputs!$A:$A,Inputs!L:L,,0)</f>
        <v>0</v>
      </c>
      <c r="M55" s="57">
        <f>_xlfn.XLOOKUP($A55,Inputs!$A:$A,Inputs!M:M,,0)</f>
        <v>0</v>
      </c>
    </row>
    <row r="56" spans="1:13">
      <c r="A56" s="124" t="s">
        <v>64</v>
      </c>
      <c r="B56" s="63">
        <f>_xlfn.XLOOKUP($A56,Inputs!$A:$A,Inputs!B:B,,0)</f>
        <v>28144</v>
      </c>
      <c r="C56" s="63">
        <f>_xlfn.XLOOKUP($A56,Inputs!$A:$A,Inputs!C:C,,0)</f>
        <v>27817</v>
      </c>
      <c r="D56" s="63">
        <f>_xlfn.XLOOKUP($A56,Inputs!$A:$A,Inputs!D:D,,0)</f>
        <v>28735</v>
      </c>
      <c r="E56" s="63">
        <f>_xlfn.XLOOKUP($A56,Inputs!$A:$A,Inputs!E:E,,0)</f>
        <v>28215</v>
      </c>
      <c r="F56" s="63">
        <f>_xlfn.XLOOKUP($A56,Inputs!$A:$A,Inputs!F:F,,0)</f>
        <v>26394</v>
      </c>
      <c r="G56" s="63">
        <f>_xlfn.XLOOKUP($A56,Inputs!$A:$A,Inputs!G:G,,0)</f>
        <v>20736</v>
      </c>
      <c r="H56" s="63">
        <f>_xlfn.XLOOKUP($A56,Inputs!$A:$A,Inputs!H:H,,0)</f>
        <v>20736</v>
      </c>
      <c r="I56" s="63">
        <f>_xlfn.XLOOKUP($A56,Inputs!$A:$A,Inputs!I:I,,0)</f>
        <v>15431</v>
      </c>
      <c r="J56" s="63">
        <f>_xlfn.XLOOKUP($A56,Inputs!$A:$A,Inputs!J:J,,0)</f>
        <v>10907</v>
      </c>
      <c r="K56" s="63">
        <f>_xlfn.XLOOKUP($A56,Inputs!$A:$A,Inputs!K:K,,0)</f>
        <v>7979</v>
      </c>
      <c r="L56" s="63">
        <f>_xlfn.XLOOKUP($A56,Inputs!$A:$A,Inputs!L:L,,0)</f>
        <v>0</v>
      </c>
      <c r="M56" s="63">
        <f>_xlfn.XLOOKUP($A56,Inputs!$A:$A,Inputs!M:M,,0)</f>
        <v>0</v>
      </c>
    </row>
    <row r="57" spans="1:13">
      <c r="B57"/>
      <c r="C57"/>
      <c r="D57"/>
      <c r="E57"/>
      <c r="F57"/>
      <c r="G57"/>
      <c r="H57"/>
      <c r="I57"/>
      <c r="J57"/>
      <c r="K57"/>
      <c r="L57"/>
      <c r="M57"/>
    </row>
    <row r="58" spans="1:13">
      <c r="A58" s="124" t="s">
        <v>298</v>
      </c>
      <c r="B58" s="63">
        <f>B49+B53+B50+B54</f>
        <v>16572</v>
      </c>
      <c r="C58" s="63">
        <f t="shared" ref="C58:M58" si="74">C49+C53+C50+C54</f>
        <v>16932</v>
      </c>
      <c r="D58" s="63">
        <f t="shared" si="74"/>
        <v>17416</v>
      </c>
      <c r="E58" s="63">
        <f t="shared" si="74"/>
        <v>18011</v>
      </c>
      <c r="F58" s="63">
        <f t="shared" si="74"/>
        <v>16373</v>
      </c>
      <c r="G58" s="63">
        <f t="shared" si="74"/>
        <v>10360</v>
      </c>
      <c r="H58" s="63">
        <f t="shared" si="74"/>
        <v>10388</v>
      </c>
      <c r="I58" s="63">
        <f t="shared" si="74"/>
        <v>6529</v>
      </c>
      <c r="J58" s="63">
        <f t="shared" si="74"/>
        <v>3394</v>
      </c>
      <c r="K58" s="63">
        <f t="shared" si="74"/>
        <v>2400</v>
      </c>
      <c r="L58" s="63">
        <f t="shared" si="74"/>
        <v>0</v>
      </c>
      <c r="M58" s="63">
        <f t="shared" si="74"/>
        <v>0</v>
      </c>
    </row>
    <row r="59" spans="1:13">
      <c r="A59" s="125" t="s">
        <v>87</v>
      </c>
      <c r="B59" s="59">
        <f>IFERROR(B58/B44,"-")</f>
        <v>0.34006402363949767</v>
      </c>
      <c r="C59" s="59">
        <f t="shared" ref="C59:M59" si="75">IFERROR(C58/C44,"-")</f>
        <v>0.34843090852968411</v>
      </c>
      <c r="D59" s="59">
        <f t="shared" si="75"/>
        <v>0.39062464954581139</v>
      </c>
      <c r="E59" s="59">
        <f t="shared" si="75"/>
        <v>0.45852851323828919</v>
      </c>
      <c r="F59" s="59">
        <f t="shared" si="75"/>
        <v>0.48189898752060278</v>
      </c>
      <c r="G59" s="59">
        <f t="shared" si="75"/>
        <v>0.39886039886039887</v>
      </c>
      <c r="H59" s="59">
        <f t="shared" si="75"/>
        <v>0.39993839993839991</v>
      </c>
      <c r="I59" s="59">
        <f t="shared" si="75"/>
        <v>0.34339662336296217</v>
      </c>
      <c r="J59" s="59">
        <f t="shared" si="75"/>
        <v>0.24979760064767792</v>
      </c>
      <c r="K59" s="59">
        <f t="shared" si="75"/>
        <v>0.23522493384298734</v>
      </c>
      <c r="L59" s="59" t="str">
        <f t="shared" si="75"/>
        <v>-</v>
      </c>
      <c r="M59" s="59" t="str">
        <f t="shared" si="75"/>
        <v>-</v>
      </c>
    </row>
    <row r="60" spans="1:13">
      <c r="A60" s="124" t="s">
        <v>572</v>
      </c>
      <c r="B60" s="63">
        <f>B58-B39</f>
        <v>9434</v>
      </c>
      <c r="C60" s="63">
        <f t="shared" ref="C60:M60" si="76">C58-C39</f>
        <v>10874</v>
      </c>
      <c r="D60" s="63">
        <f t="shared" si="76"/>
        <v>11388</v>
      </c>
      <c r="E60" s="63">
        <f t="shared" si="76"/>
        <v>9805</v>
      </c>
      <c r="F60" s="63">
        <f t="shared" si="76"/>
        <v>11355</v>
      </c>
      <c r="G60" s="63">
        <f t="shared" si="76"/>
        <v>6566</v>
      </c>
      <c r="H60" s="63">
        <f t="shared" si="76"/>
        <v>6594</v>
      </c>
      <c r="I60" s="63">
        <f t="shared" si="76"/>
        <v>3706</v>
      </c>
      <c r="J60" s="63">
        <f t="shared" si="76"/>
        <v>1660</v>
      </c>
      <c r="K60" s="63">
        <f t="shared" si="76"/>
        <v>89</v>
      </c>
      <c r="L60" s="63">
        <f t="shared" si="76"/>
        <v>0</v>
      </c>
      <c r="M60" s="63">
        <f t="shared" si="76"/>
        <v>0</v>
      </c>
    </row>
    <row r="61" spans="1:13">
      <c r="B61"/>
      <c r="C61"/>
      <c r="D61"/>
      <c r="E61"/>
      <c r="F61"/>
      <c r="G61"/>
      <c r="H61"/>
      <c r="I61"/>
      <c r="J61"/>
      <c r="K61"/>
      <c r="L61"/>
      <c r="M61"/>
    </row>
    <row r="62" spans="1:13" s="50" customFormat="1">
      <c r="A62" s="124" t="s">
        <v>573</v>
      </c>
      <c r="B62" s="63">
        <f>_xlfn.XLOOKUP($A62,Inputs!$A:$A,Inputs!B:B,,0)</f>
        <v>0</v>
      </c>
      <c r="C62" s="63">
        <f>_xlfn.XLOOKUP($A62,Inputs!$A:$A,Inputs!C:C,,0)</f>
        <v>0</v>
      </c>
      <c r="D62" s="63">
        <f>_xlfn.XLOOKUP($A62,Inputs!$A:$A,Inputs!D:D,,0)</f>
        <v>0</v>
      </c>
      <c r="E62" s="63">
        <f>_xlfn.XLOOKUP($A62,Inputs!$A:$A,Inputs!E:E,,0)</f>
        <v>0</v>
      </c>
      <c r="F62" s="63">
        <f>_xlfn.XLOOKUP($A62,Inputs!$A:$A,Inputs!F:F,,0)</f>
        <v>0</v>
      </c>
      <c r="G62" s="63">
        <f>_xlfn.XLOOKUP($A62,Inputs!$A:$A,Inputs!G:G,,0)</f>
        <v>0</v>
      </c>
      <c r="H62" s="63">
        <f>_xlfn.XLOOKUP($A62,Inputs!$A:$A,Inputs!H:H,,0)</f>
        <v>0</v>
      </c>
      <c r="I62" s="63">
        <f>_xlfn.XLOOKUP($A62,Inputs!$A:$A,Inputs!I:I,,0)</f>
        <v>0</v>
      </c>
      <c r="J62" s="63">
        <f>_xlfn.XLOOKUP($A62,Inputs!$A:$A,Inputs!J:J,,0)</f>
        <v>0</v>
      </c>
      <c r="K62" s="63">
        <f>_xlfn.XLOOKUP($A62,Inputs!$A:$A,Inputs!K:K,,0)</f>
        <v>0</v>
      </c>
      <c r="L62" s="63">
        <f>_xlfn.XLOOKUP($A62,Inputs!$A:$A,Inputs!L:L,,0)</f>
        <v>0</v>
      </c>
      <c r="M62" s="63">
        <f>_xlfn.XLOOKUP($A62,Inputs!$A:$A,Inputs!M:M,,0)</f>
        <v>0</v>
      </c>
    </row>
    <row r="63" spans="1:13">
      <c r="B63"/>
      <c r="C63"/>
      <c r="D63"/>
      <c r="E63"/>
      <c r="F63"/>
      <c r="G63"/>
      <c r="H63"/>
      <c r="I63"/>
      <c r="J63"/>
      <c r="K63"/>
      <c r="L63"/>
      <c r="M63"/>
    </row>
    <row r="64" spans="1:13">
      <c r="A64" s="124" t="s">
        <v>574</v>
      </c>
      <c r="B64" s="63">
        <f>_xlfn.XLOOKUP($A64,Inputs!$A:$A,Inputs!B:B,,0)</f>
        <v>20588</v>
      </c>
      <c r="C64" s="63">
        <f>_xlfn.XLOOKUP($A64,Inputs!$A:$A,Inputs!C:C,,0)</f>
        <v>20778</v>
      </c>
      <c r="D64" s="63">
        <f>_xlfn.XLOOKUP($A64,Inputs!$A:$A,Inputs!D:D,,0)</f>
        <v>15850</v>
      </c>
      <c r="E64" s="63">
        <f>_xlfn.XLOOKUP($A64,Inputs!$A:$A,Inputs!E:E,,0)</f>
        <v>11065</v>
      </c>
      <c r="F64" s="63">
        <f>_xlfn.XLOOKUP($A64,Inputs!$A:$A,Inputs!F:F,,0)</f>
        <v>7582</v>
      </c>
      <c r="G64" s="63">
        <f>_xlfn.XLOOKUP($A64,Inputs!$A:$A,Inputs!G:G,,0)</f>
        <v>5238</v>
      </c>
      <c r="H64" s="63">
        <f>_xlfn.XLOOKUP($A64,Inputs!$A:$A,Inputs!H:H,,0)</f>
        <v>5238</v>
      </c>
      <c r="I64" s="63">
        <f>_xlfn.XLOOKUP($A64,Inputs!$A:$A,Inputs!I:I,,0)</f>
        <v>3582</v>
      </c>
      <c r="J64" s="63">
        <f>_xlfn.XLOOKUP($A64,Inputs!$A:$A,Inputs!J:J,,0)</f>
        <v>2680</v>
      </c>
      <c r="K64" s="63">
        <f>_xlfn.XLOOKUP($A64,Inputs!$A:$A,Inputs!K:K,,0)</f>
        <v>2224</v>
      </c>
      <c r="L64" s="63">
        <f>_xlfn.XLOOKUP($A64,Inputs!$A:$A,Inputs!L:L,,0)</f>
        <v>0</v>
      </c>
      <c r="M64" s="63">
        <f>_xlfn.XLOOKUP($A64,Inputs!$A:$A,Inputs!M:M,,0)</f>
        <v>0</v>
      </c>
    </row>
    <row r="65" spans="1:235">
      <c r="K65" s="46"/>
      <c r="L65" s="46"/>
      <c r="M65" s="46"/>
    </row>
    <row r="66" spans="1:235" ht="20.25">
      <c r="A66" s="1120" t="s">
        <v>147</v>
      </c>
      <c r="B66" s="1120"/>
      <c r="C66" s="1120"/>
      <c r="D66" s="1120"/>
      <c r="E66" s="1120"/>
      <c r="F66" s="1120"/>
      <c r="G66" s="1120"/>
      <c r="H66" s="1120"/>
      <c r="I66" s="1120"/>
      <c r="J66" s="1120"/>
      <c r="K66" s="1120"/>
      <c r="L66" s="1120"/>
      <c r="M66" s="1120"/>
    </row>
    <row r="67" spans="1:235">
      <c r="A67" s="124" t="s">
        <v>148</v>
      </c>
      <c r="B67" s="63">
        <f>_xlfn.XLOOKUP($A67,Inputs!$A:$A,Inputs!B:B,,0)</f>
        <v>7274.3</v>
      </c>
      <c r="C67" s="63">
        <f>_xlfn.XLOOKUP($A67,Inputs!$A:$A,Inputs!C:C,,0)</f>
        <v>2026.3</v>
      </c>
      <c r="D67" s="63">
        <f>_xlfn.XLOOKUP($A67,Inputs!$A:$A,Inputs!D:D,,0)</f>
        <v>392.6</v>
      </c>
      <c r="E67" s="63">
        <f>_xlfn.XLOOKUP($A67,Inputs!$A:$A,Inputs!E:E,,0)</f>
        <v>2427.1</v>
      </c>
      <c r="F67" s="63">
        <f>_xlfn.XLOOKUP($A67,Inputs!$A:$A,Inputs!F:F,,0)</f>
        <v>-2887.3</v>
      </c>
      <c r="G67" s="63">
        <f>_xlfn.XLOOKUP($A67,Inputs!$A:$A,Inputs!G:G,,0)</f>
        <v>-2680.5</v>
      </c>
      <c r="H67" s="63">
        <f>_xlfn.XLOOKUP($A67,Inputs!$A:$A,Inputs!H:H,,0)</f>
        <v>-1785.9</v>
      </c>
      <c r="I67" s="63">
        <f>_xlfn.XLOOKUP($A67,Inputs!$A:$A,Inputs!I:I,,0)</f>
        <v>-1474</v>
      </c>
      <c r="J67" s="63">
        <f>_xlfn.XLOOKUP($A67,Inputs!$A:$A,Inputs!J:J,,0)</f>
        <v>-749.4</v>
      </c>
      <c r="K67" s="63">
        <f>_xlfn.XLOOKUP($A67,Inputs!$A:$A,Inputs!K:K,,0)</f>
        <v>16.5</v>
      </c>
      <c r="L67" s="63">
        <f>_xlfn.XLOOKUP($A67,Inputs!$A:$A,Inputs!L:L,,0)</f>
        <v>0</v>
      </c>
      <c r="M67" s="63">
        <f>_xlfn.XLOOKUP($A67,Inputs!$A:$A,Inputs!M:M,,0)</f>
        <v>0</v>
      </c>
    </row>
    <row r="68" spans="1:235">
      <c r="A68" s="124" t="s">
        <v>149</v>
      </c>
      <c r="B68" s="63">
        <f>_xlfn.XLOOKUP($A68,Inputs!$A:$A,Inputs!B:B,,0)</f>
        <v>541.79999999999995</v>
      </c>
      <c r="C68" s="63">
        <f>_xlfn.XLOOKUP($A68,Inputs!$A:$A,Inputs!C:C,,0)</f>
        <v>-2076.4</v>
      </c>
      <c r="D68" s="63">
        <f>_xlfn.XLOOKUP($A68,Inputs!$A:$A,Inputs!D:D,,0)</f>
        <v>-1339.9</v>
      </c>
      <c r="E68" s="63">
        <f>_xlfn.XLOOKUP($A68,Inputs!$A:$A,Inputs!E:E,,0)</f>
        <v>-505.4</v>
      </c>
      <c r="F68" s="63">
        <f>_xlfn.XLOOKUP($A68,Inputs!$A:$A,Inputs!F:F,,0)</f>
        <v>-387.1</v>
      </c>
      <c r="G68" s="63">
        <f>_xlfn.XLOOKUP($A68,Inputs!$A:$A,Inputs!G:G,,0)</f>
        <v>-339.1</v>
      </c>
      <c r="H68" s="63">
        <f>_xlfn.XLOOKUP($A68,Inputs!$A:$A,Inputs!H:H,,0)</f>
        <v>34.299999999999997</v>
      </c>
      <c r="I68" s="63">
        <f>_xlfn.XLOOKUP($A68,Inputs!$A:$A,Inputs!I:I,,0)</f>
        <v>49.8</v>
      </c>
      <c r="J68" s="63">
        <f>_xlfn.XLOOKUP($A68,Inputs!$A:$A,Inputs!J:J,,0)</f>
        <v>-179.2</v>
      </c>
      <c r="K68" s="63">
        <f>_xlfn.XLOOKUP($A68,Inputs!$A:$A,Inputs!K:K,,0)</f>
        <v>-42.9</v>
      </c>
      <c r="L68" s="63">
        <f>_xlfn.XLOOKUP($A68,Inputs!$A:$A,Inputs!L:L,,0)</f>
        <v>0</v>
      </c>
      <c r="M68" s="63">
        <f>_xlfn.XLOOKUP($A68,Inputs!$A:$A,Inputs!M:M,,0)</f>
        <v>0</v>
      </c>
    </row>
    <row r="69" spans="1:235">
      <c r="A69" s="120" t="s">
        <v>150</v>
      </c>
      <c r="B69" s="57">
        <f>_xlfn.XLOOKUP($A69,Inputs!$A:$A,Inputs!B:B,,0)</f>
        <v>-348.6</v>
      </c>
      <c r="C69" s="57">
        <f>_xlfn.XLOOKUP($A69,Inputs!$A:$A,Inputs!C:C,,0)</f>
        <v>-407.7</v>
      </c>
      <c r="D69" s="57">
        <f>_xlfn.XLOOKUP($A69,Inputs!$A:$A,Inputs!D:D,,0)</f>
        <v>-524.6</v>
      </c>
      <c r="E69" s="57">
        <f>_xlfn.XLOOKUP($A69,Inputs!$A:$A,Inputs!E:E,,0)</f>
        <v>-497.9</v>
      </c>
      <c r="F69" s="57">
        <f>_xlfn.XLOOKUP($A69,Inputs!$A:$A,Inputs!F:F,,0)</f>
        <v>-253</v>
      </c>
      <c r="G69" s="57">
        <f>_xlfn.XLOOKUP($A69,Inputs!$A:$A,Inputs!G:G,,0)</f>
        <v>-212.5</v>
      </c>
      <c r="H69" s="57">
        <f>_xlfn.XLOOKUP($A69,Inputs!$A:$A,Inputs!H:H,,0)</f>
        <v>-227</v>
      </c>
      <c r="I69" s="57">
        <f>_xlfn.XLOOKUP($A69,Inputs!$A:$A,Inputs!I:I,,0)</f>
        <v>-184.8</v>
      </c>
      <c r="J69" s="57">
        <f>_xlfn.XLOOKUP($A69,Inputs!$A:$A,Inputs!J:J,,0)</f>
        <v>-169.2</v>
      </c>
      <c r="K69" s="57">
        <f>_xlfn.XLOOKUP($A69,Inputs!$A:$A,Inputs!K:K,,0)</f>
        <v>-144.5</v>
      </c>
      <c r="L69" s="57">
        <f>_xlfn.XLOOKUP($A69,Inputs!$A:$A,Inputs!L:L,,0)</f>
        <v>0</v>
      </c>
      <c r="M69" s="57">
        <f>_xlfn.XLOOKUP($A69,Inputs!$A:$A,Inputs!M:M,,0)</f>
        <v>0</v>
      </c>
    </row>
    <row r="70" spans="1:235">
      <c r="A70" s="120" t="s">
        <v>151</v>
      </c>
      <c r="B70" s="57">
        <f>_xlfn.XLOOKUP($A70,Inputs!$A:$A,Inputs!B:B,,0)</f>
        <v>-504.9</v>
      </c>
      <c r="C70" s="57">
        <f>_xlfn.XLOOKUP($A70,Inputs!$A:$A,Inputs!C:C,,0)</f>
        <v>-1668.6999999999998</v>
      </c>
      <c r="D70" s="57">
        <f>_xlfn.XLOOKUP($A70,Inputs!$A:$A,Inputs!D:D,,0)</f>
        <v>-788.3</v>
      </c>
      <c r="E70" s="57">
        <f>_xlfn.XLOOKUP($A70,Inputs!$A:$A,Inputs!E:E,,0)</f>
        <v>0</v>
      </c>
      <c r="F70" s="57">
        <f>_xlfn.XLOOKUP($A70,Inputs!$A:$A,Inputs!F:F,,0)</f>
        <v>0</v>
      </c>
      <c r="G70" s="57">
        <f>_xlfn.XLOOKUP($A70,Inputs!$A:$A,Inputs!G:G,,0)</f>
        <v>0</v>
      </c>
      <c r="H70" s="57">
        <f>_xlfn.XLOOKUP($A70,Inputs!$A:$A,Inputs!H:H,,0)</f>
        <v>-74.8</v>
      </c>
      <c r="I70" s="57">
        <f>_xlfn.XLOOKUP($A70,Inputs!$A:$A,Inputs!I:I,,0)</f>
        <v>-187.2</v>
      </c>
      <c r="J70" s="57">
        <f>_xlfn.XLOOKUP($A70,Inputs!$A:$A,Inputs!J:J,,0)</f>
        <v>-371.9</v>
      </c>
      <c r="K70" s="57">
        <f>_xlfn.XLOOKUP($A70,Inputs!$A:$A,Inputs!K:K,,0)</f>
        <v>-426.9</v>
      </c>
      <c r="L70" s="57">
        <f>_xlfn.XLOOKUP($A70,Inputs!$A:$A,Inputs!L:L,,0)</f>
        <v>0</v>
      </c>
      <c r="M70" s="57">
        <f>_xlfn.XLOOKUP($A70,Inputs!$A:$A,Inputs!M:M,,0)</f>
        <v>0</v>
      </c>
      <c r="IA70" s="46"/>
    </row>
    <row r="71" spans="1:235">
      <c r="A71" s="124" t="s">
        <v>152</v>
      </c>
      <c r="B71" s="63">
        <f>_xlfn.XLOOKUP($A71,Inputs!$A:$A,Inputs!B:B,,0)</f>
        <v>-5950.8</v>
      </c>
      <c r="C71" s="63">
        <f>_xlfn.XLOOKUP($A71,Inputs!$A:$A,Inputs!C:C,,0)</f>
        <v>-664.3</v>
      </c>
      <c r="D71" s="63">
        <f>_xlfn.XLOOKUP($A71,Inputs!$A:$A,Inputs!D:D,,0)</f>
        <v>-1149.8</v>
      </c>
      <c r="E71" s="63">
        <f>_xlfn.XLOOKUP($A71,Inputs!$A:$A,Inputs!E:E,,0)</f>
        <v>1237.3</v>
      </c>
      <c r="F71" s="63">
        <f>_xlfn.XLOOKUP($A71,Inputs!$A:$A,Inputs!F:F,,0)</f>
        <v>4505.7</v>
      </c>
      <c r="G71" s="63">
        <f>_xlfn.XLOOKUP($A71,Inputs!$A:$A,Inputs!G:G,,0)</f>
        <v>4048.5</v>
      </c>
      <c r="H71" s="63">
        <f>_xlfn.XLOOKUP($A71,Inputs!$A:$A,Inputs!H:H,,0)</f>
        <v>3077</v>
      </c>
      <c r="I71" s="63">
        <f>_xlfn.XLOOKUP($A71,Inputs!$A:$A,Inputs!I:I,,0)</f>
        <v>1091.5999999999999</v>
      </c>
      <c r="J71" s="63">
        <f>_xlfn.XLOOKUP($A71,Inputs!$A:$A,Inputs!J:J,,0)</f>
        <v>1640.3</v>
      </c>
      <c r="K71" s="63">
        <f>_xlfn.XLOOKUP($A71,Inputs!$A:$A,Inputs!K:K,,0)</f>
        <v>541.70000000000005</v>
      </c>
      <c r="L71" s="63">
        <f>_xlfn.XLOOKUP($A71,Inputs!$A:$A,Inputs!L:L,,0)</f>
        <v>0</v>
      </c>
      <c r="M71" s="63">
        <f>_xlfn.XLOOKUP($A71,Inputs!$A:$A,Inputs!M:M,,0)</f>
        <v>0</v>
      </c>
      <c r="IA71" s="46"/>
    </row>
    <row r="72" spans="1:235">
      <c r="A72" s="120" t="s">
        <v>153</v>
      </c>
      <c r="B72" s="57">
        <f>_xlfn.XLOOKUP($A72,Inputs!$A:$A,Inputs!B:B,,0)</f>
        <v>0</v>
      </c>
      <c r="C72" s="57">
        <f>_xlfn.XLOOKUP($A72,Inputs!$A:$A,Inputs!C:C,,0)</f>
        <v>0</v>
      </c>
      <c r="D72" s="57">
        <f>_xlfn.XLOOKUP($A72,Inputs!$A:$A,Inputs!D:D,,0)</f>
        <v>0</v>
      </c>
      <c r="E72" s="57">
        <f>_xlfn.XLOOKUP($A72,Inputs!$A:$A,Inputs!E:E,,0)</f>
        <v>0</v>
      </c>
      <c r="F72" s="57">
        <f>_xlfn.XLOOKUP($A72,Inputs!$A:$A,Inputs!F:F,,0)</f>
        <v>0</v>
      </c>
      <c r="G72" s="57">
        <f>_xlfn.XLOOKUP($A72,Inputs!$A:$A,Inputs!G:G,,0)</f>
        <v>0</v>
      </c>
      <c r="H72" s="57">
        <f>_xlfn.XLOOKUP($A72,Inputs!$A:$A,Inputs!H:H,,0)</f>
        <v>0</v>
      </c>
      <c r="I72" s="57">
        <f>_xlfn.XLOOKUP($A72,Inputs!$A:$A,Inputs!I:I,,0)</f>
        <v>0</v>
      </c>
      <c r="J72" s="57">
        <f>_xlfn.XLOOKUP($A72,Inputs!$A:$A,Inputs!J:J,,0)</f>
        <v>0</v>
      </c>
      <c r="K72" s="57">
        <f>_xlfn.XLOOKUP($A72,Inputs!$A:$A,Inputs!K:K,,0)</f>
        <v>0</v>
      </c>
      <c r="L72" s="57">
        <f>_xlfn.XLOOKUP($A72,Inputs!$A:$A,Inputs!L:L,,0)</f>
        <v>0</v>
      </c>
      <c r="M72" s="57">
        <f>_xlfn.XLOOKUP($A72,Inputs!$A:$A,Inputs!M:M,,0)</f>
        <v>0</v>
      </c>
      <c r="IA72" s="46"/>
    </row>
    <row r="73" spans="1:235">
      <c r="A73" s="120" t="s">
        <v>556</v>
      </c>
      <c r="B73" s="57">
        <f>_xlfn.XLOOKUP($A73,Inputs!$A:$A,Inputs!B:B,,0)</f>
        <v>-6045.3</v>
      </c>
      <c r="C73" s="57">
        <f>_xlfn.XLOOKUP($A73,Inputs!$A:$A,Inputs!C:C,,0)</f>
        <v>0</v>
      </c>
      <c r="D73" s="57">
        <f>_xlfn.XLOOKUP($A73,Inputs!$A:$A,Inputs!D:D,,0)</f>
        <v>-600</v>
      </c>
      <c r="E73" s="57">
        <f>_xlfn.XLOOKUP($A73,Inputs!$A:$A,Inputs!E:E,,0)</f>
        <v>0</v>
      </c>
      <c r="F73" s="57">
        <f>_xlfn.XLOOKUP($A73,Inputs!$A:$A,Inputs!F:F,,0)</f>
        <v>0</v>
      </c>
      <c r="G73" s="57">
        <f>_xlfn.XLOOKUP($A73,Inputs!$A:$A,Inputs!G:G,,0)</f>
        <v>0</v>
      </c>
      <c r="H73" s="57">
        <f>_xlfn.XLOOKUP($A73,Inputs!$A:$A,Inputs!H:H,,0)</f>
        <v>0</v>
      </c>
      <c r="I73" s="57">
        <f>_xlfn.XLOOKUP($A73,Inputs!$A:$A,Inputs!I:I,,0)</f>
        <v>0</v>
      </c>
      <c r="J73" s="57">
        <f>_xlfn.XLOOKUP($A73,Inputs!$A:$A,Inputs!J:J,,0)</f>
        <v>0</v>
      </c>
      <c r="K73" s="57">
        <f>_xlfn.XLOOKUP($A73,Inputs!$A:$A,Inputs!K:K,,0)</f>
        <v>0</v>
      </c>
      <c r="L73" s="57">
        <f>_xlfn.XLOOKUP($A73,Inputs!$A:$A,Inputs!L:L,,0)</f>
        <v>0</v>
      </c>
      <c r="M73" s="57">
        <f>_xlfn.XLOOKUP($A73,Inputs!$A:$A,Inputs!M:M,,0)</f>
        <v>0</v>
      </c>
    </row>
    <row r="74" spans="1:235">
      <c r="A74" s="124" t="s">
        <v>157</v>
      </c>
      <c r="B74" s="63">
        <f>_xlfn.XLOOKUP($A74,Inputs!$A:$A,Inputs!B:B,,0)</f>
        <v>82.7</v>
      </c>
      <c r="C74" s="63">
        <f>_xlfn.XLOOKUP($A74,Inputs!$A:$A,Inputs!C:C,,0)</f>
        <v>-170.1</v>
      </c>
      <c r="D74" s="63">
        <f>_xlfn.XLOOKUP($A74,Inputs!$A:$A,Inputs!D:D,,0)</f>
        <v>-86.7</v>
      </c>
      <c r="E74" s="63">
        <f>_xlfn.XLOOKUP($A74,Inputs!$A:$A,Inputs!E:E,,0)</f>
        <v>36.1</v>
      </c>
      <c r="F74" s="63">
        <f>_xlfn.XLOOKUP($A74,Inputs!$A:$A,Inputs!F:F,,0)</f>
        <v>0.5</v>
      </c>
      <c r="G74" s="63">
        <f>_xlfn.XLOOKUP($A74,Inputs!$A:$A,Inputs!G:G,,0)</f>
        <v>-39.700000000000003</v>
      </c>
      <c r="H74" s="63">
        <f>_xlfn.XLOOKUP($A74,Inputs!$A:$A,Inputs!H:H,,0)</f>
        <v>29.8</v>
      </c>
      <c r="I74" s="63">
        <f>_xlfn.XLOOKUP($A74,Inputs!$A:$A,Inputs!I:I,,0)</f>
        <v>-9.1999999999999993</v>
      </c>
      <c r="J74" s="63">
        <f>_xlfn.XLOOKUP($A74,Inputs!$A:$A,Inputs!J:J,,0)</f>
        <v>-15.9</v>
      </c>
      <c r="K74" s="63">
        <f>_xlfn.XLOOKUP($A74,Inputs!$A:$A,Inputs!K:K,,0)</f>
        <v>-6.7</v>
      </c>
      <c r="L74" s="63">
        <f>_xlfn.XLOOKUP($A74,Inputs!$A:$A,Inputs!L:L,,0)</f>
        <v>0</v>
      </c>
      <c r="M74" s="63">
        <f>_xlfn.XLOOKUP($A74,Inputs!$A:$A,Inputs!M:M,,0)</f>
        <v>0</v>
      </c>
    </row>
    <row r="75" spans="1:235">
      <c r="A75" s="124" t="s">
        <v>575</v>
      </c>
      <c r="B75" s="63">
        <f>_xlfn.XLOOKUP($A75,Inputs!$A:$A,Inputs!B:B,,0)</f>
        <v>1948.0000000000002</v>
      </c>
      <c r="C75" s="63">
        <f>_xlfn.XLOOKUP($A75,Inputs!$A:$A,Inputs!C:C,,0)</f>
        <v>-884.50000000000011</v>
      </c>
      <c r="D75" s="63">
        <f>_xlfn.XLOOKUP($A75,Inputs!$A:$A,Inputs!D:D,,0)</f>
        <v>-2183.7999999999997</v>
      </c>
      <c r="E75" s="63">
        <f>_xlfn.XLOOKUP($A75,Inputs!$A:$A,Inputs!E:E,,0)</f>
        <v>3195.1</v>
      </c>
      <c r="F75" s="63">
        <f>_xlfn.XLOOKUP($A75,Inputs!$A:$A,Inputs!F:F,,0)</f>
        <v>1231.7999999999997</v>
      </c>
      <c r="G75" s="63">
        <f>_xlfn.XLOOKUP($A75,Inputs!$A:$A,Inputs!G:G,,0)</f>
        <v>989.2</v>
      </c>
      <c r="H75" s="63">
        <f>_xlfn.XLOOKUP($A75,Inputs!$A:$A,Inputs!H:H,,0)</f>
        <v>1355.1999999999998</v>
      </c>
      <c r="I75" s="63">
        <f>_xlfn.XLOOKUP($A75,Inputs!$A:$A,Inputs!I:I,,0)</f>
        <v>-341.80000000000013</v>
      </c>
      <c r="J75" s="63">
        <f>_xlfn.XLOOKUP($A75,Inputs!$A:$A,Inputs!J:J,,0)</f>
        <v>695.80000000000007</v>
      </c>
      <c r="K75" s="63">
        <f>_xlfn.XLOOKUP($A75,Inputs!$A:$A,Inputs!K:K,,0)</f>
        <v>508.60000000000008</v>
      </c>
      <c r="L75" s="63">
        <f>_xlfn.XLOOKUP($A75,Inputs!$A:$A,Inputs!L:L,,0)</f>
        <v>0</v>
      </c>
      <c r="M75" s="63">
        <f>_xlfn.XLOOKUP($A75,Inputs!$A:$A,Inputs!M:M,,0)</f>
        <v>0</v>
      </c>
    </row>
    <row r="76" spans="1:235">
      <c r="K76" s="46"/>
      <c r="L76" s="46"/>
      <c r="M76" s="46"/>
    </row>
    <row r="77" spans="1:235" ht="20.25">
      <c r="A77" s="1120" t="s">
        <v>576</v>
      </c>
      <c r="B77" s="1120"/>
      <c r="C77" s="1120"/>
      <c r="D77" s="1120"/>
      <c r="E77" s="1120"/>
      <c r="F77" s="1120"/>
      <c r="G77" s="1120"/>
      <c r="H77" s="1120"/>
      <c r="I77" s="1120"/>
      <c r="J77" s="1120"/>
      <c r="K77" s="1120"/>
      <c r="L77" s="1120"/>
      <c r="M77" s="1120"/>
    </row>
    <row r="78" spans="1:235">
      <c r="A78" s="119" t="s">
        <v>577</v>
      </c>
      <c r="B78" s="57" t="e">
        <f>_xlfn.XLOOKUP($A78,Inputs!$A:$A,Inputs!B:B,,0)</f>
        <v>#N/A</v>
      </c>
      <c r="C78" s="57" t="e">
        <f>_xlfn.XLOOKUP($A78,Inputs!$A:$A,Inputs!C:C,,0)</f>
        <v>#N/A</v>
      </c>
      <c r="D78" s="57" t="e">
        <f>_xlfn.XLOOKUP($A78,Inputs!$A:$A,Inputs!D:D,,0)</f>
        <v>#N/A</v>
      </c>
      <c r="E78" s="57" t="e">
        <f>_xlfn.XLOOKUP($A78,Inputs!$A:$A,Inputs!E:E,,0)</f>
        <v>#N/A</v>
      </c>
      <c r="F78" s="57" t="e">
        <f>_xlfn.XLOOKUP($A78,Inputs!$A:$A,Inputs!F:F,,0)</f>
        <v>#N/A</v>
      </c>
      <c r="G78" s="57" t="e">
        <f>_xlfn.XLOOKUP($A78,Inputs!$A:$A,Inputs!G:G,,0)</f>
        <v>#N/A</v>
      </c>
      <c r="H78" s="57" t="e">
        <f>_xlfn.XLOOKUP($A78,Inputs!$A:$A,Inputs!H:H,,0)</f>
        <v>#N/A</v>
      </c>
      <c r="I78" s="57" t="e">
        <f>_xlfn.XLOOKUP($A78,Inputs!$A:$A,Inputs!I:I,,0)</f>
        <v>#N/A</v>
      </c>
      <c r="J78" s="57" t="e">
        <f>_xlfn.XLOOKUP($A78,Inputs!$A:$A,Inputs!J:J,,0)</f>
        <v>#N/A</v>
      </c>
      <c r="K78" s="57" t="e">
        <f>_xlfn.XLOOKUP($A78,Inputs!$A:$A,Inputs!K:K,,0)</f>
        <v>#N/A</v>
      </c>
      <c r="L78" s="57" t="e">
        <f>_xlfn.XLOOKUP($A78,Inputs!$A:$A,Inputs!L:L,,0)</f>
        <v>#N/A</v>
      </c>
      <c r="M78" s="57" t="e">
        <f>_xlfn.XLOOKUP($A78,Inputs!$A:$A,Inputs!M:M,,0)</f>
        <v>#N/A</v>
      </c>
    </row>
    <row r="79" spans="1:235">
      <c r="A79" s="125" t="s">
        <v>578</v>
      </c>
      <c r="B79" s="57" t="e">
        <f>_xlfn.XLOOKUP($A79,Inputs!$A:$A,Inputs!B:B,,0)</f>
        <v>#N/A</v>
      </c>
      <c r="C79" s="57" t="e">
        <f>_xlfn.XLOOKUP($A79,Inputs!$A:$A,Inputs!C:C,,0)</f>
        <v>#N/A</v>
      </c>
      <c r="D79" s="57" t="e">
        <f>_xlfn.XLOOKUP($A79,Inputs!$A:$A,Inputs!D:D,,0)</f>
        <v>#N/A</v>
      </c>
      <c r="E79" s="57" t="e">
        <f>_xlfn.XLOOKUP($A79,Inputs!$A:$A,Inputs!E:E,,0)</f>
        <v>#N/A</v>
      </c>
      <c r="F79" s="57" t="e">
        <f>_xlfn.XLOOKUP($A79,Inputs!$A:$A,Inputs!F:F,,0)</f>
        <v>#N/A</v>
      </c>
      <c r="G79" s="57" t="e">
        <f>_xlfn.XLOOKUP($A79,Inputs!$A:$A,Inputs!G:G,,0)</f>
        <v>#N/A</v>
      </c>
      <c r="H79" s="57" t="e">
        <f>_xlfn.XLOOKUP($A79,Inputs!$A:$A,Inputs!H:H,,0)</f>
        <v>#N/A</v>
      </c>
      <c r="I79" s="57" t="e">
        <f>_xlfn.XLOOKUP($A79,Inputs!$A:$A,Inputs!I:I,,0)</f>
        <v>#N/A</v>
      </c>
      <c r="J79" s="57" t="e">
        <f>_xlfn.XLOOKUP($A79,Inputs!$A:$A,Inputs!J:J,,0)</f>
        <v>#N/A</v>
      </c>
      <c r="K79" s="57" t="e">
        <f>_xlfn.XLOOKUP($A79,Inputs!$A:$A,Inputs!K:K,,0)</f>
        <v>#N/A</v>
      </c>
      <c r="L79" s="57" t="e">
        <f>_xlfn.XLOOKUP($A79,Inputs!$A:$A,Inputs!L:L,,0)</f>
        <v>#N/A</v>
      </c>
      <c r="M79" s="57" t="e">
        <f>_xlfn.XLOOKUP($A79,Inputs!$A:$A,Inputs!M:M,,0)</f>
        <v>#N/A</v>
      </c>
    </row>
    <row r="80" spans="1:235">
      <c r="A80" s="119" t="s">
        <v>62</v>
      </c>
      <c r="B80" s="57">
        <f>_xlfn.XLOOKUP($A80,Inputs!$A:$A,Inputs!B:B,,0)</f>
        <v>0.99017931416951654</v>
      </c>
      <c r="C80" s="57" t="str">
        <f>_xlfn.XLOOKUP($A80,Inputs!$A:$A,Inputs!C:C,,0)</f>
        <v>Yahoo finance</v>
      </c>
      <c r="D80" s="57">
        <f>_xlfn.XLOOKUP($A80,Inputs!$A:$A,Inputs!D:D,,0)</f>
        <v>0</v>
      </c>
      <c r="E80" s="57">
        <f>_xlfn.XLOOKUP($A80,Inputs!$A:$A,Inputs!E:E,,0)</f>
        <v>0</v>
      </c>
      <c r="F80" s="57">
        <f>_xlfn.XLOOKUP($A80,Inputs!$A:$A,Inputs!F:F,,0)</f>
        <v>0</v>
      </c>
      <c r="G80" s="57">
        <f>_xlfn.XLOOKUP($A80,Inputs!$A:$A,Inputs!G:G,,0)</f>
        <v>0</v>
      </c>
      <c r="H80" s="57">
        <f>_xlfn.XLOOKUP($A80,Inputs!$A:$A,Inputs!H:H,,0)</f>
        <v>0</v>
      </c>
      <c r="I80" s="57">
        <f>_xlfn.XLOOKUP($A80,Inputs!$A:$A,Inputs!I:I,,0)</f>
        <v>0</v>
      </c>
      <c r="J80" s="57">
        <f>_xlfn.XLOOKUP($A80,Inputs!$A:$A,Inputs!J:J,,0)</f>
        <v>0</v>
      </c>
      <c r="K80" s="57">
        <f>_xlfn.XLOOKUP($A80,Inputs!$A:$A,Inputs!K:K,,0)</f>
        <v>0</v>
      </c>
      <c r="L80" s="57">
        <f>_xlfn.XLOOKUP($A80,Inputs!$A:$A,Inputs!L:L,,0)</f>
        <v>0</v>
      </c>
      <c r="M80" s="57">
        <f>_xlfn.XLOOKUP($A80,Inputs!$A:$A,Inputs!M:M,,0)</f>
        <v>0</v>
      </c>
    </row>
    <row r="81" spans="1:13">
      <c r="A81" s="125" t="s">
        <v>67</v>
      </c>
      <c r="B81" s="57">
        <f>_xlfn.XLOOKUP($A81,Inputs!$A:$A,Inputs!B:B,,0)</f>
        <v>1.38E-2</v>
      </c>
      <c r="C81" s="57" t="str">
        <f>_xlfn.XLOOKUP($A81,Inputs!$A:$A,Inputs!C:C,,0)</f>
        <v>Yahoo finance</v>
      </c>
      <c r="D81" s="57">
        <f>_xlfn.XLOOKUP($A81,Inputs!$A:$A,Inputs!D:D,,0)</f>
        <v>0</v>
      </c>
      <c r="E81" s="57">
        <f>_xlfn.XLOOKUP($A81,Inputs!$A:$A,Inputs!E:E,,0)</f>
        <v>0</v>
      </c>
      <c r="F81" s="57">
        <f>_xlfn.XLOOKUP($A81,Inputs!$A:$A,Inputs!F:F,,0)</f>
        <v>0</v>
      </c>
      <c r="G81" s="57">
        <f>_xlfn.XLOOKUP($A81,Inputs!$A:$A,Inputs!G:G,,0)</f>
        <v>0</v>
      </c>
      <c r="H81" s="57">
        <f>_xlfn.XLOOKUP($A81,Inputs!$A:$A,Inputs!H:H,,0)</f>
        <v>0</v>
      </c>
      <c r="I81" s="57">
        <f>_xlfn.XLOOKUP($A81,Inputs!$A:$A,Inputs!I:I,,0)</f>
        <v>0</v>
      </c>
      <c r="J81" s="57">
        <f>_xlfn.XLOOKUP($A81,Inputs!$A:$A,Inputs!J:J,,0)</f>
        <v>0</v>
      </c>
      <c r="K81" s="57">
        <f>_xlfn.XLOOKUP($A81,Inputs!$A:$A,Inputs!K:K,,0)</f>
        <v>0</v>
      </c>
      <c r="L81" s="57">
        <f>_xlfn.XLOOKUP($A81,Inputs!$A:$A,Inputs!L:L,,0)</f>
        <v>0</v>
      </c>
      <c r="M81" s="57">
        <f>_xlfn.XLOOKUP($A81,Inputs!$A:$A,Inputs!M:M,,0)</f>
        <v>0</v>
      </c>
    </row>
    <row r="82" spans="1:13">
      <c r="A82" s="119" t="s">
        <v>579</v>
      </c>
      <c r="B82" s="57">
        <f>_xlfn.XLOOKUP($A82,Inputs!$A:$A,Inputs!B:B,,0)</f>
        <v>0</v>
      </c>
      <c r="C82" s="57" t="str">
        <f>_xlfn.XLOOKUP($A82,Inputs!$A:$A,Inputs!C:C,,0)</f>
        <v>10-K</v>
      </c>
      <c r="D82" s="57">
        <f>_xlfn.XLOOKUP($A82,Inputs!$A:$A,Inputs!D:D,,0)</f>
        <v>0</v>
      </c>
      <c r="E82" s="57">
        <f>_xlfn.XLOOKUP($A82,Inputs!$A:$A,Inputs!E:E,,0)</f>
        <v>0</v>
      </c>
      <c r="F82" s="57">
        <f>_xlfn.XLOOKUP($A82,Inputs!$A:$A,Inputs!F:F,,0)</f>
        <v>0</v>
      </c>
      <c r="G82" s="57">
        <f>_xlfn.XLOOKUP($A82,Inputs!$A:$A,Inputs!G:G,,0)</f>
        <v>0</v>
      </c>
      <c r="H82" s="57">
        <f>_xlfn.XLOOKUP($A82,Inputs!$A:$A,Inputs!H:H,,0)</f>
        <v>0</v>
      </c>
      <c r="I82" s="57">
        <f>_xlfn.XLOOKUP($A82,Inputs!$A:$A,Inputs!I:I,,0)</f>
        <v>0</v>
      </c>
      <c r="J82" s="57">
        <f>_xlfn.XLOOKUP($A82,Inputs!$A:$A,Inputs!J:J,,0)</f>
        <v>0</v>
      </c>
      <c r="K82" s="57">
        <f>_xlfn.XLOOKUP($A82,Inputs!$A:$A,Inputs!K:K,,0)</f>
        <v>0</v>
      </c>
      <c r="L82" s="57">
        <f>_xlfn.XLOOKUP($A82,Inputs!$A:$A,Inputs!L:L,,0)</f>
        <v>0</v>
      </c>
      <c r="M82" s="57">
        <f>_xlfn.XLOOKUP($A82,Inputs!$A:$A,Inputs!M:M,,0)</f>
        <v>0</v>
      </c>
    </row>
    <row r="83" spans="1:13">
      <c r="A83" s="119" t="s">
        <v>580</v>
      </c>
      <c r="B83" s="57" t="e">
        <f>_xlfn.XLOOKUP($A83,Inputs!$A:$A,Inputs!B:B,,0)</f>
        <v>#N/A</v>
      </c>
      <c r="C83" s="57" t="e">
        <f>_xlfn.XLOOKUP($A83,Inputs!$A:$A,Inputs!C:C,,0)</f>
        <v>#N/A</v>
      </c>
      <c r="D83" s="57" t="e">
        <f>_xlfn.XLOOKUP($A83,Inputs!$A:$A,Inputs!D:D,,0)</f>
        <v>#N/A</v>
      </c>
      <c r="E83" s="57" t="e">
        <f>_xlfn.XLOOKUP($A83,Inputs!$A:$A,Inputs!E:E,,0)</f>
        <v>#N/A</v>
      </c>
      <c r="F83" s="57" t="e">
        <f>_xlfn.XLOOKUP($A83,Inputs!$A:$A,Inputs!F:F,,0)</f>
        <v>#N/A</v>
      </c>
      <c r="G83" s="57" t="e">
        <f>_xlfn.XLOOKUP($A83,Inputs!$A:$A,Inputs!G:G,,0)</f>
        <v>#N/A</v>
      </c>
      <c r="H83" s="57" t="e">
        <f>_xlfn.XLOOKUP($A83,Inputs!$A:$A,Inputs!H:H,,0)</f>
        <v>#N/A</v>
      </c>
      <c r="I83" s="57" t="e">
        <f>_xlfn.XLOOKUP($A83,Inputs!$A:$A,Inputs!I:I,,0)</f>
        <v>#N/A</v>
      </c>
      <c r="J83" s="57" t="e">
        <f>_xlfn.XLOOKUP($A83,Inputs!$A:$A,Inputs!J:J,,0)</f>
        <v>#N/A</v>
      </c>
      <c r="K83" s="57" t="e">
        <f>_xlfn.XLOOKUP($A83,Inputs!$A:$A,Inputs!K:K,,0)</f>
        <v>#N/A</v>
      </c>
      <c r="L83" s="57" t="e">
        <f>_xlfn.XLOOKUP($A83,Inputs!$A:$A,Inputs!L:L,,0)</f>
        <v>#N/A</v>
      </c>
      <c r="M83" s="57" t="e">
        <f>_xlfn.XLOOKUP($A83,Inputs!$A:$A,Inputs!M:M,,0)</f>
        <v>#N/A</v>
      </c>
    </row>
    <row r="84" spans="1:13">
      <c r="A84" s="125" t="s">
        <v>581</v>
      </c>
      <c r="B84" s="57">
        <f>_xlfn.XLOOKUP($A84,Inputs!$A:$A,Inputs!B:B,,0)</f>
        <v>0</v>
      </c>
      <c r="C84" s="57" t="str">
        <f>_xlfn.XLOOKUP($A84,Inputs!$A:$A,Inputs!C:C,,0)</f>
        <v>Yahoo Finance</v>
      </c>
      <c r="D84" s="57">
        <f>_xlfn.XLOOKUP($A84,Inputs!$A:$A,Inputs!D:D,,0)</f>
        <v>0</v>
      </c>
      <c r="E84" s="57">
        <f>_xlfn.XLOOKUP($A84,Inputs!$A:$A,Inputs!E:E,,0)</f>
        <v>0</v>
      </c>
      <c r="F84" s="57">
        <f>_xlfn.XLOOKUP($A84,Inputs!$A:$A,Inputs!F:F,,0)</f>
        <v>0</v>
      </c>
      <c r="G84" s="57">
        <f>_xlfn.XLOOKUP($A84,Inputs!$A:$A,Inputs!G:G,,0)</f>
        <v>0</v>
      </c>
      <c r="H84" s="57">
        <f>_xlfn.XLOOKUP($A84,Inputs!$A:$A,Inputs!H:H,,0)</f>
        <v>0</v>
      </c>
      <c r="I84" s="57">
        <f>_xlfn.XLOOKUP($A84,Inputs!$A:$A,Inputs!I:I,,0)</f>
        <v>0</v>
      </c>
      <c r="J84" s="57">
        <f>_xlfn.XLOOKUP($A84,Inputs!$A:$A,Inputs!J:J,,0)</f>
        <v>0</v>
      </c>
      <c r="K84" s="57">
        <f>_xlfn.XLOOKUP($A84,Inputs!$A:$A,Inputs!K:K,,0)</f>
        <v>0</v>
      </c>
      <c r="L84" s="57">
        <f>_xlfn.XLOOKUP($A84,Inputs!$A:$A,Inputs!L:L,,0)</f>
        <v>0</v>
      </c>
      <c r="M84" s="57">
        <f>_xlfn.XLOOKUP($A84,Inputs!$A:$A,Inputs!M:M,,0)</f>
        <v>0</v>
      </c>
    </row>
    <row r="85" spans="1:13">
      <c r="B85" s="48"/>
      <c r="C85" s="48"/>
      <c r="D85" s="48"/>
      <c r="E85" s="48"/>
      <c r="F85" s="48"/>
      <c r="G85" s="48"/>
      <c r="H85" s="48"/>
      <c r="I85" s="48"/>
      <c r="J85" s="48"/>
      <c r="K85" s="48"/>
      <c r="L85" s="48"/>
      <c r="M85" s="48"/>
    </row>
    <row r="86" spans="1:13">
      <c r="B86" s="47">
        <v>2020</v>
      </c>
      <c r="C86" s="47">
        <v>2021</v>
      </c>
      <c r="D86" s="47">
        <v>2022</v>
      </c>
      <c r="G86" s="47"/>
      <c r="H86" s="48"/>
      <c r="I86" s="48"/>
      <c r="J86" s="48"/>
      <c r="K86" s="48"/>
      <c r="L86" s="48"/>
      <c r="M86" s="48"/>
    </row>
    <row r="87" spans="1:13">
      <c r="A87" s="119" t="s">
        <v>582</v>
      </c>
      <c r="B87" s="61">
        <v>0</v>
      </c>
      <c r="C87" s="61">
        <v>0</v>
      </c>
      <c r="D87" s="62">
        <v>0</v>
      </c>
      <c r="G87" s="48"/>
      <c r="H87" s="48"/>
      <c r="I87" s="48"/>
      <c r="J87" s="48"/>
      <c r="K87" s="48"/>
      <c r="L87" s="48"/>
      <c r="M87" s="48"/>
    </row>
    <row r="88" spans="1:13">
      <c r="A88" s="125" t="s">
        <v>89</v>
      </c>
      <c r="B88" s="61">
        <v>0</v>
      </c>
      <c r="C88" s="61">
        <v>0</v>
      </c>
      <c r="D88" s="62">
        <v>0</v>
      </c>
    </row>
    <row r="90" spans="1:13">
      <c r="A90" s="14" t="s">
        <v>583</v>
      </c>
      <c r="B90" s="47" t="s">
        <v>584</v>
      </c>
      <c r="C90" s="47" t="s">
        <v>585</v>
      </c>
      <c r="D90" s="47" t="s">
        <v>586</v>
      </c>
      <c r="E90" s="47" t="s">
        <v>587</v>
      </c>
      <c r="G90" s="47"/>
    </row>
    <row r="91" spans="1:13">
      <c r="B91" s="64" t="e">
        <f>VLOOKUP($A91,Inputs!$A$5:$M$98,MATCH(B$4,Inputs!$B$5:$M$5,0)+1,FALSE)</f>
        <v>#N/A</v>
      </c>
      <c r="C91" s="64" t="e">
        <f>VLOOKUP($A91,Inputs!$A$5:$M$98,MATCH(C$4,Inputs!$B$5:$M$5,0)+1,FALSE)</f>
        <v>#N/A</v>
      </c>
      <c r="D91" s="64" t="e">
        <f>VLOOKUP($A91,Inputs!$A$5:$M$98,MATCH(D$4,Inputs!$B$5:$M$5,0)+1,FALSE)</f>
        <v>#N/A</v>
      </c>
      <c r="E91" s="64" t="e">
        <f>VLOOKUP($A91,Inputs!$A$5:$M$98,MATCH(E$4,Inputs!$B$5:$M$5,0)+1,FALSE)</f>
        <v>#N/A</v>
      </c>
    </row>
    <row r="92" spans="1:13">
      <c r="B92" s="65"/>
      <c r="C92" s="65"/>
      <c r="D92" s="2"/>
      <c r="E92" s="65"/>
      <c r="F92" s="2"/>
    </row>
    <row r="93" spans="1:13">
      <c r="B93" s="65"/>
      <c r="C93" s="65"/>
      <c r="D93" s="2"/>
      <c r="E93" s="65"/>
      <c r="F93" s="2"/>
    </row>
    <row r="94" spans="1:13">
      <c r="B94" s="65"/>
      <c r="C94" s="65"/>
      <c r="D94" s="2"/>
      <c r="E94" s="65"/>
      <c r="F94" s="2"/>
    </row>
    <row r="95" spans="1:13">
      <c r="B95" s="65"/>
      <c r="C95" s="65"/>
      <c r="D95" s="2"/>
      <c r="E95" s="65"/>
      <c r="F95" s="2"/>
    </row>
    <row r="96" spans="1:13">
      <c r="B96" s="65"/>
      <c r="C96" s="65"/>
      <c r="D96" s="2"/>
      <c r="E96" s="65"/>
      <c r="F96" s="2"/>
    </row>
    <row r="97" spans="2:6">
      <c r="B97" s="65"/>
      <c r="C97" s="65"/>
      <c r="D97" s="2"/>
      <c r="E97" s="65"/>
      <c r="F97" s="2"/>
    </row>
    <row r="98" spans="2:6">
      <c r="B98" s="65"/>
      <c r="C98" s="65"/>
      <c r="D98" s="2"/>
      <c r="E98" s="65"/>
      <c r="F98" s="2"/>
    </row>
    <row r="99" spans="2:6">
      <c r="B99" s="65"/>
      <c r="C99" s="65"/>
      <c r="D99" s="2"/>
      <c r="E99" s="65"/>
      <c r="F99" s="2"/>
    </row>
  </sheetData>
  <mergeCells count="7">
    <mergeCell ref="A77:M77"/>
    <mergeCell ref="A1:M1"/>
    <mergeCell ref="A2:M2"/>
    <mergeCell ref="A3:M3"/>
    <mergeCell ref="A38:M38"/>
    <mergeCell ref="A47:M47"/>
    <mergeCell ref="A66:M66"/>
  </mergeCells>
  <pageMargins left="0.7" right="0.7" top="0.75" bottom="0.75" header="0.3" footer="0.3"/>
  <pageSetup paperSize="9" orientation="portrait" horizontalDpi="4294967293"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BBE39-AA8C-416A-BD40-1FFD3C1649A8}">
  <dimension ref="B2:AA128"/>
  <sheetViews>
    <sheetView topLeftCell="J1" workbookViewId="0"/>
  </sheetViews>
  <sheetFormatPr defaultColWidth="8.85546875" defaultRowHeight="12.75"/>
  <cols>
    <col min="1" max="9" width="0" hidden="1" customWidth="1"/>
    <col min="11" max="11" width="21.85546875" bestFit="1" customWidth="1"/>
  </cols>
  <sheetData>
    <row r="2" spans="2:27">
      <c r="E2" s="11" t="s">
        <v>588</v>
      </c>
      <c r="F2" s="11" t="s">
        <v>589</v>
      </c>
      <c r="H2" s="11" t="s">
        <v>380</v>
      </c>
      <c r="K2" s="1123" t="s">
        <v>588</v>
      </c>
      <c r="L2" s="1125" t="s">
        <v>590</v>
      </c>
      <c r="M2" s="1126"/>
      <c r="N2" s="1126"/>
      <c r="O2" s="1126"/>
      <c r="P2" s="1127"/>
      <c r="Q2" s="1126" t="s">
        <v>328</v>
      </c>
      <c r="R2" s="1126"/>
      <c r="S2" s="1126"/>
      <c r="T2" s="1126"/>
      <c r="U2" s="1126"/>
      <c r="V2" s="1126"/>
      <c r="W2" s="1126"/>
      <c r="X2" s="1126"/>
      <c r="Y2" s="1126"/>
      <c r="Z2" s="1126"/>
      <c r="AA2" s="1127"/>
    </row>
    <row r="3" spans="2:27">
      <c r="E3" t="s">
        <v>302</v>
      </c>
      <c r="F3" t="s">
        <v>591</v>
      </c>
      <c r="H3" s="11" t="s">
        <v>322</v>
      </c>
      <c r="K3" s="1124"/>
      <c r="L3" s="74" t="s">
        <v>592</v>
      </c>
      <c r="M3" s="91" t="s">
        <v>593</v>
      </c>
      <c r="N3" s="91" t="s">
        <v>594</v>
      </c>
      <c r="O3" s="91" t="s">
        <v>595</v>
      </c>
      <c r="P3" s="92" t="s">
        <v>596</v>
      </c>
      <c r="Q3" s="91" t="s">
        <v>597</v>
      </c>
      <c r="R3" s="91" t="s">
        <v>598</v>
      </c>
      <c r="S3" s="91" t="s">
        <v>340</v>
      </c>
      <c r="T3" s="91" t="s">
        <v>599</v>
      </c>
      <c r="U3" s="91" t="s">
        <v>600</v>
      </c>
      <c r="V3" s="91" t="s">
        <v>601</v>
      </c>
      <c r="W3" s="91" t="s">
        <v>602</v>
      </c>
      <c r="X3" s="91" t="s">
        <v>603</v>
      </c>
      <c r="Y3" s="91" t="s">
        <v>604</v>
      </c>
      <c r="Z3" s="91" t="s">
        <v>605</v>
      </c>
      <c r="AA3" s="92" t="s">
        <v>369</v>
      </c>
    </row>
    <row r="4" spans="2:27">
      <c r="B4" s="75"/>
      <c r="E4" t="s">
        <v>302</v>
      </c>
      <c r="F4" t="s">
        <v>606</v>
      </c>
      <c r="H4" s="11" t="s">
        <v>385</v>
      </c>
      <c r="K4" s="93" t="s">
        <v>302</v>
      </c>
      <c r="L4" s="94" t="s">
        <v>380</v>
      </c>
      <c r="M4" t="s">
        <v>380</v>
      </c>
      <c r="N4" t="s">
        <v>322</v>
      </c>
      <c r="O4" t="s">
        <v>380</v>
      </c>
      <c r="P4" s="95" t="s">
        <v>380</v>
      </c>
      <c r="Q4" t="s">
        <v>322</v>
      </c>
      <c r="R4" t="s">
        <v>322</v>
      </c>
      <c r="S4" t="s">
        <v>380</v>
      </c>
      <c r="T4" t="s">
        <v>380</v>
      </c>
      <c r="U4" t="s">
        <v>385</v>
      </c>
      <c r="V4" t="s">
        <v>380</v>
      </c>
      <c r="W4" t="s">
        <v>380</v>
      </c>
      <c r="X4" t="s">
        <v>380</v>
      </c>
      <c r="Y4" t="s">
        <v>380</v>
      </c>
      <c r="Z4" t="s">
        <v>380</v>
      </c>
      <c r="AA4" s="95" t="s">
        <v>322</v>
      </c>
    </row>
    <row r="5" spans="2:27" ht="15">
      <c r="B5" s="87" t="s">
        <v>315</v>
      </c>
      <c r="E5" t="s">
        <v>302</v>
      </c>
      <c r="F5" t="s">
        <v>607</v>
      </c>
      <c r="H5" s="11" t="s">
        <v>608</v>
      </c>
      <c r="K5" s="93" t="s">
        <v>609</v>
      </c>
      <c r="L5" s="94" t="s">
        <v>380</v>
      </c>
      <c r="M5" t="s">
        <v>380</v>
      </c>
      <c r="N5" t="s">
        <v>322</v>
      </c>
      <c r="O5" t="s">
        <v>322</v>
      </c>
      <c r="P5" s="95" t="s">
        <v>380</v>
      </c>
      <c r="Q5" t="s">
        <v>322</v>
      </c>
      <c r="R5" t="s">
        <v>322</v>
      </c>
      <c r="S5" t="s">
        <v>380</v>
      </c>
      <c r="T5" t="s">
        <v>380</v>
      </c>
      <c r="U5" t="s">
        <v>322</v>
      </c>
      <c r="V5" t="s">
        <v>322</v>
      </c>
      <c r="W5" t="s">
        <v>322</v>
      </c>
      <c r="X5" t="s">
        <v>385</v>
      </c>
      <c r="Y5" t="s">
        <v>380</v>
      </c>
      <c r="Z5" t="s">
        <v>385</v>
      </c>
      <c r="AA5" s="95" t="s">
        <v>380</v>
      </c>
    </row>
    <row r="6" spans="2:27">
      <c r="B6" s="89" t="s">
        <v>610</v>
      </c>
      <c r="E6" t="s">
        <v>302</v>
      </c>
      <c r="F6" t="s">
        <v>611</v>
      </c>
      <c r="K6" s="93" t="s">
        <v>612</v>
      </c>
      <c r="L6" s="94" t="s">
        <v>385</v>
      </c>
      <c r="M6" t="s">
        <v>608</v>
      </c>
      <c r="N6" t="s">
        <v>385</v>
      </c>
      <c r="O6" t="s">
        <v>385</v>
      </c>
      <c r="P6" s="95" t="s">
        <v>385</v>
      </c>
      <c r="Q6" t="s">
        <v>322</v>
      </c>
      <c r="R6" t="s">
        <v>385</v>
      </c>
      <c r="S6" t="s">
        <v>385</v>
      </c>
      <c r="T6" t="s">
        <v>380</v>
      </c>
      <c r="U6" t="s">
        <v>322</v>
      </c>
      <c r="V6" t="s">
        <v>322</v>
      </c>
      <c r="W6" t="s">
        <v>380</v>
      </c>
      <c r="X6" t="s">
        <v>385</v>
      </c>
      <c r="Y6" t="s">
        <v>380</v>
      </c>
      <c r="Z6" t="s">
        <v>608</v>
      </c>
      <c r="AA6" s="95" t="s">
        <v>380</v>
      </c>
    </row>
    <row r="7" spans="2:27">
      <c r="B7" s="89" t="s">
        <v>613</v>
      </c>
      <c r="E7" t="s">
        <v>302</v>
      </c>
      <c r="F7" t="s">
        <v>614</v>
      </c>
      <c r="K7" s="93" t="s">
        <v>594</v>
      </c>
      <c r="L7" s="94" t="s">
        <v>608</v>
      </c>
      <c r="M7" t="s">
        <v>608</v>
      </c>
      <c r="N7" t="s">
        <v>322</v>
      </c>
      <c r="O7" t="s">
        <v>608</v>
      </c>
      <c r="P7" s="95" t="s">
        <v>385</v>
      </c>
      <c r="Q7" t="s">
        <v>385</v>
      </c>
      <c r="R7" t="s">
        <v>322</v>
      </c>
      <c r="S7" t="s">
        <v>322</v>
      </c>
      <c r="T7" t="s">
        <v>322</v>
      </c>
      <c r="U7" t="s">
        <v>322</v>
      </c>
      <c r="V7" t="s">
        <v>385</v>
      </c>
      <c r="W7" t="s">
        <v>322</v>
      </c>
      <c r="X7" t="s">
        <v>322</v>
      </c>
      <c r="Y7" t="s">
        <v>385</v>
      </c>
      <c r="Z7" t="s">
        <v>385</v>
      </c>
      <c r="AA7" s="95" t="s">
        <v>380</v>
      </c>
    </row>
    <row r="8" spans="2:27">
      <c r="B8" s="89"/>
      <c r="K8" s="93" t="s">
        <v>615</v>
      </c>
      <c r="L8" s="94" t="s">
        <v>380</v>
      </c>
      <c r="M8" t="s">
        <v>380</v>
      </c>
      <c r="N8" t="s">
        <v>380</v>
      </c>
      <c r="O8" t="s">
        <v>322</v>
      </c>
      <c r="P8" s="95" t="s">
        <v>322</v>
      </c>
      <c r="Q8" t="s">
        <v>380</v>
      </c>
      <c r="R8" t="s">
        <v>322</v>
      </c>
      <c r="S8" t="s">
        <v>322</v>
      </c>
      <c r="T8" t="s">
        <v>385</v>
      </c>
      <c r="U8" t="s">
        <v>322</v>
      </c>
      <c r="V8" t="s">
        <v>380</v>
      </c>
      <c r="W8" t="s">
        <v>380</v>
      </c>
      <c r="X8" t="s">
        <v>322</v>
      </c>
      <c r="Y8" t="s">
        <v>322</v>
      </c>
      <c r="Z8" t="s">
        <v>385</v>
      </c>
      <c r="AA8" s="95" t="s">
        <v>380</v>
      </c>
    </row>
    <row r="9" spans="2:27">
      <c r="B9" s="89" t="s">
        <v>321</v>
      </c>
      <c r="E9" t="s">
        <v>302</v>
      </c>
      <c r="F9" t="s">
        <v>616</v>
      </c>
      <c r="K9" s="93" t="s">
        <v>617</v>
      </c>
      <c r="L9" s="94" t="s">
        <v>380</v>
      </c>
      <c r="M9" t="s">
        <v>380</v>
      </c>
      <c r="N9" t="s">
        <v>380</v>
      </c>
      <c r="O9" t="s">
        <v>380</v>
      </c>
      <c r="P9" s="95" t="s">
        <v>380</v>
      </c>
      <c r="Q9" t="s">
        <v>380</v>
      </c>
      <c r="R9" t="s">
        <v>380</v>
      </c>
      <c r="S9" t="s">
        <v>322</v>
      </c>
      <c r="T9" t="s">
        <v>385</v>
      </c>
      <c r="U9" t="s">
        <v>322</v>
      </c>
      <c r="V9" t="s">
        <v>380</v>
      </c>
      <c r="W9" t="s">
        <v>380</v>
      </c>
      <c r="X9" t="s">
        <v>380</v>
      </c>
      <c r="Y9" t="s">
        <v>380</v>
      </c>
      <c r="Z9" t="s">
        <v>322</v>
      </c>
      <c r="AA9" s="95" t="s">
        <v>380</v>
      </c>
    </row>
    <row r="10" spans="2:27">
      <c r="B10" s="89"/>
      <c r="K10" s="93" t="s">
        <v>618</v>
      </c>
      <c r="L10" s="94" t="s">
        <v>380</v>
      </c>
      <c r="M10" t="s">
        <v>322</v>
      </c>
      <c r="N10" t="s">
        <v>380</v>
      </c>
      <c r="O10" t="s">
        <v>322</v>
      </c>
      <c r="P10" s="95" t="s">
        <v>385</v>
      </c>
      <c r="Q10" t="s">
        <v>380</v>
      </c>
      <c r="R10" t="s">
        <v>380</v>
      </c>
      <c r="S10" t="s">
        <v>380</v>
      </c>
      <c r="T10" t="s">
        <v>380</v>
      </c>
      <c r="U10" t="s">
        <v>380</v>
      </c>
      <c r="V10" t="s">
        <v>380</v>
      </c>
      <c r="W10" t="s">
        <v>380</v>
      </c>
      <c r="X10" t="s">
        <v>380</v>
      </c>
      <c r="Y10" t="s">
        <v>322</v>
      </c>
      <c r="Z10" t="s">
        <v>380</v>
      </c>
      <c r="AA10" s="95" t="s">
        <v>380</v>
      </c>
    </row>
    <row r="11" spans="2:27">
      <c r="B11" s="89" t="s">
        <v>324</v>
      </c>
      <c r="E11" t="s">
        <v>302</v>
      </c>
      <c r="F11" t="s">
        <v>619</v>
      </c>
      <c r="K11" s="93" t="s">
        <v>620</v>
      </c>
      <c r="L11" s="94" t="s">
        <v>380</v>
      </c>
      <c r="M11" t="s">
        <v>322</v>
      </c>
      <c r="N11" t="s">
        <v>380</v>
      </c>
      <c r="O11" t="s">
        <v>380</v>
      </c>
      <c r="P11" s="95" t="s">
        <v>380</v>
      </c>
      <c r="Q11" t="s">
        <v>380</v>
      </c>
      <c r="R11" t="s">
        <v>380</v>
      </c>
      <c r="S11" t="s">
        <v>322</v>
      </c>
      <c r="T11" t="s">
        <v>380</v>
      </c>
      <c r="U11" t="s">
        <v>385</v>
      </c>
      <c r="V11" t="s">
        <v>380</v>
      </c>
      <c r="W11" t="s">
        <v>380</v>
      </c>
      <c r="X11" t="s">
        <v>380</v>
      </c>
      <c r="Y11" t="s">
        <v>380</v>
      </c>
      <c r="Z11" t="s">
        <v>380</v>
      </c>
      <c r="AA11" s="95" t="s">
        <v>380</v>
      </c>
    </row>
    <row r="12" spans="2:27">
      <c r="B12" s="88" t="s">
        <v>621</v>
      </c>
      <c r="E12" t="s">
        <v>302</v>
      </c>
      <c r="F12" t="s">
        <v>622</v>
      </c>
      <c r="K12" s="93" t="s">
        <v>623</v>
      </c>
      <c r="L12" s="94" t="s">
        <v>608</v>
      </c>
      <c r="M12" t="s">
        <v>608</v>
      </c>
      <c r="N12" t="s">
        <v>608</v>
      </c>
      <c r="O12" t="s">
        <v>385</v>
      </c>
      <c r="P12" s="95" t="s">
        <v>385</v>
      </c>
      <c r="Q12" t="s">
        <v>380</v>
      </c>
      <c r="R12" t="s">
        <v>322</v>
      </c>
      <c r="S12" t="s">
        <v>385</v>
      </c>
      <c r="T12" t="s">
        <v>608</v>
      </c>
      <c r="U12" t="s">
        <v>322</v>
      </c>
      <c r="V12" t="s">
        <v>608</v>
      </c>
      <c r="W12" t="s">
        <v>322</v>
      </c>
      <c r="X12" t="s">
        <v>608</v>
      </c>
      <c r="Y12" t="s">
        <v>608</v>
      </c>
      <c r="Z12" t="s">
        <v>608</v>
      </c>
      <c r="AA12" s="95" t="s">
        <v>385</v>
      </c>
    </row>
    <row r="13" spans="2:27" ht="15">
      <c r="B13" s="87" t="s">
        <v>328</v>
      </c>
      <c r="E13" t="s">
        <v>302</v>
      </c>
      <c r="F13" t="s">
        <v>624</v>
      </c>
      <c r="K13" s="93" t="s">
        <v>625</v>
      </c>
      <c r="L13" s="94" t="s">
        <v>322</v>
      </c>
      <c r="M13" t="s">
        <v>380</v>
      </c>
      <c r="N13" t="s">
        <v>385</v>
      </c>
      <c r="O13" t="s">
        <v>380</v>
      </c>
      <c r="P13" s="95" t="s">
        <v>380</v>
      </c>
      <c r="Q13" t="s">
        <v>380</v>
      </c>
      <c r="R13" t="s">
        <v>380</v>
      </c>
      <c r="S13" t="s">
        <v>380</v>
      </c>
      <c r="T13" t="s">
        <v>380</v>
      </c>
      <c r="U13" t="s">
        <v>385</v>
      </c>
      <c r="V13" t="s">
        <v>380</v>
      </c>
      <c r="W13" t="s">
        <v>380</v>
      </c>
      <c r="X13" t="s">
        <v>380</v>
      </c>
      <c r="Y13" t="s">
        <v>380</v>
      </c>
      <c r="Z13" t="s">
        <v>322</v>
      </c>
      <c r="AA13" s="95" t="s">
        <v>608</v>
      </c>
    </row>
    <row r="14" spans="2:27">
      <c r="B14" s="79" t="s">
        <v>626</v>
      </c>
      <c r="E14" t="s">
        <v>302</v>
      </c>
      <c r="F14" t="s">
        <v>627</v>
      </c>
      <c r="K14" s="93" t="s">
        <v>628</v>
      </c>
      <c r="L14" s="94" t="s">
        <v>608</v>
      </c>
      <c r="M14" t="s">
        <v>608</v>
      </c>
      <c r="N14" t="s">
        <v>608</v>
      </c>
      <c r="O14" t="s">
        <v>608</v>
      </c>
      <c r="P14" s="95" t="s">
        <v>385</v>
      </c>
      <c r="Q14" t="s">
        <v>385</v>
      </c>
      <c r="R14" t="s">
        <v>385</v>
      </c>
      <c r="S14" t="s">
        <v>322</v>
      </c>
      <c r="T14" t="s">
        <v>385</v>
      </c>
      <c r="U14" t="s">
        <v>380</v>
      </c>
      <c r="V14" t="s">
        <v>608</v>
      </c>
      <c r="W14" t="s">
        <v>322</v>
      </c>
      <c r="X14" t="s">
        <v>322</v>
      </c>
      <c r="Y14" t="s">
        <v>608</v>
      </c>
      <c r="Z14" t="s">
        <v>385</v>
      </c>
      <c r="AA14" s="95" t="s">
        <v>322</v>
      </c>
    </row>
    <row r="15" spans="2:27">
      <c r="B15" s="79" t="s">
        <v>629</v>
      </c>
      <c r="E15" t="s">
        <v>609</v>
      </c>
      <c r="F15" t="s">
        <v>630</v>
      </c>
      <c r="K15" s="93" t="s">
        <v>631</v>
      </c>
      <c r="L15" s="94" t="s">
        <v>380</v>
      </c>
      <c r="M15" t="s">
        <v>380</v>
      </c>
      <c r="N15" t="s">
        <v>322</v>
      </c>
      <c r="O15" t="s">
        <v>380</v>
      </c>
      <c r="P15" s="95" t="s">
        <v>380</v>
      </c>
      <c r="Q15" t="s">
        <v>322</v>
      </c>
      <c r="R15" t="s">
        <v>380</v>
      </c>
      <c r="S15" t="s">
        <v>380</v>
      </c>
      <c r="T15" t="s">
        <v>380</v>
      </c>
      <c r="U15" t="s">
        <v>385</v>
      </c>
      <c r="V15" t="s">
        <v>380</v>
      </c>
      <c r="W15" t="s">
        <v>322</v>
      </c>
      <c r="X15" t="s">
        <v>380</v>
      </c>
      <c r="Y15" t="s">
        <v>322</v>
      </c>
      <c r="Z15" t="s">
        <v>380</v>
      </c>
      <c r="AA15" s="95" t="s">
        <v>380</v>
      </c>
    </row>
    <row r="16" spans="2:27">
      <c r="B16" s="82" t="s">
        <v>632</v>
      </c>
      <c r="E16" t="s">
        <v>609</v>
      </c>
      <c r="F16" t="s">
        <v>633</v>
      </c>
      <c r="K16" s="96" t="s">
        <v>634</v>
      </c>
      <c r="L16" s="97" t="s">
        <v>608</v>
      </c>
      <c r="M16" s="98" t="s">
        <v>385</v>
      </c>
      <c r="N16" s="98" t="s">
        <v>385</v>
      </c>
      <c r="O16" s="98" t="s">
        <v>322</v>
      </c>
      <c r="P16" s="99" t="s">
        <v>385</v>
      </c>
      <c r="Q16" s="98" t="s">
        <v>380</v>
      </c>
      <c r="R16" s="98" t="s">
        <v>322</v>
      </c>
      <c r="S16" s="98" t="s">
        <v>322</v>
      </c>
      <c r="T16" s="98" t="s">
        <v>380</v>
      </c>
      <c r="U16" s="98" t="s">
        <v>322</v>
      </c>
      <c r="V16" s="98" t="s">
        <v>322</v>
      </c>
      <c r="W16" s="98" t="s">
        <v>322</v>
      </c>
      <c r="X16" s="98" t="s">
        <v>322</v>
      </c>
      <c r="Y16" s="98" t="s">
        <v>380</v>
      </c>
      <c r="Z16" s="98" t="s">
        <v>322</v>
      </c>
      <c r="AA16" s="99" t="s">
        <v>380</v>
      </c>
    </row>
    <row r="17" spans="2:22">
      <c r="B17" s="82" t="s">
        <v>635</v>
      </c>
      <c r="E17" t="s">
        <v>609</v>
      </c>
      <c r="F17" t="s">
        <v>636</v>
      </c>
    </row>
    <row r="18" spans="2:22" hidden="1">
      <c r="B18" s="79" t="s">
        <v>637</v>
      </c>
      <c r="E18" t="s">
        <v>609</v>
      </c>
      <c r="F18" t="s">
        <v>638</v>
      </c>
    </row>
    <row r="19" spans="2:22" hidden="1">
      <c r="B19" s="79" t="s">
        <v>639</v>
      </c>
      <c r="E19" t="s">
        <v>609</v>
      </c>
      <c r="F19" t="s">
        <v>640</v>
      </c>
      <c r="L19" s="100" t="s">
        <v>302</v>
      </c>
      <c r="M19" s="101" t="s">
        <v>609</v>
      </c>
      <c r="N19" s="101" t="s">
        <v>612</v>
      </c>
      <c r="O19" s="101" t="s">
        <v>594</v>
      </c>
      <c r="P19" s="101" t="s">
        <v>617</v>
      </c>
      <c r="Q19" s="101" t="s">
        <v>620</v>
      </c>
      <c r="R19" s="101" t="s">
        <v>623</v>
      </c>
      <c r="S19" s="101" t="s">
        <v>625</v>
      </c>
      <c r="T19" s="101" t="s">
        <v>628</v>
      </c>
      <c r="U19" s="101" t="s">
        <v>631</v>
      </c>
      <c r="V19" s="102" t="s">
        <v>634</v>
      </c>
    </row>
    <row r="20" spans="2:22" hidden="1">
      <c r="B20" s="79" t="s">
        <v>350</v>
      </c>
      <c r="E20" t="s">
        <v>609</v>
      </c>
      <c r="F20" t="s">
        <v>641</v>
      </c>
      <c r="L20" s="94" t="s">
        <v>591</v>
      </c>
      <c r="M20" t="s">
        <v>630</v>
      </c>
      <c r="N20" t="s">
        <v>642</v>
      </c>
      <c r="O20" t="s">
        <v>643</v>
      </c>
      <c r="P20" t="s">
        <v>644</v>
      </c>
      <c r="Q20" t="s">
        <v>645</v>
      </c>
      <c r="R20" t="s">
        <v>646</v>
      </c>
      <c r="S20" t="s">
        <v>647</v>
      </c>
      <c r="T20" t="s">
        <v>648</v>
      </c>
      <c r="U20" t="s">
        <v>649</v>
      </c>
      <c r="V20" s="95" t="s">
        <v>650</v>
      </c>
    </row>
    <row r="21" spans="2:22" hidden="1">
      <c r="B21" s="79" t="s">
        <v>357</v>
      </c>
      <c r="E21" t="s">
        <v>609</v>
      </c>
      <c r="F21" t="s">
        <v>651</v>
      </c>
      <c r="L21" s="94" t="s">
        <v>606</v>
      </c>
      <c r="M21" t="s">
        <v>633</v>
      </c>
      <c r="N21" t="s">
        <v>652</v>
      </c>
      <c r="O21" t="s">
        <v>653</v>
      </c>
      <c r="P21" t="s">
        <v>654</v>
      </c>
      <c r="Q21" t="s">
        <v>655</v>
      </c>
      <c r="R21" t="s">
        <v>656</v>
      </c>
      <c r="S21" t="s">
        <v>657</v>
      </c>
      <c r="T21" t="s">
        <v>658</v>
      </c>
      <c r="U21" t="s">
        <v>659</v>
      </c>
      <c r="V21" s="95" t="s">
        <v>660</v>
      </c>
    </row>
    <row r="22" spans="2:22" hidden="1">
      <c r="B22" s="79" t="s">
        <v>363</v>
      </c>
      <c r="E22" t="s">
        <v>609</v>
      </c>
      <c r="F22" t="s">
        <v>661</v>
      </c>
      <c r="L22" s="94" t="s">
        <v>607</v>
      </c>
      <c r="M22" t="s">
        <v>636</v>
      </c>
      <c r="N22" t="s">
        <v>662</v>
      </c>
      <c r="O22" t="s">
        <v>663</v>
      </c>
      <c r="P22" t="s">
        <v>664</v>
      </c>
      <c r="Q22" t="s">
        <v>665</v>
      </c>
      <c r="R22" t="s">
        <v>666</v>
      </c>
      <c r="S22" t="s">
        <v>667</v>
      </c>
      <c r="T22" t="s">
        <v>668</v>
      </c>
      <c r="U22" t="s">
        <v>669</v>
      </c>
      <c r="V22" s="95" t="s">
        <v>670</v>
      </c>
    </row>
    <row r="23" spans="2:22" hidden="1">
      <c r="B23" s="79" t="s">
        <v>368</v>
      </c>
      <c r="E23" t="s">
        <v>609</v>
      </c>
      <c r="F23" t="s">
        <v>671</v>
      </c>
      <c r="L23" s="94" t="s">
        <v>611</v>
      </c>
      <c r="M23" t="s">
        <v>638</v>
      </c>
      <c r="N23" t="s">
        <v>672</v>
      </c>
      <c r="O23" t="s">
        <v>673</v>
      </c>
      <c r="P23" t="s">
        <v>674</v>
      </c>
      <c r="Q23" t="s">
        <v>675</v>
      </c>
      <c r="R23" t="s">
        <v>676</v>
      </c>
      <c r="S23" t="s">
        <v>677</v>
      </c>
      <c r="T23" t="s">
        <v>678</v>
      </c>
      <c r="U23" t="s">
        <v>679</v>
      </c>
      <c r="V23" s="95" t="s">
        <v>680</v>
      </c>
    </row>
    <row r="24" spans="2:22" hidden="1">
      <c r="B24" s="81" t="s">
        <v>369</v>
      </c>
      <c r="E24" t="s">
        <v>609</v>
      </c>
      <c r="F24" t="s">
        <v>681</v>
      </c>
      <c r="L24" s="94" t="s">
        <v>614</v>
      </c>
      <c r="M24" t="s">
        <v>640</v>
      </c>
      <c r="N24" t="s">
        <v>682</v>
      </c>
      <c r="O24" t="s">
        <v>683</v>
      </c>
      <c r="P24" t="s">
        <v>684</v>
      </c>
      <c r="Q24" t="s">
        <v>685</v>
      </c>
      <c r="R24" t="s">
        <v>686</v>
      </c>
      <c r="S24" t="s">
        <v>687</v>
      </c>
      <c r="T24" t="s">
        <v>688</v>
      </c>
      <c r="U24" t="s">
        <v>689</v>
      </c>
      <c r="V24" s="95" t="s">
        <v>690</v>
      </c>
    </row>
    <row r="25" spans="2:22" hidden="1">
      <c r="E25" t="s">
        <v>609</v>
      </c>
      <c r="F25" t="s">
        <v>691</v>
      </c>
      <c r="L25" s="94" t="s">
        <v>616</v>
      </c>
      <c r="M25" t="s">
        <v>641</v>
      </c>
      <c r="N25" t="s">
        <v>692</v>
      </c>
      <c r="P25" t="s">
        <v>693</v>
      </c>
      <c r="Q25" t="s">
        <v>694</v>
      </c>
      <c r="R25" t="s">
        <v>695</v>
      </c>
      <c r="S25" t="s">
        <v>696</v>
      </c>
      <c r="T25" t="s">
        <v>697</v>
      </c>
      <c r="U25" t="s">
        <v>698</v>
      </c>
      <c r="V25" s="95"/>
    </row>
    <row r="26" spans="2:22" hidden="1">
      <c r="E26" t="s">
        <v>609</v>
      </c>
      <c r="F26" t="s">
        <v>699</v>
      </c>
      <c r="L26" s="94" t="s">
        <v>619</v>
      </c>
      <c r="M26" t="s">
        <v>651</v>
      </c>
      <c r="N26" t="s">
        <v>700</v>
      </c>
      <c r="P26" t="s">
        <v>701</v>
      </c>
      <c r="Q26" t="s">
        <v>702</v>
      </c>
      <c r="R26" t="s">
        <v>703</v>
      </c>
      <c r="S26" t="s">
        <v>704</v>
      </c>
      <c r="T26" t="s">
        <v>705</v>
      </c>
      <c r="U26" t="s">
        <v>706</v>
      </c>
      <c r="V26" s="95"/>
    </row>
    <row r="27" spans="2:22" hidden="1">
      <c r="E27" t="s">
        <v>609</v>
      </c>
      <c r="F27" t="s">
        <v>707</v>
      </c>
      <c r="L27" s="94" t="s">
        <v>622</v>
      </c>
      <c r="M27" t="s">
        <v>661</v>
      </c>
      <c r="N27" t="s">
        <v>708</v>
      </c>
      <c r="P27" t="s">
        <v>709</v>
      </c>
      <c r="Q27" t="s">
        <v>710</v>
      </c>
      <c r="R27" t="s">
        <v>711</v>
      </c>
      <c r="S27" t="s">
        <v>712</v>
      </c>
      <c r="T27" t="s">
        <v>713</v>
      </c>
      <c r="U27" t="s">
        <v>714</v>
      </c>
      <c r="V27" s="95"/>
    </row>
    <row r="28" spans="2:22" hidden="1">
      <c r="E28" t="s">
        <v>609</v>
      </c>
      <c r="F28" t="s">
        <v>715</v>
      </c>
      <c r="L28" s="94" t="s">
        <v>624</v>
      </c>
      <c r="M28" t="s">
        <v>671</v>
      </c>
      <c r="N28" t="s">
        <v>716</v>
      </c>
      <c r="P28" t="s">
        <v>717</v>
      </c>
      <c r="Q28" t="s">
        <v>718</v>
      </c>
      <c r="R28" t="s">
        <v>719</v>
      </c>
      <c r="S28" t="s">
        <v>720</v>
      </c>
      <c r="T28" t="s">
        <v>721</v>
      </c>
      <c r="V28" s="95"/>
    </row>
    <row r="29" spans="2:22" hidden="1">
      <c r="E29" t="s">
        <v>609</v>
      </c>
      <c r="F29" t="s">
        <v>722</v>
      </c>
      <c r="L29" s="97" t="s">
        <v>627</v>
      </c>
      <c r="M29" s="98" t="s">
        <v>681</v>
      </c>
      <c r="N29" s="98" t="s">
        <v>723</v>
      </c>
      <c r="O29" s="98"/>
      <c r="P29" s="98" t="s">
        <v>724</v>
      </c>
      <c r="Q29" s="98" t="s">
        <v>725</v>
      </c>
      <c r="R29" s="98" t="s">
        <v>726</v>
      </c>
      <c r="S29" s="98" t="s">
        <v>727</v>
      </c>
      <c r="T29" s="98" t="s">
        <v>728</v>
      </c>
      <c r="U29" s="98"/>
      <c r="V29" s="99"/>
    </row>
    <row r="30" spans="2:22" hidden="1">
      <c r="E30" t="s">
        <v>609</v>
      </c>
      <c r="F30" t="s">
        <v>729</v>
      </c>
      <c r="M30" t="s">
        <v>691</v>
      </c>
      <c r="N30" t="s">
        <v>730</v>
      </c>
      <c r="P30" t="s">
        <v>731</v>
      </c>
      <c r="R30" t="s">
        <v>732</v>
      </c>
      <c r="S30" t="s">
        <v>733</v>
      </c>
      <c r="T30" t="s">
        <v>734</v>
      </c>
    </row>
    <row r="31" spans="2:22" hidden="1">
      <c r="E31" t="s">
        <v>609</v>
      </c>
      <c r="F31" t="s">
        <v>735</v>
      </c>
      <c r="M31" t="s">
        <v>699</v>
      </c>
      <c r="N31" t="s">
        <v>736</v>
      </c>
      <c r="P31" t="s">
        <v>737</v>
      </c>
      <c r="R31" t="s">
        <v>738</v>
      </c>
      <c r="S31" t="s">
        <v>739</v>
      </c>
    </row>
    <row r="32" spans="2:22" hidden="1">
      <c r="E32" t="s">
        <v>609</v>
      </c>
      <c r="F32" t="s">
        <v>740</v>
      </c>
      <c r="M32" t="s">
        <v>707</v>
      </c>
      <c r="P32" t="s">
        <v>741</v>
      </c>
      <c r="R32" t="s">
        <v>742</v>
      </c>
      <c r="S32" t="s">
        <v>743</v>
      </c>
    </row>
    <row r="33" spans="5:18" hidden="1">
      <c r="E33" t="s">
        <v>609</v>
      </c>
      <c r="F33" t="s">
        <v>744</v>
      </c>
      <c r="M33" t="s">
        <v>715</v>
      </c>
      <c r="R33" t="s">
        <v>745</v>
      </c>
    </row>
    <row r="34" spans="5:18" hidden="1">
      <c r="E34" t="s">
        <v>609</v>
      </c>
      <c r="F34" t="s">
        <v>746</v>
      </c>
      <c r="M34" t="s">
        <v>722</v>
      </c>
      <c r="R34" t="s">
        <v>747</v>
      </c>
    </row>
    <row r="35" spans="5:18" hidden="1">
      <c r="E35" t="s">
        <v>612</v>
      </c>
      <c r="F35" t="s">
        <v>642</v>
      </c>
      <c r="M35" t="s">
        <v>729</v>
      </c>
      <c r="R35" t="s">
        <v>748</v>
      </c>
    </row>
    <row r="36" spans="5:18" hidden="1">
      <c r="E36" t="s">
        <v>612</v>
      </c>
      <c r="F36" t="s">
        <v>652</v>
      </c>
      <c r="M36" t="s">
        <v>735</v>
      </c>
      <c r="R36" t="s">
        <v>749</v>
      </c>
    </row>
    <row r="37" spans="5:18" hidden="1">
      <c r="E37" t="s">
        <v>612</v>
      </c>
      <c r="F37" t="s">
        <v>662</v>
      </c>
      <c r="M37" t="s">
        <v>740</v>
      </c>
    </row>
    <row r="38" spans="5:18" hidden="1">
      <c r="E38" t="s">
        <v>612</v>
      </c>
      <c r="F38" t="s">
        <v>672</v>
      </c>
      <c r="M38" t="s">
        <v>744</v>
      </c>
    </row>
    <row r="39" spans="5:18" hidden="1">
      <c r="E39" t="s">
        <v>612</v>
      </c>
      <c r="F39" t="s">
        <v>682</v>
      </c>
      <c r="M39" t="s">
        <v>746</v>
      </c>
    </row>
    <row r="40" spans="5:18" hidden="1">
      <c r="E40" t="s">
        <v>612</v>
      </c>
      <c r="F40" t="s">
        <v>692</v>
      </c>
    </row>
    <row r="41" spans="5:18" hidden="1">
      <c r="E41" t="s">
        <v>612</v>
      </c>
      <c r="F41" t="s">
        <v>700</v>
      </c>
    </row>
    <row r="42" spans="5:18">
      <c r="E42" t="s">
        <v>612</v>
      </c>
      <c r="F42" t="s">
        <v>708</v>
      </c>
    </row>
    <row r="43" spans="5:18">
      <c r="E43" t="s">
        <v>612</v>
      </c>
      <c r="F43" t="s">
        <v>716</v>
      </c>
    </row>
    <row r="44" spans="5:18">
      <c r="E44" t="s">
        <v>612</v>
      </c>
      <c r="F44" t="s">
        <v>723</v>
      </c>
    </row>
    <row r="45" spans="5:18">
      <c r="E45" t="s">
        <v>612</v>
      </c>
      <c r="F45" t="s">
        <v>730</v>
      </c>
    </row>
    <row r="46" spans="5:18">
      <c r="E46" t="s">
        <v>612</v>
      </c>
      <c r="F46" t="s">
        <v>736</v>
      </c>
    </row>
    <row r="47" spans="5:18">
      <c r="E47" t="s">
        <v>594</v>
      </c>
      <c r="F47" t="s">
        <v>643</v>
      </c>
    </row>
    <row r="48" spans="5:18">
      <c r="E48" t="s">
        <v>594</v>
      </c>
      <c r="F48" t="s">
        <v>653</v>
      </c>
    </row>
    <row r="49" spans="5:6">
      <c r="E49" t="s">
        <v>594</v>
      </c>
      <c r="F49" t="s">
        <v>663</v>
      </c>
    </row>
    <row r="50" spans="5:6">
      <c r="E50" t="s">
        <v>594</v>
      </c>
      <c r="F50" t="s">
        <v>673</v>
      </c>
    </row>
    <row r="51" spans="5:6">
      <c r="E51" t="s">
        <v>594</v>
      </c>
      <c r="F51" t="s">
        <v>683</v>
      </c>
    </row>
    <row r="52" spans="5:6">
      <c r="E52" t="s">
        <v>617</v>
      </c>
      <c r="F52" t="s">
        <v>644</v>
      </c>
    </row>
    <row r="53" spans="5:6">
      <c r="E53" t="s">
        <v>617</v>
      </c>
      <c r="F53" t="s">
        <v>654</v>
      </c>
    </row>
    <row r="54" spans="5:6">
      <c r="E54" t="s">
        <v>617</v>
      </c>
      <c r="F54" t="s">
        <v>664</v>
      </c>
    </row>
    <row r="55" spans="5:6">
      <c r="E55" t="s">
        <v>617</v>
      </c>
      <c r="F55" t="s">
        <v>674</v>
      </c>
    </row>
    <row r="56" spans="5:6">
      <c r="E56" t="s">
        <v>617</v>
      </c>
      <c r="F56" t="s">
        <v>684</v>
      </c>
    </row>
    <row r="57" spans="5:6">
      <c r="E57" t="s">
        <v>617</v>
      </c>
      <c r="F57" t="s">
        <v>693</v>
      </c>
    </row>
    <row r="58" spans="5:6">
      <c r="E58" t="s">
        <v>617</v>
      </c>
      <c r="F58" t="s">
        <v>701</v>
      </c>
    </row>
    <row r="59" spans="5:6">
      <c r="E59" t="s">
        <v>617</v>
      </c>
      <c r="F59" t="s">
        <v>709</v>
      </c>
    </row>
    <row r="60" spans="5:6">
      <c r="E60" t="s">
        <v>617</v>
      </c>
      <c r="F60" t="s">
        <v>717</v>
      </c>
    </row>
    <row r="61" spans="5:6">
      <c r="E61" t="s">
        <v>617</v>
      </c>
      <c r="F61" t="s">
        <v>724</v>
      </c>
    </row>
    <row r="62" spans="5:6">
      <c r="E62" t="s">
        <v>617</v>
      </c>
      <c r="F62" t="s">
        <v>731</v>
      </c>
    </row>
    <row r="63" spans="5:6">
      <c r="E63" t="s">
        <v>617</v>
      </c>
      <c r="F63" t="s">
        <v>737</v>
      </c>
    </row>
    <row r="64" spans="5:6">
      <c r="E64" t="s">
        <v>617</v>
      </c>
      <c r="F64" t="s">
        <v>741</v>
      </c>
    </row>
    <row r="65" spans="5:6">
      <c r="E65" t="s">
        <v>620</v>
      </c>
      <c r="F65" t="s">
        <v>645</v>
      </c>
    </row>
    <row r="66" spans="5:6">
      <c r="E66" t="s">
        <v>620</v>
      </c>
      <c r="F66" t="s">
        <v>655</v>
      </c>
    </row>
    <row r="67" spans="5:6">
      <c r="E67" t="s">
        <v>620</v>
      </c>
      <c r="F67" t="s">
        <v>665</v>
      </c>
    </row>
    <row r="68" spans="5:6">
      <c r="E68" t="s">
        <v>620</v>
      </c>
      <c r="F68" t="s">
        <v>675</v>
      </c>
    </row>
    <row r="69" spans="5:6">
      <c r="E69" t="s">
        <v>620</v>
      </c>
      <c r="F69" t="s">
        <v>685</v>
      </c>
    </row>
    <row r="70" spans="5:6">
      <c r="E70" t="s">
        <v>620</v>
      </c>
      <c r="F70" t="s">
        <v>694</v>
      </c>
    </row>
    <row r="71" spans="5:6">
      <c r="E71" t="s">
        <v>620</v>
      </c>
      <c r="F71" t="s">
        <v>702</v>
      </c>
    </row>
    <row r="72" spans="5:6">
      <c r="E72" t="s">
        <v>620</v>
      </c>
      <c r="F72" t="s">
        <v>710</v>
      </c>
    </row>
    <row r="73" spans="5:6">
      <c r="E73" t="s">
        <v>620</v>
      </c>
      <c r="F73" t="s">
        <v>718</v>
      </c>
    </row>
    <row r="74" spans="5:6">
      <c r="E74" t="s">
        <v>620</v>
      </c>
      <c r="F74" t="s">
        <v>725</v>
      </c>
    </row>
    <row r="75" spans="5:6">
      <c r="E75" t="s">
        <v>623</v>
      </c>
      <c r="F75" t="s">
        <v>646</v>
      </c>
    </row>
    <row r="76" spans="5:6">
      <c r="E76" t="s">
        <v>623</v>
      </c>
      <c r="F76" t="s">
        <v>656</v>
      </c>
    </row>
    <row r="77" spans="5:6">
      <c r="E77" t="s">
        <v>623</v>
      </c>
      <c r="F77" t="s">
        <v>666</v>
      </c>
    </row>
    <row r="78" spans="5:6">
      <c r="E78" t="s">
        <v>623</v>
      </c>
      <c r="F78" t="s">
        <v>676</v>
      </c>
    </row>
    <row r="79" spans="5:6">
      <c r="E79" t="s">
        <v>623</v>
      </c>
      <c r="F79" t="s">
        <v>686</v>
      </c>
    </row>
    <row r="80" spans="5:6">
      <c r="E80" t="s">
        <v>623</v>
      </c>
      <c r="F80" t="s">
        <v>695</v>
      </c>
    </row>
    <row r="81" spans="5:6">
      <c r="E81" t="s">
        <v>623</v>
      </c>
      <c r="F81" t="s">
        <v>703</v>
      </c>
    </row>
    <row r="82" spans="5:6">
      <c r="E82" t="s">
        <v>623</v>
      </c>
      <c r="F82" t="s">
        <v>711</v>
      </c>
    </row>
    <row r="83" spans="5:6">
      <c r="E83" t="s">
        <v>623</v>
      </c>
      <c r="F83" t="s">
        <v>719</v>
      </c>
    </row>
    <row r="84" spans="5:6">
      <c r="E84" t="s">
        <v>623</v>
      </c>
      <c r="F84" t="s">
        <v>726</v>
      </c>
    </row>
    <row r="85" spans="5:6">
      <c r="E85" t="s">
        <v>623</v>
      </c>
      <c r="F85" t="s">
        <v>732</v>
      </c>
    </row>
    <row r="86" spans="5:6">
      <c r="E86" t="s">
        <v>623</v>
      </c>
      <c r="F86" t="s">
        <v>738</v>
      </c>
    </row>
    <row r="87" spans="5:6">
      <c r="E87" t="s">
        <v>623</v>
      </c>
      <c r="F87" t="s">
        <v>742</v>
      </c>
    </row>
    <row r="88" spans="5:6">
      <c r="E88" t="s">
        <v>623</v>
      </c>
      <c r="F88" t="s">
        <v>745</v>
      </c>
    </row>
    <row r="89" spans="5:6">
      <c r="E89" t="s">
        <v>623</v>
      </c>
      <c r="F89" t="s">
        <v>747</v>
      </c>
    </row>
    <row r="90" spans="5:6">
      <c r="E90" t="s">
        <v>623</v>
      </c>
      <c r="F90" t="s">
        <v>748</v>
      </c>
    </row>
    <row r="91" spans="5:6">
      <c r="E91" t="s">
        <v>623</v>
      </c>
      <c r="F91" t="s">
        <v>749</v>
      </c>
    </row>
    <row r="92" spans="5:6">
      <c r="E92" t="s">
        <v>625</v>
      </c>
      <c r="F92" t="s">
        <v>647</v>
      </c>
    </row>
    <row r="93" spans="5:6">
      <c r="E93" t="s">
        <v>625</v>
      </c>
      <c r="F93" t="s">
        <v>657</v>
      </c>
    </row>
    <row r="94" spans="5:6">
      <c r="E94" t="s">
        <v>625</v>
      </c>
      <c r="F94" t="s">
        <v>667</v>
      </c>
    </row>
    <row r="95" spans="5:6">
      <c r="E95" t="s">
        <v>625</v>
      </c>
      <c r="F95" t="s">
        <v>677</v>
      </c>
    </row>
    <row r="96" spans="5:6">
      <c r="E96" t="s">
        <v>625</v>
      </c>
      <c r="F96" t="s">
        <v>687</v>
      </c>
    </row>
    <row r="97" spans="5:6">
      <c r="E97" t="s">
        <v>625</v>
      </c>
      <c r="F97" t="s">
        <v>696</v>
      </c>
    </row>
    <row r="98" spans="5:6">
      <c r="E98" t="s">
        <v>625</v>
      </c>
      <c r="F98" t="s">
        <v>704</v>
      </c>
    </row>
    <row r="99" spans="5:6">
      <c r="E99" t="s">
        <v>625</v>
      </c>
      <c r="F99" t="s">
        <v>712</v>
      </c>
    </row>
    <row r="100" spans="5:6">
      <c r="E100" t="s">
        <v>625</v>
      </c>
      <c r="F100" t="s">
        <v>720</v>
      </c>
    </row>
    <row r="101" spans="5:6">
      <c r="E101" t="s">
        <v>625</v>
      </c>
      <c r="F101" t="s">
        <v>727</v>
      </c>
    </row>
    <row r="102" spans="5:6">
      <c r="E102" t="s">
        <v>625</v>
      </c>
      <c r="F102" t="s">
        <v>733</v>
      </c>
    </row>
    <row r="103" spans="5:6">
      <c r="E103" t="s">
        <v>625</v>
      </c>
      <c r="F103" t="s">
        <v>739</v>
      </c>
    </row>
    <row r="104" spans="5:6">
      <c r="E104" t="s">
        <v>625</v>
      </c>
      <c r="F104" t="s">
        <v>743</v>
      </c>
    </row>
    <row r="105" spans="5:6">
      <c r="E105" t="s">
        <v>628</v>
      </c>
      <c r="F105" t="s">
        <v>648</v>
      </c>
    </row>
    <row r="106" spans="5:6">
      <c r="E106" t="s">
        <v>628</v>
      </c>
      <c r="F106" t="s">
        <v>658</v>
      </c>
    </row>
    <row r="107" spans="5:6">
      <c r="E107" t="s">
        <v>628</v>
      </c>
      <c r="F107" t="s">
        <v>668</v>
      </c>
    </row>
    <row r="108" spans="5:6">
      <c r="E108" t="s">
        <v>628</v>
      </c>
      <c r="F108" t="s">
        <v>678</v>
      </c>
    </row>
    <row r="109" spans="5:6">
      <c r="E109" t="s">
        <v>628</v>
      </c>
      <c r="F109" t="s">
        <v>688</v>
      </c>
    </row>
    <row r="110" spans="5:6">
      <c r="E110" t="s">
        <v>628</v>
      </c>
      <c r="F110" t="s">
        <v>697</v>
      </c>
    </row>
    <row r="111" spans="5:6">
      <c r="E111" t="s">
        <v>628</v>
      </c>
      <c r="F111" t="s">
        <v>705</v>
      </c>
    </row>
    <row r="112" spans="5:6">
      <c r="E112" t="s">
        <v>628</v>
      </c>
      <c r="F112" t="s">
        <v>713</v>
      </c>
    </row>
    <row r="113" spans="5:6">
      <c r="E113" t="s">
        <v>628</v>
      </c>
      <c r="F113" t="s">
        <v>721</v>
      </c>
    </row>
    <row r="114" spans="5:6">
      <c r="E114" t="s">
        <v>628</v>
      </c>
      <c r="F114" t="s">
        <v>728</v>
      </c>
    </row>
    <row r="115" spans="5:6">
      <c r="E115" t="s">
        <v>628</v>
      </c>
      <c r="F115" t="s">
        <v>734</v>
      </c>
    </row>
    <row r="116" spans="5:6">
      <c r="E116" t="s">
        <v>631</v>
      </c>
      <c r="F116" t="s">
        <v>649</v>
      </c>
    </row>
    <row r="117" spans="5:6">
      <c r="E117" t="s">
        <v>631</v>
      </c>
      <c r="F117" t="s">
        <v>659</v>
      </c>
    </row>
    <row r="118" spans="5:6">
      <c r="E118" t="s">
        <v>631</v>
      </c>
      <c r="F118" t="s">
        <v>669</v>
      </c>
    </row>
    <row r="119" spans="5:6">
      <c r="E119" t="s">
        <v>631</v>
      </c>
      <c r="F119" t="s">
        <v>679</v>
      </c>
    </row>
    <row r="120" spans="5:6">
      <c r="E120" t="s">
        <v>631</v>
      </c>
      <c r="F120" t="s">
        <v>689</v>
      </c>
    </row>
    <row r="121" spans="5:6">
      <c r="E121" t="s">
        <v>631</v>
      </c>
      <c r="F121" t="s">
        <v>698</v>
      </c>
    </row>
    <row r="122" spans="5:6">
      <c r="E122" t="s">
        <v>631</v>
      </c>
      <c r="F122" t="s">
        <v>706</v>
      </c>
    </row>
    <row r="123" spans="5:6">
      <c r="E123" t="s">
        <v>631</v>
      </c>
      <c r="F123" t="s">
        <v>714</v>
      </c>
    </row>
    <row r="124" spans="5:6">
      <c r="E124" t="s">
        <v>634</v>
      </c>
      <c r="F124" t="s">
        <v>650</v>
      </c>
    </row>
    <row r="125" spans="5:6">
      <c r="E125" t="s">
        <v>634</v>
      </c>
      <c r="F125" t="s">
        <v>660</v>
      </c>
    </row>
    <row r="126" spans="5:6">
      <c r="E126" t="s">
        <v>634</v>
      </c>
      <c r="F126" t="s">
        <v>670</v>
      </c>
    </row>
    <row r="127" spans="5:6">
      <c r="E127" t="s">
        <v>634</v>
      </c>
      <c r="F127" t="s">
        <v>680</v>
      </c>
    </row>
    <row r="128" spans="5:6">
      <c r="E128" t="s">
        <v>634</v>
      </c>
      <c r="F128" t="s">
        <v>690</v>
      </c>
    </row>
  </sheetData>
  <mergeCells count="3">
    <mergeCell ref="K2:K3"/>
    <mergeCell ref="L2:P2"/>
    <mergeCell ref="Q2:AA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A7115-0CBC-4ABB-BE5B-970F623C3B18}">
  <dimension ref="A1:EV100"/>
  <sheetViews>
    <sheetView topLeftCell="A25" zoomScale="54" workbookViewId="0">
      <selection activeCell="D82" sqref="D82"/>
    </sheetView>
  </sheetViews>
  <sheetFormatPr defaultColWidth="10.42578125" defaultRowHeight="14.25"/>
  <cols>
    <col min="1" max="1" width="40" style="23" bestFit="1" customWidth="1"/>
    <col min="2" max="5" width="13.42578125" style="23" customWidth="1"/>
    <col min="6" max="6" width="13" style="23" customWidth="1"/>
    <col min="7" max="9" width="13.85546875" style="23" customWidth="1"/>
    <col min="10" max="10" width="14.140625" style="23" customWidth="1"/>
    <col min="11" max="11" width="15" style="25" customWidth="1"/>
    <col min="12" max="12" width="17" style="25" customWidth="1"/>
    <col min="13" max="13" width="14.140625" style="23" customWidth="1"/>
    <col min="14" max="14" width="21.42578125" style="23" bestFit="1" customWidth="1"/>
    <col min="15" max="15" width="32" style="23" customWidth="1"/>
    <col min="16" max="16" width="11.42578125" style="23" customWidth="1"/>
    <col min="17" max="23" width="0" style="23" hidden="1" customWidth="1"/>
    <col min="24" max="24" width="15.42578125" style="23" bestFit="1" customWidth="1"/>
    <col min="25" max="25" width="17.42578125" style="23" bestFit="1" customWidth="1"/>
    <col min="26" max="33" width="0" style="23" hidden="1" customWidth="1"/>
    <col min="34" max="16384" width="10.42578125" style="23"/>
  </cols>
  <sheetData>
    <row r="1" spans="1:33" ht="15">
      <c r="B1" s="52"/>
      <c r="C1" s="52"/>
      <c r="D1" s="52"/>
      <c r="E1" s="52"/>
      <c r="F1" s="52"/>
      <c r="G1" s="52"/>
      <c r="H1" s="52"/>
      <c r="I1" s="52"/>
      <c r="J1" s="52"/>
      <c r="K1" s="52"/>
      <c r="L1" s="52"/>
      <c r="M1" s="52"/>
      <c r="N1"/>
      <c r="O1"/>
    </row>
    <row r="2" spans="1:33">
      <c r="G2" s="1130" t="s">
        <v>750</v>
      </c>
      <c r="H2" s="1130"/>
      <c r="I2" s="1130"/>
      <c r="J2" s="1130"/>
      <c r="K2" s="26"/>
      <c r="L2" s="26"/>
      <c r="M2" s="26"/>
      <c r="N2" s="26"/>
      <c r="O2" s="26"/>
    </row>
    <row r="3" spans="1:33">
      <c r="G3" s="23" t="s">
        <v>751</v>
      </c>
      <c r="H3" s="23" t="e" vm="1">
        <v>#VALUE!</v>
      </c>
      <c r="M3"/>
      <c r="N3"/>
      <c r="O3"/>
    </row>
    <row r="4" spans="1:33">
      <c r="D4" s="1130" t="s">
        <v>752</v>
      </c>
      <c r="E4" s="1130"/>
      <c r="F4" s="1130"/>
      <c r="G4" s="1130"/>
      <c r="H4" s="1130"/>
      <c r="I4" s="1130"/>
      <c r="J4" s="1130"/>
      <c r="K4" s="1130"/>
      <c r="L4" s="1130"/>
      <c r="M4" s="1130"/>
      <c r="N4"/>
      <c r="O4"/>
    </row>
    <row r="5" spans="1:33" ht="15">
      <c r="A5" s="52" t="s">
        <v>753</v>
      </c>
      <c r="B5" s="392">
        <v>2023</v>
      </c>
      <c r="C5" s="392">
        <f>B5-1</f>
        <v>2022</v>
      </c>
      <c r="D5" s="392">
        <f t="shared" ref="D5:M5" si="0">C5-1</f>
        <v>2021</v>
      </c>
      <c r="E5" s="392">
        <f t="shared" si="0"/>
        <v>2020</v>
      </c>
      <c r="F5" s="392">
        <f t="shared" si="0"/>
        <v>2019</v>
      </c>
      <c r="G5" s="392">
        <f t="shared" si="0"/>
        <v>2018</v>
      </c>
      <c r="H5" s="392">
        <f t="shared" si="0"/>
        <v>2017</v>
      </c>
      <c r="I5" s="392">
        <f t="shared" si="0"/>
        <v>2016</v>
      </c>
      <c r="J5" s="392">
        <f t="shared" si="0"/>
        <v>2015</v>
      </c>
      <c r="K5" s="392">
        <f t="shared" si="0"/>
        <v>2014</v>
      </c>
      <c r="L5" s="392">
        <f t="shared" si="0"/>
        <v>2013</v>
      </c>
      <c r="M5" s="392">
        <f t="shared" si="0"/>
        <v>2012</v>
      </c>
      <c r="N5"/>
      <c r="O5"/>
      <c r="Q5" s="10" t="s">
        <v>754</v>
      </c>
      <c r="R5" s="1131" t="s">
        <v>755</v>
      </c>
      <c r="S5" s="1131"/>
      <c r="T5" s="23" t="s">
        <v>756</v>
      </c>
      <c r="Z5" s="52">
        <v>2016</v>
      </c>
      <c r="AA5" s="52">
        <v>2015</v>
      </c>
      <c r="AB5" s="52">
        <v>2014</v>
      </c>
      <c r="AC5" s="52">
        <v>2013</v>
      </c>
      <c r="AD5" s="52">
        <v>2012</v>
      </c>
      <c r="AE5" s="52">
        <v>2011</v>
      </c>
      <c r="AF5" s="52">
        <v>2010</v>
      </c>
      <c r="AG5" s="52">
        <v>2009</v>
      </c>
    </row>
    <row r="6" spans="1:33">
      <c r="A6" s="27" t="s">
        <v>142</v>
      </c>
      <c r="B6" s="297">
        <v>33723</v>
      </c>
      <c r="C6" s="297">
        <v>31616</v>
      </c>
      <c r="D6" s="297">
        <v>29698</v>
      </c>
      <c r="E6" s="297">
        <v>24996</v>
      </c>
      <c r="F6" s="297">
        <v>20156</v>
      </c>
      <c r="G6" s="297">
        <v>15794</v>
      </c>
      <c r="H6" s="393">
        <v>11693</v>
      </c>
      <c r="I6" s="297">
        <v>8831</v>
      </c>
      <c r="J6" s="297">
        <v>6780</v>
      </c>
      <c r="K6" s="297">
        <v>5505</v>
      </c>
      <c r="L6" s="297">
        <v>4375</v>
      </c>
      <c r="M6" s="297">
        <v>3609</v>
      </c>
      <c r="N6" s="29" t="s">
        <v>757</v>
      </c>
      <c r="O6" t="s">
        <v>758</v>
      </c>
      <c r="P6"/>
      <c r="Q6" s="23" t="s">
        <v>759</v>
      </c>
      <c r="R6" s="23" t="s">
        <v>759</v>
      </c>
      <c r="X6" s="30"/>
      <c r="Y6" s="30"/>
      <c r="Z6" s="28">
        <v>38537</v>
      </c>
      <c r="AA6" s="28">
        <v>47011</v>
      </c>
      <c r="AB6" s="28">
        <v>55184</v>
      </c>
      <c r="AC6" s="28">
        <v>55656</v>
      </c>
      <c r="AD6" s="28">
        <v>65875</v>
      </c>
      <c r="AE6" s="28">
        <v>60138</v>
      </c>
      <c r="AF6" s="28">
        <v>42588</v>
      </c>
      <c r="AG6" s="28">
        <v>32396</v>
      </c>
    </row>
    <row r="7" spans="1:33">
      <c r="A7" s="27" t="s">
        <v>547</v>
      </c>
      <c r="B7" s="297">
        <v>14008</v>
      </c>
      <c r="C7" s="297">
        <v>12447</v>
      </c>
      <c r="D7" s="297">
        <v>12365</v>
      </c>
      <c r="E7" s="297">
        <v>10821</v>
      </c>
      <c r="F7" s="297">
        <v>7716</v>
      </c>
      <c r="G7" s="297">
        <v>5827</v>
      </c>
      <c r="H7" s="394">
        <v>4033</v>
      </c>
      <c r="I7" s="395">
        <v>2801</v>
      </c>
      <c r="J7" s="297">
        <v>2188</v>
      </c>
      <c r="K7" s="297">
        <v>1752</v>
      </c>
      <c r="L7" s="297">
        <v>1257</v>
      </c>
      <c r="M7" s="297">
        <v>957</v>
      </c>
      <c r="N7" s="29" t="s">
        <v>757</v>
      </c>
      <c r="O7" t="str">
        <f>+A7</f>
        <v>Gross Profit</v>
      </c>
      <c r="P7"/>
      <c r="Q7" s="23" t="s">
        <v>759</v>
      </c>
      <c r="R7" s="23" t="s">
        <v>760</v>
      </c>
      <c r="Z7" s="32">
        <f>Z6-28044</f>
        <v>10493</v>
      </c>
      <c r="AA7" s="32">
        <f>AA6-33546</f>
        <v>13465</v>
      </c>
      <c r="AB7" s="32">
        <f>AB6-40718</f>
        <v>14466</v>
      </c>
      <c r="AC7" s="32">
        <f>AC6-40727</f>
        <v>14929</v>
      </c>
      <c r="AD7" s="33">
        <f>+AD6-47055</f>
        <v>18820</v>
      </c>
      <c r="AE7" s="33">
        <f>+AE6-43578</f>
        <v>16560</v>
      </c>
      <c r="AF7" s="33">
        <f>+AF6-30367</f>
        <v>12221</v>
      </c>
      <c r="AG7" s="33">
        <f>+AG6-23886</f>
        <v>8510</v>
      </c>
    </row>
    <row r="8" spans="1:33">
      <c r="A8" s="27" t="s">
        <v>286</v>
      </c>
      <c r="B8" s="297">
        <v>6954</v>
      </c>
      <c r="C8" s="297">
        <v>5633</v>
      </c>
      <c r="D8" s="297">
        <v>6195</v>
      </c>
      <c r="E8" s="297">
        <v>4585</v>
      </c>
      <c r="F8" s="297">
        <v>2604</v>
      </c>
      <c r="G8" s="297">
        <v>1605</v>
      </c>
      <c r="H8" s="394">
        <v>839</v>
      </c>
      <c r="I8" s="395">
        <v>380</v>
      </c>
      <c r="J8" s="395">
        <v>306</v>
      </c>
      <c r="K8" s="395">
        <v>403</v>
      </c>
      <c r="L8" s="395">
        <v>203</v>
      </c>
      <c r="M8" s="395">
        <v>50</v>
      </c>
      <c r="N8" s="29" t="s">
        <v>757</v>
      </c>
      <c r="O8" t="s">
        <v>286</v>
      </c>
      <c r="P8"/>
      <c r="Q8" s="23" t="s">
        <v>759</v>
      </c>
      <c r="R8" s="34" t="s">
        <v>761</v>
      </c>
      <c r="Z8" s="32">
        <f>Z7-4383</f>
        <v>6110</v>
      </c>
      <c r="AA8" s="32">
        <f>AA7-4951</f>
        <v>8514</v>
      </c>
      <c r="AB8" s="32">
        <f>AB7-6529</f>
        <v>7937</v>
      </c>
      <c r="AC8" s="32">
        <f>AC7-5547</f>
        <v>9382</v>
      </c>
      <c r="AD8" s="33">
        <f>AD7-5919-2466-797-580-485</f>
        <v>8573</v>
      </c>
      <c r="AE8" s="33">
        <f>+AE7-5203-2297-826-1081</f>
        <v>7153</v>
      </c>
      <c r="AF8" s="33">
        <f>+AF7-4248-1905-914-1191</f>
        <v>3963</v>
      </c>
      <c r="AG8" s="33">
        <f>+AG7-3645-1421-1045-1822</f>
        <v>577</v>
      </c>
    </row>
    <row r="9" spans="1:33">
      <c r="A9" s="27" t="s">
        <v>551</v>
      </c>
      <c r="B9" s="297"/>
      <c r="C9" s="297">
        <v>369</v>
      </c>
      <c r="D9" s="297">
        <v>254</v>
      </c>
      <c r="E9" s="297">
        <f>1101-1014</f>
        <v>87</v>
      </c>
      <c r="F9" s="297">
        <v>128</v>
      </c>
      <c r="G9" s="297">
        <v>29</v>
      </c>
      <c r="H9" s="297">
        <v>-80</v>
      </c>
      <c r="I9" s="297"/>
      <c r="J9" s="297"/>
      <c r="K9" s="297"/>
      <c r="L9" s="297"/>
      <c r="M9" s="297"/>
      <c r="N9" s="29" t="s">
        <v>757</v>
      </c>
      <c r="O9" t="s">
        <v>762</v>
      </c>
      <c r="P9"/>
      <c r="Q9" s="23" t="s">
        <v>759</v>
      </c>
      <c r="R9" s="23" t="s">
        <v>763</v>
      </c>
      <c r="S9" s="23" t="s">
        <v>764</v>
      </c>
      <c r="T9" s="23" t="s">
        <v>765</v>
      </c>
      <c r="U9" s="23" t="s">
        <v>766</v>
      </c>
      <c r="V9" s="23" t="s">
        <v>767</v>
      </c>
      <c r="Z9" s="32">
        <f>1853+596+595+1904+6+8</f>
        <v>4962</v>
      </c>
      <c r="AA9" s="32">
        <f>2119+587+2023+11</f>
        <v>4740</v>
      </c>
      <c r="AB9" s="32">
        <f>2380+624+1619-8+16</f>
        <v>4631</v>
      </c>
      <c r="AC9" s="32">
        <f>2046+727+981+6+14</f>
        <v>3774</v>
      </c>
      <c r="AD9" s="33">
        <f>-14+41</f>
        <v>27</v>
      </c>
      <c r="AE9" s="32">
        <v>53</v>
      </c>
      <c r="AF9" s="32">
        <f>58+24</f>
        <v>82</v>
      </c>
      <c r="AG9" s="32">
        <f>12-68</f>
        <v>-56</v>
      </c>
    </row>
    <row r="10" spans="1:33">
      <c r="A10" s="27" t="s">
        <v>287</v>
      </c>
      <c r="B10" s="297">
        <v>-749</v>
      </c>
      <c r="C10" s="297">
        <v>-369</v>
      </c>
      <c r="D10" s="297">
        <v>-354</v>
      </c>
      <c r="E10" s="297">
        <v>-1386</v>
      </c>
      <c r="F10" s="297">
        <v>-542</v>
      </c>
      <c r="G10" s="297">
        <v>-379</v>
      </c>
      <c r="H10" s="394">
        <v>-353</v>
      </c>
      <c r="I10" s="395">
        <v>-119</v>
      </c>
      <c r="J10" s="297">
        <v>-164</v>
      </c>
      <c r="K10" s="297">
        <v>-53</v>
      </c>
      <c r="L10" s="297">
        <v>-32</v>
      </c>
      <c r="M10" s="297">
        <v>17</v>
      </c>
      <c r="N10" s="29" t="s">
        <v>757</v>
      </c>
      <c r="O10" t="s">
        <v>768</v>
      </c>
      <c r="P10"/>
      <c r="Q10" s="23" t="s">
        <v>759</v>
      </c>
      <c r="R10" s="23" t="s">
        <v>769</v>
      </c>
      <c r="Z10" s="32">
        <f>505+518</f>
        <v>1023</v>
      </c>
      <c r="AA10" s="32">
        <f>507-161</f>
        <v>346</v>
      </c>
      <c r="AB10" s="32">
        <f>484-322</f>
        <v>162</v>
      </c>
      <c r="AC10" s="32">
        <f>465+35</f>
        <v>500</v>
      </c>
      <c r="AD10" s="33">
        <f>467-130</f>
        <v>337</v>
      </c>
      <c r="AE10" s="32">
        <f>396+32</f>
        <v>428</v>
      </c>
      <c r="AF10" s="32">
        <f>343-130</f>
        <v>213</v>
      </c>
      <c r="AG10" s="32">
        <f>389-381</f>
        <v>8</v>
      </c>
    </row>
    <row r="11" spans="1:33">
      <c r="A11" s="27" t="s">
        <v>288</v>
      </c>
      <c r="B11" s="297">
        <v>-797</v>
      </c>
      <c r="C11" s="297">
        <v>-1141</v>
      </c>
      <c r="D11" s="297">
        <v>-979</v>
      </c>
      <c r="E11" s="297">
        <v>-525</v>
      </c>
      <c r="F11" s="297">
        <v>-323</v>
      </c>
      <c r="G11" s="297">
        <v>-44</v>
      </c>
      <c r="H11" s="394">
        <v>153</v>
      </c>
      <c r="I11" s="395">
        <v>-74</v>
      </c>
      <c r="J11" s="297">
        <v>-19</v>
      </c>
      <c r="K11" s="297">
        <v>-83</v>
      </c>
      <c r="L11" s="297">
        <v>-59</v>
      </c>
      <c r="M11" s="297">
        <v>-13</v>
      </c>
      <c r="N11" s="29" t="s">
        <v>757</v>
      </c>
      <c r="O11" t="s">
        <v>288</v>
      </c>
      <c r="P11"/>
      <c r="Q11" s="23" t="s">
        <v>759</v>
      </c>
      <c r="R11" s="23" t="s">
        <v>770</v>
      </c>
      <c r="Z11" s="28">
        <v>192</v>
      </c>
      <c r="AA11" s="28">
        <v>916</v>
      </c>
      <c r="AB11" s="28">
        <v>692</v>
      </c>
      <c r="AC11" s="28">
        <v>1319</v>
      </c>
      <c r="AD11" s="31">
        <f>2528</f>
        <v>2528</v>
      </c>
      <c r="AE11" s="28">
        <f>1720</f>
        <v>1720</v>
      </c>
      <c r="AF11" s="28">
        <f>968</f>
        <v>968</v>
      </c>
      <c r="AG11" s="28">
        <f>-270</f>
        <v>-270</v>
      </c>
    </row>
    <row r="12" spans="1:33">
      <c r="A12" s="27" t="s">
        <v>83</v>
      </c>
      <c r="B12" s="297">
        <v>5408</v>
      </c>
      <c r="C12" s="297">
        <v>4492</v>
      </c>
      <c r="D12" s="297">
        <v>5116</v>
      </c>
      <c r="E12" s="297">
        <v>2761</v>
      </c>
      <c r="F12" s="297">
        <v>1867</v>
      </c>
      <c r="G12" s="297">
        <v>1211</v>
      </c>
      <c r="H12" s="393">
        <v>559</v>
      </c>
      <c r="I12" s="297">
        <v>187</v>
      </c>
      <c r="J12" s="297">
        <v>123</v>
      </c>
      <c r="K12" s="297">
        <v>267</v>
      </c>
      <c r="L12" s="297">
        <v>112</v>
      </c>
      <c r="M12" s="297">
        <v>17</v>
      </c>
      <c r="N12" s="29" t="s">
        <v>757</v>
      </c>
      <c r="O12" t="s">
        <v>83</v>
      </c>
      <c r="P12"/>
      <c r="Q12" s="23" t="s">
        <v>771</v>
      </c>
      <c r="R12" s="23" t="s">
        <v>772</v>
      </c>
      <c r="Z12" s="28">
        <v>-67</v>
      </c>
      <c r="AA12" s="28">
        <v>2512</v>
      </c>
      <c r="AB12" s="28">
        <v>2452</v>
      </c>
      <c r="AC12" s="28">
        <v>3789</v>
      </c>
      <c r="AD12" s="28">
        <v>5681</v>
      </c>
      <c r="AE12" s="28">
        <f>4928+24</f>
        <v>4952</v>
      </c>
      <c r="AF12" s="28">
        <v>2700</v>
      </c>
      <c r="AG12" s="28">
        <v>895</v>
      </c>
    </row>
    <row r="13" spans="1:33">
      <c r="B13" s="396">
        <f>SUM(B8:B11)</f>
        <v>5408</v>
      </c>
      <c r="C13" s="396">
        <f t="shared" ref="C13:M13" si="1">SUM(C8:C11)</f>
        <v>4492</v>
      </c>
      <c r="D13" s="396">
        <f t="shared" si="1"/>
        <v>5116</v>
      </c>
      <c r="E13" s="396">
        <f t="shared" si="1"/>
        <v>2761</v>
      </c>
      <c r="F13" s="396">
        <f t="shared" si="1"/>
        <v>1867</v>
      </c>
      <c r="G13" s="396">
        <f t="shared" si="1"/>
        <v>1211</v>
      </c>
      <c r="H13" s="396">
        <f t="shared" si="1"/>
        <v>559</v>
      </c>
      <c r="I13" s="396">
        <f t="shared" si="1"/>
        <v>187</v>
      </c>
      <c r="J13" s="396">
        <f t="shared" si="1"/>
        <v>123</v>
      </c>
      <c r="K13" s="396">
        <f t="shared" si="1"/>
        <v>267</v>
      </c>
      <c r="L13" s="396">
        <f t="shared" si="1"/>
        <v>112</v>
      </c>
      <c r="M13" s="396">
        <f t="shared" si="1"/>
        <v>54</v>
      </c>
      <c r="N13"/>
      <c r="O13"/>
      <c r="P13"/>
      <c r="Z13" s="25">
        <f t="shared" ref="Z13:AG13" si="2">Z8-Z10-Z9-Z11</f>
        <v>-67</v>
      </c>
      <c r="AA13" s="25">
        <f t="shared" si="2"/>
        <v>2512</v>
      </c>
      <c r="AB13" s="25">
        <f t="shared" si="2"/>
        <v>2452</v>
      </c>
      <c r="AC13" s="25">
        <f t="shared" si="2"/>
        <v>3789</v>
      </c>
      <c r="AD13" s="25">
        <f t="shared" si="2"/>
        <v>5681</v>
      </c>
      <c r="AE13" s="25">
        <f t="shared" si="2"/>
        <v>4952</v>
      </c>
      <c r="AF13" s="25">
        <f t="shared" si="2"/>
        <v>2700</v>
      </c>
      <c r="AG13" s="25">
        <f t="shared" si="2"/>
        <v>895</v>
      </c>
    </row>
    <row r="14" spans="1:33" ht="15">
      <c r="A14" s="52" t="s">
        <v>773</v>
      </c>
      <c r="B14" s="397">
        <f>B12-B13</f>
        <v>0</v>
      </c>
      <c r="C14" s="397">
        <f t="shared" ref="C14:M14" si="3">C12-C13</f>
        <v>0</v>
      </c>
      <c r="D14" s="397">
        <f t="shared" si="3"/>
        <v>0</v>
      </c>
      <c r="E14" s="397">
        <f t="shared" si="3"/>
        <v>0</v>
      </c>
      <c r="F14" s="397">
        <f t="shared" si="3"/>
        <v>0</v>
      </c>
      <c r="G14" s="397">
        <f t="shared" si="3"/>
        <v>0</v>
      </c>
      <c r="H14" s="397">
        <f t="shared" si="3"/>
        <v>0</v>
      </c>
      <c r="I14" s="397">
        <f t="shared" si="3"/>
        <v>0</v>
      </c>
      <c r="J14" s="397">
        <f t="shared" si="3"/>
        <v>0</v>
      </c>
      <c r="K14" s="397">
        <f t="shared" si="3"/>
        <v>0</v>
      </c>
      <c r="L14" s="397">
        <f t="shared" si="3"/>
        <v>0</v>
      </c>
      <c r="M14" s="397">
        <f t="shared" si="3"/>
        <v>-37</v>
      </c>
      <c r="N14"/>
      <c r="O14"/>
      <c r="P14"/>
      <c r="Z14" s="36">
        <f t="shared" ref="Z14:AG14" si="4">Z12-Z13</f>
        <v>0</v>
      </c>
      <c r="AA14" s="36">
        <f t="shared" si="4"/>
        <v>0</v>
      </c>
      <c r="AB14" s="36">
        <f t="shared" si="4"/>
        <v>0</v>
      </c>
      <c r="AC14" s="36">
        <f t="shared" si="4"/>
        <v>0</v>
      </c>
      <c r="AD14" s="36">
        <f t="shared" si="4"/>
        <v>0</v>
      </c>
      <c r="AE14" s="36">
        <f t="shared" si="4"/>
        <v>0</v>
      </c>
      <c r="AF14" s="36">
        <f t="shared" si="4"/>
        <v>0</v>
      </c>
      <c r="AG14" s="36">
        <f t="shared" si="4"/>
        <v>0</v>
      </c>
    </row>
    <row r="15" spans="1:33">
      <c r="A15"/>
      <c r="B15" s="401"/>
      <c r="C15" s="401"/>
      <c r="D15" s="401"/>
      <c r="E15" s="401"/>
      <c r="F15" s="401"/>
      <c r="G15" s="401"/>
      <c r="H15" s="401"/>
      <c r="I15" s="401"/>
      <c r="J15" s="401"/>
      <c r="K15" s="401"/>
      <c r="L15" s="401"/>
      <c r="M15" s="401"/>
      <c r="N15"/>
      <c r="O15"/>
      <c r="P15"/>
      <c r="Z15" s="28"/>
      <c r="AA15" s="28"/>
      <c r="AB15" s="28"/>
      <c r="AC15" s="28"/>
      <c r="AD15" s="28"/>
      <c r="AE15" s="28"/>
      <c r="AF15" s="28"/>
      <c r="AG15" s="28"/>
    </row>
    <row r="16" spans="1:33">
      <c r="A16" s="27" t="s">
        <v>774</v>
      </c>
      <c r="B16" s="398">
        <v>442</v>
      </c>
      <c r="C16" s="398">
        <v>445</v>
      </c>
      <c r="D16" s="398">
        <v>443</v>
      </c>
      <c r="E16" s="398">
        <v>441</v>
      </c>
      <c r="F16" s="398">
        <v>438</v>
      </c>
      <c r="G16" s="398">
        <v>435</v>
      </c>
      <c r="H16" s="399">
        <v>432</v>
      </c>
      <c r="I16" s="398">
        <v>429</v>
      </c>
      <c r="J16" s="398">
        <v>426</v>
      </c>
      <c r="K16" s="398">
        <v>421</v>
      </c>
      <c r="L16" s="398">
        <v>407</v>
      </c>
      <c r="M16" s="398">
        <v>389</v>
      </c>
      <c r="N16" s="29"/>
      <c r="O16"/>
      <c r="P16"/>
      <c r="Z16" s="28"/>
      <c r="AA16" s="28"/>
      <c r="AB16" s="28"/>
      <c r="AC16" s="28"/>
      <c r="AD16" s="28"/>
      <c r="AE16" s="28"/>
      <c r="AF16" s="28"/>
      <c r="AG16" s="28"/>
    </row>
    <row r="17" spans="1:152">
      <c r="A17" s="27" t="s">
        <v>775</v>
      </c>
      <c r="B17" s="398">
        <v>449</v>
      </c>
      <c r="C17" s="398">
        <v>451</v>
      </c>
      <c r="D17" s="398">
        <v>455</v>
      </c>
      <c r="E17" s="398">
        <v>454</v>
      </c>
      <c r="F17" s="398">
        <v>452</v>
      </c>
      <c r="G17" s="398">
        <v>451</v>
      </c>
      <c r="H17" s="399">
        <v>447</v>
      </c>
      <c r="I17" s="398">
        <v>439</v>
      </c>
      <c r="J17" s="398">
        <v>436</v>
      </c>
      <c r="K17" s="398">
        <v>432</v>
      </c>
      <c r="L17" s="398">
        <v>425</v>
      </c>
      <c r="M17" s="398">
        <v>412</v>
      </c>
      <c r="N17" s="29"/>
      <c r="O17"/>
      <c r="P17"/>
      <c r="Z17" s="28"/>
      <c r="AA17" s="28"/>
      <c r="AB17" s="28"/>
      <c r="AC17" s="28"/>
      <c r="AD17" s="28"/>
      <c r="AE17" s="28"/>
      <c r="AF17" s="28"/>
      <c r="AG17" s="28"/>
    </row>
    <row r="18" spans="1:152" customFormat="1" ht="12.75">
      <c r="B18" s="401"/>
      <c r="C18" s="401"/>
      <c r="D18" s="401"/>
      <c r="E18" s="401"/>
      <c r="F18" s="401"/>
      <c r="G18" s="401"/>
      <c r="H18" s="401"/>
      <c r="I18" s="401"/>
      <c r="J18" s="401"/>
      <c r="K18" s="401"/>
      <c r="L18" s="401"/>
      <c r="M18" s="401"/>
    </row>
    <row r="19" spans="1:152">
      <c r="A19" s="27" t="s">
        <v>776</v>
      </c>
      <c r="B19" s="297">
        <v>113</v>
      </c>
      <c r="C19" s="297">
        <v>-177</v>
      </c>
      <c r="D19" s="297">
        <v>-85</v>
      </c>
      <c r="E19" s="297">
        <v>68</v>
      </c>
      <c r="F19" s="297">
        <v>-4</v>
      </c>
      <c r="G19" s="297">
        <v>0.97499999999999998</v>
      </c>
      <c r="H19" s="393">
        <v>27</v>
      </c>
      <c r="I19" s="297">
        <v>5</v>
      </c>
      <c r="J19" s="297">
        <v>38</v>
      </c>
      <c r="K19" s="297">
        <v>-8</v>
      </c>
      <c r="L19" s="297">
        <v>2</v>
      </c>
      <c r="M19" s="297">
        <v>1</v>
      </c>
      <c r="N19" s="29"/>
      <c r="O19"/>
      <c r="P19"/>
      <c r="Z19" s="28"/>
      <c r="AA19" s="28"/>
      <c r="AB19" s="28"/>
      <c r="AC19" s="28"/>
      <c r="AD19" s="28"/>
      <c r="AE19" s="28"/>
      <c r="AF19" s="28"/>
      <c r="AG19" s="28"/>
    </row>
    <row r="20" spans="1:152" ht="15">
      <c r="A20" s="10" t="s">
        <v>777</v>
      </c>
      <c r="B20" s="297">
        <v>5401</v>
      </c>
      <c r="C20" s="297">
        <v>4315</v>
      </c>
      <c r="D20" s="297">
        <v>5031</v>
      </c>
      <c r="E20" s="297">
        <v>2829</v>
      </c>
      <c r="F20" s="297">
        <v>1862</v>
      </c>
      <c r="G20" s="297">
        <v>1212</v>
      </c>
      <c r="H20" s="393">
        <v>586</v>
      </c>
      <c r="I20" s="297">
        <v>181</v>
      </c>
      <c r="J20" s="297">
        <v>83</v>
      </c>
      <c r="K20" s="297">
        <v>259</v>
      </c>
      <c r="L20" s="297">
        <v>113</v>
      </c>
      <c r="M20" s="297">
        <v>19</v>
      </c>
      <c r="N20" s="29"/>
      <c r="O20"/>
      <c r="P20"/>
      <c r="Z20" s="28"/>
      <c r="AA20" s="28"/>
      <c r="AB20" s="28"/>
      <c r="AC20" s="28"/>
      <c r="AD20" s="28"/>
      <c r="AE20" s="28"/>
      <c r="AF20" s="28"/>
      <c r="AG20" s="28"/>
    </row>
    <row r="21" spans="1:152" customFormat="1" ht="12.75">
      <c r="B21" s="401"/>
      <c r="C21" s="401"/>
      <c r="D21" s="401"/>
      <c r="E21" s="401"/>
      <c r="F21" s="401"/>
      <c r="G21" s="401"/>
      <c r="H21" s="401"/>
      <c r="I21" s="401"/>
      <c r="J21" s="401"/>
      <c r="K21" s="401"/>
      <c r="L21" s="401"/>
      <c r="M21" s="401"/>
    </row>
    <row r="22" spans="1:152">
      <c r="A22" s="23" t="s">
        <v>552</v>
      </c>
      <c r="B22" s="396">
        <f>B23-C23</f>
        <v>-1358</v>
      </c>
      <c r="C22" s="396">
        <f t="shared" ref="C22:J22" si="5">C23-D23</f>
        <v>1724</v>
      </c>
      <c r="D22" s="396">
        <f>D23-E23</f>
        <v>-197</v>
      </c>
      <c r="E22" s="396">
        <f t="shared" si="5"/>
        <v>-555</v>
      </c>
      <c r="F22" s="396">
        <f t="shared" si="5"/>
        <v>-5108</v>
      </c>
      <c r="G22" s="396">
        <f t="shared" si="5"/>
        <v>0</v>
      </c>
      <c r="H22" s="396">
        <f t="shared" si="5"/>
        <v>32</v>
      </c>
      <c r="I22" s="396">
        <f>I23-J23</f>
        <v>-18</v>
      </c>
      <c r="J22" s="396">
        <f t="shared" si="5"/>
        <v>-192</v>
      </c>
      <c r="K22" s="396">
        <f>K23-L23</f>
        <v>-409</v>
      </c>
      <c r="L22" s="396">
        <f>L23-M23</f>
        <v>0</v>
      </c>
      <c r="M22" s="396">
        <f>M23-N23</f>
        <v>0</v>
      </c>
      <c r="N22" s="35" t="s">
        <v>778</v>
      </c>
      <c r="O22" t="s">
        <v>779</v>
      </c>
      <c r="P22"/>
      <c r="Q22" s="23" t="s">
        <v>771</v>
      </c>
      <c r="Z22" s="28"/>
      <c r="AA22" s="28"/>
      <c r="AB22" s="28"/>
      <c r="AC22" s="28"/>
      <c r="AD22" s="31"/>
      <c r="AE22" s="28"/>
      <c r="AF22" s="28"/>
      <c r="AG22" s="28"/>
    </row>
    <row r="23" spans="1:152">
      <c r="A23" s="27" t="s">
        <v>780</v>
      </c>
      <c r="B23" s="297">
        <f t="shared" ref="B23" si="6">B27-B42-B28</f>
        <v>-6081</v>
      </c>
      <c r="C23" s="297">
        <f t="shared" ref="C23:M23" si="7">C27-C42-C28</f>
        <v>-4723</v>
      </c>
      <c r="D23" s="297">
        <f t="shared" si="7"/>
        <v>-6447</v>
      </c>
      <c r="E23" s="297">
        <f t="shared" si="7"/>
        <v>-6250</v>
      </c>
      <c r="F23" s="297">
        <f t="shared" si="7"/>
        <v>-5695</v>
      </c>
      <c r="G23" s="297">
        <f t="shared" si="7"/>
        <v>-587</v>
      </c>
      <c r="H23" s="297">
        <f t="shared" si="7"/>
        <v>-587</v>
      </c>
      <c r="I23" s="297">
        <f t="shared" si="7"/>
        <v>-619</v>
      </c>
      <c r="J23" s="297">
        <f t="shared" si="7"/>
        <v>-601</v>
      </c>
      <c r="K23" s="297">
        <f t="shared" si="7"/>
        <v>-409</v>
      </c>
      <c r="L23" s="297">
        <f t="shared" si="7"/>
        <v>0</v>
      </c>
      <c r="M23" s="297">
        <f t="shared" si="7"/>
        <v>0</v>
      </c>
      <c r="N23" s="35"/>
      <c r="O23"/>
      <c r="P23"/>
      <c r="Z23" s="28"/>
      <c r="AA23" s="28"/>
      <c r="AB23" s="28"/>
      <c r="AC23" s="28"/>
      <c r="AD23" s="31"/>
      <c r="AE23" s="28"/>
      <c r="AF23" s="28"/>
      <c r="AG23" s="28"/>
    </row>
    <row r="24" spans="1:152">
      <c r="A24" s="7">
        <v>2625</v>
      </c>
      <c r="B24" s="402">
        <v>2625</v>
      </c>
      <c r="C24" s="402">
        <v>2625</v>
      </c>
      <c r="D24" s="402">
        <v>2625</v>
      </c>
      <c r="E24" s="402">
        <v>2625</v>
      </c>
      <c r="F24" s="402">
        <v>2625</v>
      </c>
      <c r="G24" s="402">
        <v>2625</v>
      </c>
      <c r="H24" s="402">
        <v>2625</v>
      </c>
      <c r="I24" s="402">
        <v>2625</v>
      </c>
      <c r="J24" s="402">
        <v>2625</v>
      </c>
      <c r="K24" s="402">
        <v>2625</v>
      </c>
      <c r="L24" s="402">
        <v>2625</v>
      </c>
      <c r="M24" s="402">
        <v>2625</v>
      </c>
      <c r="N24" s="7">
        <v>2625</v>
      </c>
      <c r="O24"/>
      <c r="P24"/>
      <c r="Q24" s="23" t="s">
        <v>771</v>
      </c>
      <c r="R24" s="23" t="s">
        <v>781</v>
      </c>
      <c r="T24" s="23" t="s">
        <v>782</v>
      </c>
      <c r="Z24" s="28">
        <v>1799</v>
      </c>
      <c r="AA24" s="28">
        <v>1757</v>
      </c>
      <c r="AB24" s="28">
        <v>1620</v>
      </c>
      <c r="AC24" s="28">
        <v>1111</v>
      </c>
      <c r="AD24" s="28">
        <v>1617</v>
      </c>
      <c r="AE24" s="28">
        <v>1159</v>
      </c>
      <c r="AF24" s="28">
        <v>1084</v>
      </c>
      <c r="AG24" s="28">
        <v>1029</v>
      </c>
    </row>
    <row r="25" spans="1:152" ht="15">
      <c r="A25" s="52" t="s">
        <v>444</v>
      </c>
      <c r="B25" s="402">
        <v>2625</v>
      </c>
      <c r="C25" s="402">
        <v>2625</v>
      </c>
      <c r="D25" s="402">
        <v>2625</v>
      </c>
      <c r="E25" s="402">
        <v>2625</v>
      </c>
      <c r="F25" s="402">
        <v>2625</v>
      </c>
      <c r="G25" s="402">
        <v>2625</v>
      </c>
      <c r="H25" s="402">
        <v>2625</v>
      </c>
      <c r="I25" s="402">
        <v>2625</v>
      </c>
      <c r="J25" s="402">
        <v>2625</v>
      </c>
      <c r="K25" s="402">
        <v>2625</v>
      </c>
      <c r="L25" s="402">
        <v>2625</v>
      </c>
      <c r="M25" s="402">
        <v>2625</v>
      </c>
      <c r="N25" s="7">
        <v>2625</v>
      </c>
      <c r="O25"/>
      <c r="P25"/>
      <c r="Q25" s="23" t="s">
        <v>771</v>
      </c>
      <c r="R25" s="23" t="s">
        <v>783</v>
      </c>
      <c r="S25" s="23" t="s">
        <v>784</v>
      </c>
      <c r="T25" s="23" t="s">
        <v>785</v>
      </c>
      <c r="Z25" s="28">
        <v>23</v>
      </c>
      <c r="AA25" s="28">
        <f>-33+2025</f>
        <v>1992</v>
      </c>
      <c r="AB25" s="28">
        <v>3817</v>
      </c>
      <c r="AC25" s="28">
        <v>1776</v>
      </c>
      <c r="AD25" s="28">
        <v>-244</v>
      </c>
      <c r="AE25" s="28">
        <v>-312</v>
      </c>
      <c r="AF25" s="28">
        <v>-449</v>
      </c>
      <c r="AG25" s="28">
        <v>-110</v>
      </c>
    </row>
    <row r="26" spans="1:152" ht="15">
      <c r="A26" s="107" t="s">
        <v>786</v>
      </c>
      <c r="B26" s="468"/>
      <c r="C26" s="468"/>
      <c r="D26" s="468"/>
      <c r="E26" s="468"/>
      <c r="F26" s="468"/>
      <c r="G26" s="468"/>
      <c r="H26" s="468"/>
      <c r="I26" s="468"/>
      <c r="J26" s="468"/>
      <c r="K26" s="468"/>
      <c r="L26" s="468"/>
      <c r="M26" s="468"/>
      <c r="N26" s="7">
        <v>1922</v>
      </c>
      <c r="O26" s="7">
        <v>2625</v>
      </c>
      <c r="P26"/>
      <c r="Z26" s="28"/>
      <c r="AA26" s="28"/>
      <c r="AB26" s="28"/>
      <c r="AC26" s="28"/>
      <c r="AD26" s="28"/>
      <c r="AE26" s="28"/>
      <c r="AF26" s="28"/>
      <c r="AG26" s="28"/>
    </row>
    <row r="27" spans="1:152" ht="15">
      <c r="A27" s="10" t="s">
        <v>787</v>
      </c>
      <c r="B27" s="296">
        <v>9918</v>
      </c>
      <c r="C27" s="296">
        <v>9266</v>
      </c>
      <c r="D27" s="296">
        <v>8070</v>
      </c>
      <c r="E27" s="296">
        <v>9762</v>
      </c>
      <c r="F27" s="296">
        <v>6179</v>
      </c>
      <c r="G27" s="296">
        <v>9694</v>
      </c>
      <c r="H27" s="296">
        <v>9694</v>
      </c>
      <c r="I27" s="296">
        <v>7670</v>
      </c>
      <c r="J27" s="296">
        <v>5720</v>
      </c>
      <c r="K27" s="296">
        <v>5432</v>
      </c>
      <c r="L27" s="296"/>
      <c r="M27" s="296"/>
      <c r="N27" s="7"/>
      <c r="O27" s="7"/>
      <c r="P27"/>
      <c r="Z27" s="28"/>
      <c r="AA27" s="28"/>
      <c r="AB27" s="28"/>
      <c r="AC27" s="28"/>
      <c r="AD27" s="28"/>
      <c r="AE27" s="28"/>
      <c r="AF27" s="28"/>
      <c r="AG27" s="28"/>
    </row>
    <row r="28" spans="1:152" ht="15">
      <c r="A28" s="104" t="s">
        <v>291</v>
      </c>
      <c r="B28" s="297">
        <v>7138</v>
      </c>
      <c r="C28" s="297">
        <v>6058</v>
      </c>
      <c r="D28" s="297">
        <v>6028</v>
      </c>
      <c r="E28" s="297">
        <v>8206</v>
      </c>
      <c r="F28" s="297">
        <v>5018</v>
      </c>
      <c r="G28" s="297">
        <v>3794</v>
      </c>
      <c r="H28" s="297">
        <v>3794</v>
      </c>
      <c r="I28" s="297">
        <v>2823</v>
      </c>
      <c r="J28" s="297">
        <v>1734</v>
      </c>
      <c r="K28" s="297">
        <v>2311</v>
      </c>
      <c r="L28" s="297"/>
      <c r="M28" s="297"/>
      <c r="N28" s="38" t="s">
        <v>788</v>
      </c>
      <c r="O28" t="s">
        <v>291</v>
      </c>
      <c r="P28"/>
      <c r="Z28" s="37"/>
      <c r="AA28" s="37"/>
      <c r="AB28" s="37"/>
      <c r="AC28" s="37"/>
      <c r="AD28" s="37"/>
      <c r="AE28" s="36"/>
      <c r="AF28" s="36"/>
      <c r="AG28" s="36"/>
    </row>
    <row r="29" spans="1:152" ht="15">
      <c r="A29" s="105" t="s">
        <v>561</v>
      </c>
      <c r="B29" s="297">
        <v>1287</v>
      </c>
      <c r="C29" s="297">
        <v>989</v>
      </c>
      <c r="D29" s="297">
        <v>804</v>
      </c>
      <c r="E29" s="297">
        <v>611</v>
      </c>
      <c r="F29" s="297">
        <v>454</v>
      </c>
      <c r="G29" s="297">
        <v>363</v>
      </c>
      <c r="H29" s="297">
        <v>0</v>
      </c>
      <c r="I29" s="297">
        <v>0</v>
      </c>
      <c r="J29" s="297">
        <v>0</v>
      </c>
      <c r="K29" s="297">
        <v>0</v>
      </c>
      <c r="L29" s="297"/>
      <c r="M29" s="297"/>
      <c r="N29" s="38" t="s">
        <v>788</v>
      </c>
      <c r="O29" t="s">
        <v>561</v>
      </c>
      <c r="P29"/>
      <c r="Z29" s="37"/>
      <c r="AA29" s="37"/>
      <c r="AB29" s="37"/>
      <c r="AC29" s="37"/>
      <c r="AD29" s="37"/>
      <c r="AE29" s="36"/>
      <c r="AF29" s="36"/>
      <c r="AG29" s="36"/>
    </row>
    <row r="30" spans="1:152">
      <c r="A30" s="104" t="s">
        <v>293</v>
      </c>
      <c r="B30" s="297">
        <v>0</v>
      </c>
      <c r="C30" s="297">
        <v>0</v>
      </c>
      <c r="D30" s="297">
        <v>0</v>
      </c>
      <c r="E30" s="297">
        <v>0</v>
      </c>
      <c r="F30" s="297">
        <v>0</v>
      </c>
      <c r="G30" s="297">
        <v>0</v>
      </c>
      <c r="H30" s="297">
        <v>0</v>
      </c>
      <c r="I30" s="297">
        <v>0</v>
      </c>
      <c r="J30" s="297">
        <v>0</v>
      </c>
      <c r="K30" s="297">
        <v>0</v>
      </c>
      <c r="L30" s="297"/>
      <c r="M30" s="297"/>
      <c r="N30" s="38" t="s">
        <v>788</v>
      </c>
      <c r="O30" t="s">
        <v>293</v>
      </c>
      <c r="P30"/>
      <c r="Q30" s="23" t="s">
        <v>789</v>
      </c>
      <c r="R30" s="23" t="s">
        <v>790</v>
      </c>
      <c r="Z30" s="28">
        <v>7168</v>
      </c>
      <c r="AA30" s="28">
        <v>6460</v>
      </c>
      <c r="AB30" s="28">
        <v>7341</v>
      </c>
      <c r="AC30" s="28">
        <v>6081</v>
      </c>
      <c r="AD30" s="28">
        <v>5490</v>
      </c>
      <c r="AE30" s="28">
        <v>3057</v>
      </c>
      <c r="AF30" s="28">
        <v>3592</v>
      </c>
      <c r="AG30" s="28">
        <v>4867</v>
      </c>
    </row>
    <row r="31" spans="1:152" s="24" customFormat="1">
      <c r="A31" s="104" t="s">
        <v>791</v>
      </c>
      <c r="B31" s="297">
        <f t="shared" ref="B31" si="8">B27-SUM(B28:B30)</f>
        <v>1493</v>
      </c>
      <c r="C31" s="297">
        <f t="shared" ref="C31:M31" si="9">C27-SUM(C28:C30)</f>
        <v>2219</v>
      </c>
      <c r="D31" s="297">
        <f t="shared" si="9"/>
        <v>1238</v>
      </c>
      <c r="E31" s="297">
        <f t="shared" si="9"/>
        <v>945</v>
      </c>
      <c r="F31" s="297">
        <f t="shared" si="9"/>
        <v>707</v>
      </c>
      <c r="G31" s="297">
        <f t="shared" si="9"/>
        <v>5537</v>
      </c>
      <c r="H31" s="297">
        <f t="shared" si="9"/>
        <v>5900</v>
      </c>
      <c r="I31" s="297">
        <f t="shared" si="9"/>
        <v>4847</v>
      </c>
      <c r="J31" s="297">
        <f t="shared" si="9"/>
        <v>3986</v>
      </c>
      <c r="K31" s="297">
        <f t="shared" si="9"/>
        <v>3121</v>
      </c>
      <c r="L31" s="297">
        <f t="shared" si="9"/>
        <v>0</v>
      </c>
      <c r="M31" s="297">
        <f t="shared" si="9"/>
        <v>0</v>
      </c>
      <c r="N31" s="38" t="s">
        <v>788</v>
      </c>
      <c r="O31" t="s">
        <v>293</v>
      </c>
      <c r="P31"/>
      <c r="Q31" s="23" t="s">
        <v>789</v>
      </c>
      <c r="R31" s="23" t="s">
        <v>792</v>
      </c>
      <c r="S31" s="23" t="s">
        <v>793</v>
      </c>
      <c r="T31" s="23" t="s">
        <v>794</v>
      </c>
      <c r="U31" s="23"/>
      <c r="V31" s="23"/>
      <c r="W31" s="23"/>
      <c r="X31" s="23"/>
      <c r="Y31" s="23"/>
      <c r="Z31" s="32">
        <f>5981+8522+1029+13556</f>
        <v>29088</v>
      </c>
      <c r="AA31" s="32">
        <f>6695+8991+1170+13651</f>
        <v>30507</v>
      </c>
      <c r="AB31" s="32">
        <f>7737+9027+1364+14644</f>
        <v>32772</v>
      </c>
      <c r="AC31" s="32">
        <v>33499</v>
      </c>
      <c r="AD31" s="32">
        <v>33911</v>
      </c>
      <c r="AE31" s="32">
        <v>31031</v>
      </c>
      <c r="AF31" s="32">
        <v>28849</v>
      </c>
      <c r="AG31" s="32">
        <v>27162</v>
      </c>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c r="CI31" s="23"/>
      <c r="CJ31" s="23"/>
      <c r="CK31" s="23"/>
      <c r="CL31" s="23"/>
      <c r="CM31" s="23"/>
      <c r="CN31" s="23"/>
      <c r="CO31" s="23"/>
      <c r="CP31" s="23"/>
      <c r="CQ31" s="23"/>
      <c r="CR31" s="23"/>
      <c r="CS31" s="23"/>
      <c r="CT31" s="23"/>
      <c r="CU31" s="23"/>
      <c r="CV31" s="23"/>
      <c r="CW31" s="23"/>
      <c r="CX31" s="23"/>
      <c r="CY31" s="23"/>
      <c r="CZ31" s="23"/>
      <c r="DA31" s="23"/>
      <c r="DB31" s="23"/>
      <c r="DC31" s="23"/>
      <c r="DD31" s="23"/>
      <c r="DE31" s="23"/>
      <c r="DF31" s="23"/>
      <c r="DG31" s="23"/>
      <c r="DH31" s="23"/>
      <c r="DI31" s="23"/>
      <c r="DJ31" s="23"/>
      <c r="DK31" s="23"/>
      <c r="DL31" s="23"/>
      <c r="DM31" s="23"/>
      <c r="DN31" s="23"/>
      <c r="DO31" s="23"/>
      <c r="DP31" s="23"/>
      <c r="DQ31" s="23"/>
      <c r="DR31" s="23"/>
      <c r="DS31" s="23"/>
      <c r="DT31" s="23"/>
      <c r="DU31" s="23"/>
      <c r="DV31" s="23"/>
      <c r="DW31" s="23"/>
      <c r="DX31" s="23"/>
      <c r="DY31" s="23"/>
      <c r="DZ31" s="23"/>
      <c r="EA31" s="23"/>
      <c r="EB31" s="23"/>
      <c r="EC31" s="23"/>
      <c r="ED31" s="23"/>
      <c r="EE31" s="23"/>
      <c r="EF31" s="23"/>
      <c r="EG31" s="23"/>
      <c r="EH31" s="23"/>
      <c r="EI31" s="23"/>
      <c r="EJ31" s="23"/>
      <c r="EK31" s="23"/>
      <c r="EL31" s="23"/>
      <c r="EM31" s="23"/>
      <c r="EN31" s="23"/>
      <c r="EO31" s="23"/>
      <c r="EP31" s="23"/>
      <c r="EQ31" s="23"/>
      <c r="ER31" s="23"/>
      <c r="ES31" s="23"/>
      <c r="ET31" s="23"/>
      <c r="EU31" s="23"/>
      <c r="EV31" s="23"/>
    </row>
    <row r="32" spans="1:152" s="24" customFormat="1" ht="15">
      <c r="A32" s="10" t="s">
        <v>795</v>
      </c>
      <c r="B32" s="296">
        <f t="shared" ref="B32:M32" si="10">B38-B27</f>
        <v>38814</v>
      </c>
      <c r="C32" s="296">
        <f t="shared" si="10"/>
        <v>39329</v>
      </c>
      <c r="D32" s="296">
        <f t="shared" si="10"/>
        <v>36515</v>
      </c>
      <c r="E32" s="296">
        <f t="shared" si="10"/>
        <v>29518</v>
      </c>
      <c r="F32" s="296">
        <f t="shared" si="10"/>
        <v>27797</v>
      </c>
      <c r="G32" s="296">
        <f t="shared" si="10"/>
        <v>16280</v>
      </c>
      <c r="H32" s="296">
        <f t="shared" si="10"/>
        <v>16280</v>
      </c>
      <c r="I32" s="296">
        <f t="shared" si="10"/>
        <v>11343</v>
      </c>
      <c r="J32" s="296">
        <f t="shared" si="10"/>
        <v>7867</v>
      </c>
      <c r="K32" s="296">
        <f t="shared" si="10"/>
        <v>4771</v>
      </c>
      <c r="L32" s="296">
        <f t="shared" si="10"/>
        <v>0</v>
      </c>
      <c r="M32" s="296">
        <f t="shared" si="10"/>
        <v>0</v>
      </c>
      <c r="N32" s="38"/>
      <c r="O32"/>
      <c r="P32"/>
      <c r="Q32" s="23"/>
      <c r="R32" s="23"/>
      <c r="S32" s="23"/>
      <c r="T32" s="23"/>
      <c r="U32" s="23"/>
      <c r="V32" s="23"/>
      <c r="W32" s="23"/>
      <c r="X32" s="23"/>
      <c r="Y32" s="23"/>
      <c r="Z32" s="32"/>
      <c r="AA32" s="32"/>
      <c r="AB32" s="32"/>
      <c r="AC32" s="32"/>
      <c r="AD32" s="32"/>
      <c r="AE32" s="32"/>
      <c r="AF32" s="32"/>
      <c r="AG32" s="32"/>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c r="DQ32" s="23"/>
      <c r="DR32" s="23"/>
      <c r="DS32" s="23"/>
      <c r="DT32" s="23"/>
      <c r="DU32" s="23"/>
      <c r="DV32" s="23"/>
      <c r="DW32" s="23"/>
      <c r="DX32" s="23"/>
      <c r="DY32" s="23"/>
      <c r="DZ32" s="23"/>
      <c r="EA32" s="23"/>
      <c r="EB32" s="23"/>
      <c r="EC32" s="23"/>
      <c r="ED32" s="23"/>
      <c r="EE32" s="23"/>
      <c r="EF32" s="23"/>
      <c r="EG32" s="23"/>
      <c r="EH32" s="23"/>
      <c r="EI32" s="23"/>
      <c r="EJ32" s="23"/>
      <c r="EK32" s="23"/>
      <c r="EL32" s="23"/>
      <c r="EM32" s="23"/>
      <c r="EN32" s="23"/>
      <c r="EO32" s="23"/>
      <c r="EP32" s="23"/>
      <c r="EQ32" s="23"/>
      <c r="ER32" s="23"/>
      <c r="ES32" s="23"/>
      <c r="ET32" s="23"/>
      <c r="EU32" s="23"/>
      <c r="EV32" s="23"/>
    </row>
    <row r="33" spans="1:33">
      <c r="A33" s="106" t="s">
        <v>562</v>
      </c>
      <c r="B33" s="297">
        <v>4423</v>
      </c>
      <c r="C33" s="297">
        <v>4379</v>
      </c>
      <c r="D33" s="297">
        <v>4386</v>
      </c>
      <c r="E33" s="297">
        <v>3493</v>
      </c>
      <c r="F33" s="297">
        <v>2513</v>
      </c>
      <c r="G33" s="297">
        <v>787</v>
      </c>
      <c r="H33" s="297">
        <v>787</v>
      </c>
      <c r="I33" s="297">
        <v>641</v>
      </c>
      <c r="J33" s="297">
        <v>545</v>
      </c>
      <c r="K33" s="297">
        <v>471</v>
      </c>
      <c r="L33" s="297"/>
      <c r="M33" s="297"/>
      <c r="N33" s="38"/>
      <c r="O33"/>
      <c r="P33"/>
      <c r="Q33" s="23" t="s">
        <v>789</v>
      </c>
      <c r="R33" s="23" t="s">
        <v>796</v>
      </c>
      <c r="Z33" s="28">
        <v>8614</v>
      </c>
      <c r="AA33" s="28">
        <v>9700</v>
      </c>
      <c r="AB33" s="28">
        <v>12205</v>
      </c>
      <c r="AC33" s="28">
        <v>12625</v>
      </c>
      <c r="AD33" s="28">
        <v>15547</v>
      </c>
      <c r="AE33" s="28">
        <v>14544</v>
      </c>
      <c r="AF33" s="28">
        <v>9587</v>
      </c>
      <c r="AG33" s="28">
        <v>6360</v>
      </c>
    </row>
    <row r="34" spans="1:33">
      <c r="A34" s="106" t="s">
        <v>797</v>
      </c>
      <c r="B34" s="297">
        <v>2430</v>
      </c>
      <c r="C34" s="297">
        <v>2578</v>
      </c>
      <c r="D34" s="297">
        <v>2724</v>
      </c>
      <c r="E34" s="297">
        <v>2202</v>
      </c>
      <c r="F34" s="297">
        <v>1613</v>
      </c>
      <c r="G34" s="297">
        <v>1708</v>
      </c>
      <c r="H34" s="297">
        <v>1708</v>
      </c>
      <c r="I34" s="297">
        <v>737</v>
      </c>
      <c r="J34" s="297">
        <v>0</v>
      </c>
      <c r="K34" s="297">
        <v>530</v>
      </c>
      <c r="L34" s="297"/>
      <c r="M34" s="297"/>
      <c r="N34" s="38"/>
      <c r="O34"/>
      <c r="P34"/>
      <c r="Z34" s="28"/>
      <c r="AA34" s="28"/>
      <c r="AB34" s="28"/>
      <c r="AC34" s="28"/>
      <c r="AD34" s="28"/>
      <c r="AE34" s="28"/>
      <c r="AF34" s="28"/>
      <c r="AG34" s="28"/>
    </row>
    <row r="35" spans="1:33">
      <c r="A35" s="106" t="s">
        <v>798</v>
      </c>
      <c r="B35" s="297">
        <v>0</v>
      </c>
      <c r="C35" s="297">
        <v>0</v>
      </c>
      <c r="D35" s="297">
        <v>0</v>
      </c>
      <c r="E35" s="297">
        <v>0</v>
      </c>
      <c r="F35" s="297">
        <v>0</v>
      </c>
      <c r="G35" s="297">
        <v>0</v>
      </c>
      <c r="H35" s="297">
        <v>0</v>
      </c>
      <c r="I35" s="297">
        <v>0</v>
      </c>
      <c r="J35" s="297">
        <v>0</v>
      </c>
      <c r="K35" s="297">
        <v>0</v>
      </c>
      <c r="L35" s="297"/>
      <c r="M35" s="297"/>
      <c r="N35" s="38"/>
      <c r="O35"/>
      <c r="P35"/>
      <c r="Z35" s="28"/>
      <c r="AA35" s="28"/>
      <c r="AB35" s="28"/>
      <c r="AC35" s="28"/>
      <c r="AD35" s="28"/>
      <c r="AE35" s="28"/>
      <c r="AF35" s="28"/>
      <c r="AG35" s="28"/>
    </row>
    <row r="36" spans="1:33">
      <c r="A36" s="106" t="s">
        <v>799</v>
      </c>
      <c r="B36" s="297">
        <f t="shared" ref="B36" si="11">B32-SUM(B33:B35)</f>
        <v>31961</v>
      </c>
      <c r="C36" s="297">
        <f t="shared" ref="C36" si="12">C32-SUM(C33:C35)</f>
        <v>32372</v>
      </c>
      <c r="D36" s="297">
        <f t="shared" ref="D36" si="13">D32-SUM(D33:D35)</f>
        <v>29405</v>
      </c>
      <c r="E36" s="297">
        <f>E32-SUM(E33:E35)</f>
        <v>23823</v>
      </c>
      <c r="F36" s="297">
        <f t="shared" ref="F36" si="14">F32-SUM(F33:F35)</f>
        <v>23671</v>
      </c>
      <c r="G36" s="297">
        <f t="shared" ref="G36" si="15">G32-SUM(G33:G35)</f>
        <v>13785</v>
      </c>
      <c r="H36" s="297">
        <f t="shared" ref="H36" si="16">H32-SUM(H33:H35)</f>
        <v>13785</v>
      </c>
      <c r="I36" s="297">
        <f t="shared" ref="I36" si="17">I32-SUM(I33:I35)</f>
        <v>9965</v>
      </c>
      <c r="J36" s="297">
        <f t="shared" ref="J36" si="18">J32-SUM(J33:J35)</f>
        <v>7322</v>
      </c>
      <c r="K36" s="297">
        <f t="shared" ref="K36" si="19">K32-SUM(K33:K35)</f>
        <v>3770</v>
      </c>
      <c r="L36" s="297">
        <f t="shared" ref="L36" si="20">L32-SUM(L33:L35)</f>
        <v>0</v>
      </c>
      <c r="M36" s="297">
        <f t="shared" ref="M36" si="21">M32-SUM(M33:M35)</f>
        <v>0</v>
      </c>
      <c r="N36" s="38" t="s">
        <v>788</v>
      </c>
      <c r="O36" t="s">
        <v>562</v>
      </c>
      <c r="P36"/>
      <c r="Z36" s="28"/>
      <c r="AA36" s="28"/>
      <c r="AB36" s="28"/>
      <c r="AC36" s="28"/>
      <c r="AD36" s="28"/>
      <c r="AE36" s="28"/>
      <c r="AF36" s="28"/>
      <c r="AG36" s="28"/>
    </row>
    <row r="37" spans="1:33">
      <c r="A37" s="23" t="s">
        <v>563</v>
      </c>
      <c r="B37" s="396">
        <f>B31+B36</f>
        <v>33454</v>
      </c>
      <c r="C37" s="396">
        <f>C31+C36</f>
        <v>34591</v>
      </c>
      <c r="D37" s="396">
        <f t="shared" ref="D37:M37" si="22">D31+D36</f>
        <v>30643</v>
      </c>
      <c r="E37" s="396">
        <f t="shared" si="22"/>
        <v>24768</v>
      </c>
      <c r="F37" s="396">
        <f t="shared" si="22"/>
        <v>24378</v>
      </c>
      <c r="G37" s="396">
        <f t="shared" si="22"/>
        <v>19322</v>
      </c>
      <c r="H37" s="396">
        <f t="shared" si="22"/>
        <v>19685</v>
      </c>
      <c r="I37" s="396">
        <f t="shared" si="22"/>
        <v>14812</v>
      </c>
      <c r="J37" s="396">
        <f t="shared" si="22"/>
        <v>11308</v>
      </c>
      <c r="K37" s="396">
        <f t="shared" si="22"/>
        <v>6891</v>
      </c>
      <c r="L37" s="396">
        <f t="shared" si="22"/>
        <v>0</v>
      </c>
      <c r="M37" s="396">
        <f t="shared" si="22"/>
        <v>0</v>
      </c>
      <c r="N37" s="38" t="s">
        <v>788</v>
      </c>
      <c r="O37"/>
      <c r="P37"/>
      <c r="Z37" s="28"/>
      <c r="AA37" s="28"/>
      <c r="AB37" s="28"/>
      <c r="AC37" s="28"/>
      <c r="AD37" s="28"/>
      <c r="AE37" s="28"/>
      <c r="AF37" s="28"/>
      <c r="AG37" s="28"/>
    </row>
    <row r="38" spans="1:33" ht="15">
      <c r="A38" s="10" t="s">
        <v>58</v>
      </c>
      <c r="B38" s="296">
        <v>48732</v>
      </c>
      <c r="C38" s="296">
        <v>48595</v>
      </c>
      <c r="D38" s="296">
        <v>44585</v>
      </c>
      <c r="E38" s="296">
        <v>39280</v>
      </c>
      <c r="F38" s="296">
        <v>33976</v>
      </c>
      <c r="G38" s="296">
        <v>25974</v>
      </c>
      <c r="H38" s="296">
        <v>25974</v>
      </c>
      <c r="I38" s="296">
        <v>19013</v>
      </c>
      <c r="J38" s="296">
        <v>13587</v>
      </c>
      <c r="K38" s="296">
        <v>10203</v>
      </c>
      <c r="L38" s="296"/>
      <c r="M38" s="296"/>
      <c r="N38" s="38" t="s">
        <v>788</v>
      </c>
      <c r="O38" t="s">
        <v>58</v>
      </c>
      <c r="P38"/>
      <c r="Q38" s="23" t="s">
        <v>789</v>
      </c>
      <c r="R38" s="23" t="s">
        <v>800</v>
      </c>
      <c r="Z38" s="28">
        <v>15322</v>
      </c>
      <c r="AA38" s="28">
        <v>16090</v>
      </c>
      <c r="AB38" s="28">
        <f>16577</f>
        <v>16577</v>
      </c>
      <c r="AC38" s="28">
        <v>17075</v>
      </c>
      <c r="AD38" s="28">
        <v>16461</v>
      </c>
      <c r="AE38" s="28">
        <v>14395</v>
      </c>
      <c r="AF38" s="28">
        <v>12539</v>
      </c>
      <c r="AG38" s="28">
        <v>12386</v>
      </c>
    </row>
    <row r="39" spans="1:33">
      <c r="B39" s="396"/>
      <c r="C39" s="396"/>
      <c r="D39" s="396"/>
      <c r="E39" s="396"/>
      <c r="F39" s="396"/>
      <c r="G39" s="396"/>
      <c r="H39" s="396"/>
      <c r="I39" s="396"/>
      <c r="J39" s="396"/>
      <c r="K39" s="396"/>
      <c r="L39" s="396"/>
      <c r="M39" s="396"/>
      <c r="N39" s="38" t="s">
        <v>788</v>
      </c>
      <c r="O39"/>
      <c r="P39"/>
      <c r="Z39" s="25">
        <f t="shared" ref="Z39:AG39" si="23">Z40-SUM(Z30:Z38)</f>
        <v>14512</v>
      </c>
      <c r="AA39" s="25">
        <f t="shared" si="23"/>
        <v>15585</v>
      </c>
      <c r="AB39" s="25">
        <f t="shared" si="23"/>
        <v>15786</v>
      </c>
      <c r="AC39" s="25">
        <f t="shared" si="23"/>
        <v>15616</v>
      </c>
      <c r="AD39" s="25">
        <f t="shared" si="23"/>
        <v>17947</v>
      </c>
      <c r="AE39" s="25">
        <f t="shared" si="23"/>
        <v>18419</v>
      </c>
      <c r="AF39" s="25">
        <f t="shared" si="23"/>
        <v>9453</v>
      </c>
      <c r="AG39" s="25">
        <f t="shared" si="23"/>
        <v>9263</v>
      </c>
    </row>
    <row r="40" spans="1:33" ht="15">
      <c r="B40" s="396"/>
      <c r="C40" s="396"/>
      <c r="D40" s="396"/>
      <c r="E40" s="396"/>
      <c r="F40" s="396"/>
      <c r="G40" s="396"/>
      <c r="H40" s="396"/>
      <c r="I40" s="396"/>
      <c r="J40" s="396"/>
      <c r="K40" s="396"/>
      <c r="L40" s="396"/>
      <c r="M40" s="396"/>
      <c r="N40" s="38" t="s">
        <v>788</v>
      </c>
      <c r="O40"/>
      <c r="P40"/>
      <c r="Q40" s="23" t="s">
        <v>789</v>
      </c>
      <c r="R40" s="23" t="s">
        <v>801</v>
      </c>
      <c r="Z40" s="39">
        <v>74704</v>
      </c>
      <c r="AA40" s="39">
        <v>78342</v>
      </c>
      <c r="AB40" s="39">
        <v>84681</v>
      </c>
      <c r="AC40" s="39">
        <v>84896</v>
      </c>
      <c r="AD40" s="39">
        <v>89356</v>
      </c>
      <c r="AE40" s="39">
        <v>81446</v>
      </c>
      <c r="AF40" s="39">
        <v>64020</v>
      </c>
      <c r="AG40" s="39">
        <v>60038</v>
      </c>
    </row>
    <row r="41" spans="1:33" ht="15">
      <c r="A41" s="107" t="s">
        <v>802</v>
      </c>
      <c r="B41" s="296"/>
      <c r="C41" s="296"/>
      <c r="D41" s="296"/>
      <c r="E41" s="296"/>
      <c r="F41" s="296"/>
      <c r="G41" s="296"/>
      <c r="H41" s="296"/>
      <c r="I41" s="296"/>
      <c r="J41" s="296"/>
      <c r="K41" s="296"/>
      <c r="L41" s="296"/>
      <c r="M41" s="296"/>
      <c r="N41" s="38" t="s">
        <v>788</v>
      </c>
      <c r="O41"/>
      <c r="P41"/>
      <c r="Z41" s="30"/>
      <c r="AA41" s="30"/>
      <c r="AB41" s="30"/>
      <c r="AC41" s="30"/>
      <c r="AD41" s="30"/>
      <c r="AE41" s="30"/>
      <c r="AF41" s="30"/>
      <c r="AG41" s="30"/>
    </row>
    <row r="42" spans="1:33" ht="15">
      <c r="A42" s="10" t="s">
        <v>297</v>
      </c>
      <c r="B42" s="296">
        <v>8861</v>
      </c>
      <c r="C42" s="296">
        <v>7931</v>
      </c>
      <c r="D42" s="296">
        <v>8489</v>
      </c>
      <c r="E42" s="296">
        <v>7806</v>
      </c>
      <c r="F42" s="296">
        <v>6856</v>
      </c>
      <c r="G42" s="296">
        <v>6487</v>
      </c>
      <c r="H42" s="296">
        <v>6487</v>
      </c>
      <c r="I42" s="296">
        <v>5466</v>
      </c>
      <c r="J42" s="296">
        <v>4587</v>
      </c>
      <c r="K42" s="296">
        <v>3530</v>
      </c>
      <c r="L42" s="296"/>
      <c r="M42" s="296"/>
      <c r="N42" s="38" t="s">
        <v>788</v>
      </c>
      <c r="O42" t="s">
        <v>297</v>
      </c>
      <c r="P42"/>
      <c r="Z42" s="30"/>
      <c r="AA42" s="30"/>
      <c r="AB42" s="30"/>
      <c r="AC42" s="30"/>
      <c r="AD42" s="30"/>
      <c r="AE42" s="30"/>
      <c r="AF42" s="30"/>
      <c r="AG42" s="30"/>
    </row>
    <row r="43" spans="1:33" ht="15">
      <c r="A43" s="104" t="s">
        <v>803</v>
      </c>
      <c r="B43" s="297">
        <v>5214</v>
      </c>
      <c r="C43" s="297">
        <v>5152</v>
      </c>
      <c r="D43" s="297">
        <v>5130</v>
      </c>
      <c r="E43" s="297">
        <v>5086</v>
      </c>
      <c r="F43" s="297">
        <v>5088</v>
      </c>
      <c r="G43" s="297">
        <v>5245</v>
      </c>
      <c r="H43" s="297">
        <v>5249</v>
      </c>
      <c r="I43" s="297">
        <v>4533</v>
      </c>
      <c r="J43" s="297">
        <v>3946</v>
      </c>
      <c r="K43" s="297">
        <v>3043</v>
      </c>
      <c r="L43" s="297"/>
      <c r="M43" s="297"/>
      <c r="N43" s="38"/>
      <c r="O43"/>
      <c r="P43"/>
      <c r="Z43" s="37"/>
      <c r="AA43" s="37"/>
      <c r="AB43" s="37"/>
      <c r="AC43" s="37"/>
      <c r="AD43" s="37"/>
      <c r="AE43" s="36"/>
      <c r="AF43" s="36"/>
      <c r="AG43" s="36"/>
    </row>
    <row r="44" spans="1:33" s="10" customFormat="1" ht="15">
      <c r="A44" s="27" t="s">
        <v>565</v>
      </c>
      <c r="B44" s="297">
        <v>0</v>
      </c>
      <c r="C44" s="297">
        <v>0</v>
      </c>
      <c r="D44" s="297">
        <v>0</v>
      </c>
      <c r="E44" s="297">
        <v>0</v>
      </c>
      <c r="F44" s="297">
        <v>0</v>
      </c>
      <c r="G44" s="297">
        <v>0</v>
      </c>
      <c r="H44" s="297">
        <v>0</v>
      </c>
      <c r="I44" s="297">
        <v>0</v>
      </c>
      <c r="J44" s="297">
        <v>0</v>
      </c>
      <c r="K44" s="297">
        <v>0</v>
      </c>
      <c r="L44" s="297"/>
      <c r="M44" s="297"/>
      <c r="N44" s="38" t="s">
        <v>788</v>
      </c>
      <c r="O44" t="s">
        <v>804</v>
      </c>
      <c r="P44"/>
      <c r="Q44" s="23" t="s">
        <v>789</v>
      </c>
      <c r="R44" s="10" t="s">
        <v>805</v>
      </c>
      <c r="Z44" s="39">
        <v>26132</v>
      </c>
      <c r="AA44" s="39">
        <v>26242</v>
      </c>
      <c r="AB44" s="39">
        <v>27877</v>
      </c>
      <c r="AC44" s="39">
        <v>27297</v>
      </c>
      <c r="AD44" s="39">
        <v>29415</v>
      </c>
      <c r="AE44" s="39">
        <f>93+3895+8161+3386+2410+2691+298+1967+558+5102</f>
        <v>28561</v>
      </c>
      <c r="AF44" s="39">
        <f>204+3852+5856+2880+1670+1831+281+1521+495+3430</f>
        <v>22020</v>
      </c>
      <c r="AG44" s="39">
        <f>433+3650+2993+3351+797+1217+262+888+302+5399</f>
        <v>19292</v>
      </c>
    </row>
    <row r="45" spans="1:33" s="10" customFormat="1" ht="15">
      <c r="A45" s="27" t="s">
        <v>566</v>
      </c>
      <c r="B45" s="297">
        <v>383</v>
      </c>
      <c r="C45" s="297">
        <v>356</v>
      </c>
      <c r="D45" s="297">
        <v>315</v>
      </c>
      <c r="E45" s="297">
        <v>256</v>
      </c>
      <c r="F45" s="297">
        <v>191</v>
      </c>
      <c r="G45" s="297"/>
      <c r="H45" s="297"/>
      <c r="I45" s="297"/>
      <c r="J45" s="297"/>
      <c r="K45" s="297"/>
      <c r="L45" s="297"/>
      <c r="M45" s="297"/>
      <c r="N45" s="38"/>
      <c r="O45"/>
      <c r="P45"/>
      <c r="Q45" s="23"/>
      <c r="Z45" s="39"/>
      <c r="AA45" s="39"/>
      <c r="AB45" s="39"/>
      <c r="AC45" s="39"/>
      <c r="AD45" s="39"/>
      <c r="AE45" s="39"/>
      <c r="AF45" s="39"/>
      <c r="AG45" s="39"/>
    </row>
    <row r="46" spans="1:33">
      <c r="A46" s="104" t="s">
        <v>567</v>
      </c>
      <c r="B46" s="297">
        <f t="shared" ref="B46" si="24">B42-SUM(B43:B45)</f>
        <v>3264</v>
      </c>
      <c r="C46" s="297">
        <f t="shared" ref="C46:M46" si="25">C42-SUM(C43:C45)</f>
        <v>2423</v>
      </c>
      <c r="D46" s="297">
        <f t="shared" si="25"/>
        <v>3044</v>
      </c>
      <c r="E46" s="297">
        <f t="shared" si="25"/>
        <v>2464</v>
      </c>
      <c r="F46" s="297">
        <f>F42-SUM(F43:F45)</f>
        <v>1577</v>
      </c>
      <c r="G46" s="297">
        <f t="shared" si="25"/>
        <v>1242</v>
      </c>
      <c r="H46" s="297">
        <f t="shared" si="25"/>
        <v>1238</v>
      </c>
      <c r="I46" s="297">
        <f t="shared" si="25"/>
        <v>933</v>
      </c>
      <c r="J46" s="297">
        <f t="shared" si="25"/>
        <v>641</v>
      </c>
      <c r="K46" s="297">
        <f t="shared" si="25"/>
        <v>487</v>
      </c>
      <c r="L46" s="297">
        <f t="shared" si="25"/>
        <v>0</v>
      </c>
      <c r="M46" s="297">
        <f t="shared" si="25"/>
        <v>0</v>
      </c>
      <c r="N46" s="38" t="s">
        <v>788</v>
      </c>
      <c r="O46"/>
      <c r="P46"/>
      <c r="R46" s="23" t="s">
        <v>806</v>
      </c>
      <c r="Z46" s="32">
        <v>7303</v>
      </c>
      <c r="AA46" s="32">
        <v>6967</v>
      </c>
      <c r="AB46" s="32">
        <v>4708</v>
      </c>
      <c r="AC46" s="32">
        <v>3679</v>
      </c>
      <c r="AD46" s="32">
        <v>5287</v>
      </c>
      <c r="AE46" s="32">
        <v>5660</v>
      </c>
      <c r="AF46" s="32">
        <v>3925</v>
      </c>
      <c r="AG46" s="32">
        <v>5701</v>
      </c>
    </row>
    <row r="47" spans="1:33" ht="15">
      <c r="A47" s="10" t="s">
        <v>568</v>
      </c>
      <c r="B47" s="296">
        <f t="shared" ref="B47:M47" si="26">B51-B42</f>
        <v>19283</v>
      </c>
      <c r="C47" s="296">
        <f t="shared" si="26"/>
        <v>19886</v>
      </c>
      <c r="D47" s="296">
        <f t="shared" si="26"/>
        <v>20246</v>
      </c>
      <c r="E47" s="296">
        <f t="shared" si="26"/>
        <v>20409</v>
      </c>
      <c r="F47" s="296">
        <f t="shared" si="26"/>
        <v>19538</v>
      </c>
      <c r="G47" s="296">
        <f t="shared" si="26"/>
        <v>14249</v>
      </c>
      <c r="H47" s="296">
        <f t="shared" si="26"/>
        <v>14249</v>
      </c>
      <c r="I47" s="296">
        <f t="shared" si="26"/>
        <v>9965</v>
      </c>
      <c r="J47" s="296">
        <f t="shared" si="26"/>
        <v>6320</v>
      </c>
      <c r="K47" s="296">
        <f t="shared" si="26"/>
        <v>4449</v>
      </c>
      <c r="L47" s="296">
        <f t="shared" si="26"/>
        <v>0</v>
      </c>
      <c r="M47" s="296">
        <f t="shared" si="26"/>
        <v>0</v>
      </c>
      <c r="N47" s="38" t="s">
        <v>788</v>
      </c>
      <c r="O47" t="s">
        <v>807</v>
      </c>
      <c r="P47"/>
      <c r="Z47" s="32"/>
      <c r="AA47" s="32"/>
      <c r="AB47" s="32"/>
      <c r="AC47" s="32"/>
      <c r="AD47" s="32"/>
      <c r="AE47" s="32"/>
      <c r="AF47" s="32"/>
      <c r="AG47" s="32"/>
    </row>
    <row r="48" spans="1:33">
      <c r="A48" s="27" t="s">
        <v>569</v>
      </c>
      <c r="B48" s="297">
        <v>14143</v>
      </c>
      <c r="C48" s="297">
        <v>14353</v>
      </c>
      <c r="D48" s="297">
        <v>14693</v>
      </c>
      <c r="E48" s="297">
        <v>15809</v>
      </c>
      <c r="F48" s="297">
        <v>14759</v>
      </c>
      <c r="G48" s="297">
        <v>10360</v>
      </c>
      <c r="H48" s="297">
        <v>10388</v>
      </c>
      <c r="I48" s="297">
        <v>6529</v>
      </c>
      <c r="J48" s="297">
        <v>3394</v>
      </c>
      <c r="K48" s="297">
        <v>2400</v>
      </c>
      <c r="L48" s="297"/>
      <c r="M48" s="297"/>
      <c r="N48" s="38" t="s">
        <v>788</v>
      </c>
      <c r="O48" t="s">
        <v>808</v>
      </c>
      <c r="P48"/>
      <c r="Z48" s="25">
        <f t="shared" ref="Z48:AG48" si="27">Z44-Z46</f>
        <v>18829</v>
      </c>
      <c r="AA48" s="25">
        <f t="shared" si="27"/>
        <v>19275</v>
      </c>
      <c r="AB48" s="25">
        <f t="shared" si="27"/>
        <v>23169</v>
      </c>
      <c r="AC48" s="25">
        <f t="shared" si="27"/>
        <v>23618</v>
      </c>
      <c r="AD48" s="25">
        <f t="shared" si="27"/>
        <v>24128</v>
      </c>
      <c r="AE48" s="25">
        <f t="shared" si="27"/>
        <v>22901</v>
      </c>
      <c r="AF48" s="25">
        <f t="shared" si="27"/>
        <v>18095</v>
      </c>
      <c r="AG48" s="25">
        <f t="shared" si="27"/>
        <v>13591</v>
      </c>
    </row>
    <row r="49" spans="1:33" s="10" customFormat="1" ht="15">
      <c r="A49" s="27" t="s">
        <v>570</v>
      </c>
      <c r="B49" s="297">
        <v>2046</v>
      </c>
      <c r="C49" s="297">
        <v>2223</v>
      </c>
      <c r="D49" s="297">
        <v>2408</v>
      </c>
      <c r="E49" s="297">
        <v>1946</v>
      </c>
      <c r="F49" s="297">
        <v>1423</v>
      </c>
      <c r="G49" s="297"/>
      <c r="H49" s="297"/>
      <c r="I49" s="297"/>
      <c r="J49" s="297"/>
      <c r="K49" s="297"/>
      <c r="L49" s="297"/>
      <c r="M49" s="297"/>
      <c r="N49" s="38"/>
      <c r="O49"/>
      <c r="P49"/>
      <c r="Q49" s="23" t="s">
        <v>789</v>
      </c>
      <c r="R49" s="10" t="s">
        <v>809</v>
      </c>
      <c r="Z49" s="39">
        <f>61491-Z44</f>
        <v>35359</v>
      </c>
      <c r="AA49" s="39">
        <f>63457-AA44</f>
        <v>37215</v>
      </c>
      <c r="AB49" s="39">
        <f>67855-AB44</f>
        <v>39978</v>
      </c>
      <c r="AC49" s="39">
        <v>36721</v>
      </c>
      <c r="AD49" s="39">
        <v>41973</v>
      </c>
      <c r="AE49" s="39">
        <f>8415+16529+10956+3583</f>
        <v>39483</v>
      </c>
      <c r="AF49" s="39">
        <f>4505+15932+7584+2654</f>
        <v>30675</v>
      </c>
      <c r="AG49" s="39">
        <f>5652+16195+7420+2179</f>
        <v>31446</v>
      </c>
    </row>
    <row r="50" spans="1:33">
      <c r="A50" s="104" t="s">
        <v>571</v>
      </c>
      <c r="B50" s="297">
        <f t="shared" ref="B50" si="28">B47-SUM(B48:B49)</f>
        <v>3094</v>
      </c>
      <c r="C50" s="297">
        <f t="shared" ref="C50:M50" si="29">C47-SUM(C48:C49)</f>
        <v>3310</v>
      </c>
      <c r="D50" s="297">
        <f t="shared" si="29"/>
        <v>3145</v>
      </c>
      <c r="E50" s="297">
        <f t="shared" si="29"/>
        <v>2654</v>
      </c>
      <c r="F50" s="297">
        <f t="shared" si="29"/>
        <v>3356</v>
      </c>
      <c r="G50" s="297">
        <f t="shared" si="29"/>
        <v>3889</v>
      </c>
      <c r="H50" s="297">
        <f t="shared" si="29"/>
        <v>3861</v>
      </c>
      <c r="I50" s="297">
        <f t="shared" si="29"/>
        <v>3436</v>
      </c>
      <c r="J50" s="297">
        <f t="shared" si="29"/>
        <v>2926</v>
      </c>
      <c r="K50" s="297">
        <f>K47-SUM(K48:K49)</f>
        <v>2049</v>
      </c>
      <c r="L50" s="297">
        <f t="shared" si="29"/>
        <v>0</v>
      </c>
      <c r="M50" s="297">
        <f t="shared" si="29"/>
        <v>0</v>
      </c>
      <c r="N50" s="38" t="s">
        <v>788</v>
      </c>
      <c r="O50" t="s">
        <v>810</v>
      </c>
      <c r="P50"/>
      <c r="R50" s="23" t="s">
        <v>811</v>
      </c>
      <c r="Z50" s="28">
        <v>22818</v>
      </c>
      <c r="AA50" s="28">
        <v>25169</v>
      </c>
      <c r="AB50" s="28">
        <v>27784</v>
      </c>
      <c r="AC50" s="28">
        <v>26719</v>
      </c>
      <c r="AD50" s="28">
        <v>27752</v>
      </c>
      <c r="AE50" s="28">
        <v>24944</v>
      </c>
      <c r="AF50" s="28">
        <v>20437</v>
      </c>
      <c r="AG50" s="28">
        <v>21847</v>
      </c>
    </row>
    <row r="51" spans="1:33" ht="15">
      <c r="A51" s="10" t="s">
        <v>64</v>
      </c>
      <c r="B51" s="296">
        <v>28144</v>
      </c>
      <c r="C51" s="296">
        <v>27817</v>
      </c>
      <c r="D51" s="296">
        <v>28735</v>
      </c>
      <c r="E51" s="296">
        <v>28215</v>
      </c>
      <c r="F51" s="296">
        <v>26394</v>
      </c>
      <c r="G51" s="296">
        <v>20736</v>
      </c>
      <c r="H51" s="296">
        <v>20736</v>
      </c>
      <c r="I51" s="296">
        <v>15431</v>
      </c>
      <c r="J51" s="296">
        <v>10907</v>
      </c>
      <c r="K51" s="296">
        <v>7979</v>
      </c>
      <c r="L51" s="296"/>
      <c r="M51" s="296"/>
      <c r="N51" s="38" t="s">
        <v>788</v>
      </c>
      <c r="O51" t="s">
        <v>64</v>
      </c>
      <c r="P51"/>
      <c r="Z51" s="28"/>
      <c r="AA51" s="28"/>
      <c r="AB51" s="28"/>
      <c r="AC51" s="28"/>
      <c r="AD51" s="28"/>
      <c r="AE51" s="28"/>
      <c r="AF51" s="28"/>
      <c r="AG51" s="28"/>
    </row>
    <row r="52" spans="1:33">
      <c r="B52" s="396"/>
      <c r="C52" s="396"/>
      <c r="D52" s="396"/>
      <c r="E52" s="396"/>
      <c r="F52" s="396"/>
      <c r="G52" s="396"/>
      <c r="H52" s="396"/>
      <c r="I52" s="396"/>
      <c r="J52" s="396"/>
      <c r="K52" s="396"/>
      <c r="L52" s="396"/>
      <c r="M52" s="396"/>
      <c r="N52" s="38" t="s">
        <v>788</v>
      </c>
      <c r="O52"/>
      <c r="P52"/>
      <c r="Z52" s="25">
        <f t="shared" ref="Z52:AG52" si="30">Z49-Z50</f>
        <v>12541</v>
      </c>
      <c r="AA52" s="25">
        <f t="shared" si="30"/>
        <v>12046</v>
      </c>
      <c r="AB52" s="25">
        <f t="shared" si="30"/>
        <v>12194</v>
      </c>
      <c r="AC52" s="25">
        <f t="shared" si="30"/>
        <v>10002</v>
      </c>
      <c r="AD52" s="25">
        <f t="shared" si="30"/>
        <v>14221</v>
      </c>
      <c r="AE52" s="25">
        <f t="shared" si="30"/>
        <v>14539</v>
      </c>
      <c r="AF52" s="25">
        <f t="shared" si="30"/>
        <v>10238</v>
      </c>
      <c r="AG52" s="25">
        <f t="shared" si="30"/>
        <v>9599</v>
      </c>
    </row>
    <row r="53" spans="1:33" s="10" customFormat="1" ht="15">
      <c r="A53" s="23"/>
      <c r="B53" s="396"/>
      <c r="C53" s="396"/>
      <c r="D53" s="396"/>
      <c r="E53" s="396"/>
      <c r="F53" s="396"/>
      <c r="G53" s="396"/>
      <c r="H53" s="396"/>
      <c r="I53" s="396"/>
      <c r="J53" s="396"/>
      <c r="K53" s="396"/>
      <c r="L53" s="396"/>
      <c r="M53" s="396"/>
      <c r="N53" s="38" t="s">
        <v>788</v>
      </c>
      <c r="O53"/>
      <c r="P53"/>
      <c r="Z53" s="36">
        <f>+Z49+Z44</f>
        <v>61491</v>
      </c>
      <c r="AA53" s="36">
        <f>+AA49+AA44</f>
        <v>63457</v>
      </c>
      <c r="AB53" s="36">
        <f>+AB49+AB44</f>
        <v>67855</v>
      </c>
      <c r="AC53" s="36">
        <f>AC44+AC49</f>
        <v>64018</v>
      </c>
      <c r="AD53" s="36">
        <f>AD49+AD44</f>
        <v>71388</v>
      </c>
      <c r="AE53" s="36">
        <f>AE49+AE44</f>
        <v>68044</v>
      </c>
      <c r="AF53" s="36">
        <f>AF49+AF44</f>
        <v>52695</v>
      </c>
      <c r="AG53" s="36">
        <f>AG49+AG44</f>
        <v>50738</v>
      </c>
    </row>
    <row r="54" spans="1:33" ht="15">
      <c r="A54" s="40" t="s">
        <v>573</v>
      </c>
      <c r="B54" s="400">
        <v>0</v>
      </c>
      <c r="C54" s="400">
        <v>0</v>
      </c>
      <c r="D54" s="400">
        <v>0</v>
      </c>
      <c r="E54" s="400">
        <v>0</v>
      </c>
      <c r="F54" s="400">
        <v>0</v>
      </c>
      <c r="G54" s="400">
        <v>0</v>
      </c>
      <c r="H54" s="400">
        <v>0</v>
      </c>
      <c r="I54" s="400">
        <v>0</v>
      </c>
      <c r="J54" s="400">
        <v>0</v>
      </c>
      <c r="K54" s="400">
        <v>0</v>
      </c>
      <c r="L54" s="400"/>
      <c r="M54" s="400"/>
      <c r="N54" s="38" t="s">
        <v>788</v>
      </c>
      <c r="O54" t="s">
        <v>573</v>
      </c>
      <c r="P54"/>
    </row>
    <row r="55" spans="1:33">
      <c r="B55" s="396"/>
      <c r="C55" s="396"/>
      <c r="D55" s="396"/>
      <c r="E55" s="396"/>
      <c r="F55" s="396"/>
      <c r="G55" s="396"/>
      <c r="H55" s="396"/>
      <c r="I55" s="396"/>
      <c r="J55" s="396"/>
      <c r="K55" s="396"/>
      <c r="L55" s="396"/>
      <c r="M55" s="396"/>
      <c r="N55" s="38" t="s">
        <v>788</v>
      </c>
      <c r="O55"/>
      <c r="P55"/>
    </row>
    <row r="56" spans="1:33" s="10" customFormat="1" ht="15">
      <c r="A56" s="10" t="s">
        <v>574</v>
      </c>
      <c r="B56" s="296">
        <f t="shared" ref="B56" si="31">B38-B51-B54</f>
        <v>20588</v>
      </c>
      <c r="C56" s="296">
        <f t="shared" ref="C56:M56" si="32">C38-C51-C54</f>
        <v>20778</v>
      </c>
      <c r="D56" s="296">
        <f t="shared" si="32"/>
        <v>15850</v>
      </c>
      <c r="E56" s="296">
        <f>E38-E51-E54</f>
        <v>11065</v>
      </c>
      <c r="F56" s="296">
        <f t="shared" si="32"/>
        <v>7582</v>
      </c>
      <c r="G56" s="296">
        <f t="shared" si="32"/>
        <v>5238</v>
      </c>
      <c r="H56" s="296">
        <f t="shared" si="32"/>
        <v>5238</v>
      </c>
      <c r="I56" s="296">
        <f t="shared" si="32"/>
        <v>3582</v>
      </c>
      <c r="J56" s="296">
        <f>J38-J51-J54</f>
        <v>2680</v>
      </c>
      <c r="K56" s="296">
        <f>K38-K51-K54</f>
        <v>2224</v>
      </c>
      <c r="L56" s="296">
        <f t="shared" si="32"/>
        <v>0</v>
      </c>
      <c r="M56" s="296">
        <f t="shared" si="32"/>
        <v>0</v>
      </c>
      <c r="N56" s="38" t="s">
        <v>788</v>
      </c>
      <c r="O56"/>
      <c r="P56"/>
      <c r="Q56" s="23" t="s">
        <v>789</v>
      </c>
      <c r="R56" s="10" t="s">
        <v>812</v>
      </c>
    </row>
    <row r="57" spans="1:33" ht="15">
      <c r="A57" s="10"/>
      <c r="B57" s="296"/>
      <c r="C57" s="296"/>
      <c r="D57" s="296"/>
      <c r="E57" s="296"/>
      <c r="F57" s="296"/>
      <c r="G57" s="296"/>
      <c r="H57" s="296"/>
      <c r="I57" s="296"/>
      <c r="J57" s="296"/>
      <c r="K57" s="296"/>
      <c r="L57" s="296"/>
      <c r="M57" s="296"/>
      <c r="N57" s="38"/>
      <c r="O57"/>
      <c r="P57"/>
    </row>
    <row r="58" spans="1:33" ht="15">
      <c r="A58" s="52" t="s">
        <v>813</v>
      </c>
      <c r="B58" s="296"/>
      <c r="C58" s="296"/>
      <c r="D58" s="296"/>
      <c r="E58" s="296"/>
      <c r="F58" s="296"/>
      <c r="G58" s="296"/>
      <c r="H58" s="296"/>
      <c r="I58" s="296"/>
      <c r="J58" s="296"/>
      <c r="K58" s="296"/>
      <c r="L58" s="296"/>
      <c r="M58" s="296"/>
      <c r="N58" s="38"/>
      <c r="O58"/>
      <c r="P58"/>
    </row>
    <row r="59" spans="1:33" ht="15">
      <c r="A59" s="10" t="s">
        <v>148</v>
      </c>
      <c r="B59" s="296">
        <v>7274.3</v>
      </c>
      <c r="C59" s="296">
        <v>2026.3</v>
      </c>
      <c r="D59" s="296">
        <v>392.6</v>
      </c>
      <c r="E59" s="296">
        <v>2427.1</v>
      </c>
      <c r="F59" s="296">
        <v>-2887.3</v>
      </c>
      <c r="G59" s="296">
        <v>-2680.5</v>
      </c>
      <c r="H59" s="296">
        <v>-1785.9</v>
      </c>
      <c r="I59" s="296">
        <v>-1474</v>
      </c>
      <c r="J59" s="296">
        <v>-749.4</v>
      </c>
      <c r="K59" s="296">
        <v>16.5</v>
      </c>
      <c r="L59" s="296"/>
      <c r="M59" s="296"/>
      <c r="N59" s="38"/>
      <c r="O59"/>
      <c r="P59"/>
    </row>
    <row r="60" spans="1:33">
      <c r="A60" s="27" t="s">
        <v>83</v>
      </c>
      <c r="B60" s="297">
        <f t="shared" ref="B60:M60" si="33">B12</f>
        <v>5408</v>
      </c>
      <c r="C60" s="297">
        <f t="shared" si="33"/>
        <v>4492</v>
      </c>
      <c r="D60" s="297">
        <f t="shared" si="33"/>
        <v>5116</v>
      </c>
      <c r="E60" s="297">
        <f t="shared" si="33"/>
        <v>2761</v>
      </c>
      <c r="F60" s="297">
        <f t="shared" si="33"/>
        <v>1867</v>
      </c>
      <c r="G60" s="297">
        <f t="shared" si="33"/>
        <v>1211</v>
      </c>
      <c r="H60" s="297">
        <f t="shared" si="33"/>
        <v>559</v>
      </c>
      <c r="I60" s="297">
        <f t="shared" si="33"/>
        <v>187</v>
      </c>
      <c r="J60" s="297">
        <f t="shared" si="33"/>
        <v>123</v>
      </c>
      <c r="K60" s="297">
        <f t="shared" si="33"/>
        <v>267</v>
      </c>
      <c r="L60" s="297">
        <f t="shared" si="33"/>
        <v>112</v>
      </c>
      <c r="M60" s="297">
        <f t="shared" si="33"/>
        <v>17</v>
      </c>
      <c r="N60" s="38"/>
      <c r="O60"/>
      <c r="P60"/>
    </row>
    <row r="61" spans="1:33">
      <c r="A61" s="104" t="s">
        <v>74</v>
      </c>
      <c r="B61" s="297">
        <v>14554.3</v>
      </c>
      <c r="C61" s="297">
        <v>14362.800000000001</v>
      </c>
      <c r="D61" s="297">
        <v>12438.8</v>
      </c>
      <c r="E61" s="297">
        <v>10922.6</v>
      </c>
      <c r="F61" s="297">
        <v>9319.8000000000011</v>
      </c>
      <c r="G61" s="297">
        <v>7656.5</v>
      </c>
      <c r="H61" s="297">
        <v>6330.4</v>
      </c>
      <c r="I61" s="297">
        <v>4925</v>
      </c>
      <c r="J61" s="297">
        <v>3547.1000000000004</v>
      </c>
      <c r="K61" s="297">
        <v>2781.8</v>
      </c>
      <c r="L61" s="297"/>
      <c r="M61" s="297"/>
      <c r="N61" s="38"/>
      <c r="O61"/>
      <c r="P61"/>
    </row>
    <row r="62" spans="1:33">
      <c r="A62" s="104" t="s">
        <v>814</v>
      </c>
      <c r="B62" s="297">
        <v>-116.1</v>
      </c>
      <c r="C62" s="297">
        <v>-758.1</v>
      </c>
      <c r="D62" s="297">
        <v>-242</v>
      </c>
      <c r="E62" s="297">
        <v>-31.9</v>
      </c>
      <c r="F62" s="297">
        <v>43</v>
      </c>
      <c r="G62" s="297">
        <v>293.8</v>
      </c>
      <c r="H62" s="297">
        <v>59</v>
      </c>
      <c r="I62" s="297">
        <v>192.4</v>
      </c>
      <c r="J62" s="297">
        <v>172.9</v>
      </c>
      <c r="K62" s="297">
        <v>137.1</v>
      </c>
      <c r="L62" s="297"/>
      <c r="M62" s="297"/>
      <c r="N62" s="38"/>
      <c r="O62"/>
      <c r="P62"/>
    </row>
    <row r="63" spans="1:33">
      <c r="A63" s="104" t="s">
        <v>815</v>
      </c>
      <c r="B63" s="297">
        <f t="shared" ref="B63" si="34">B59-B60-B61-B62</f>
        <v>-12571.9</v>
      </c>
      <c r="C63" s="297">
        <f t="shared" ref="C63" si="35">C59-C60-C61-C62</f>
        <v>-16070.4</v>
      </c>
      <c r="D63" s="297">
        <f>D59-D60-D61-D62</f>
        <v>-16920.199999999997</v>
      </c>
      <c r="E63" s="297">
        <f t="shared" ref="E63:M63" si="36">E59-E60-E61-E62</f>
        <v>-11224.6</v>
      </c>
      <c r="F63" s="297">
        <f t="shared" si="36"/>
        <v>-14117.100000000002</v>
      </c>
      <c r="G63" s="297">
        <f t="shared" si="36"/>
        <v>-11841.8</v>
      </c>
      <c r="H63" s="297">
        <f t="shared" si="36"/>
        <v>-8734.2999999999993</v>
      </c>
      <c r="I63" s="297">
        <f t="shared" si="36"/>
        <v>-6778.4</v>
      </c>
      <c r="J63" s="297">
        <f t="shared" si="36"/>
        <v>-4592.3999999999996</v>
      </c>
      <c r="K63" s="297">
        <f t="shared" si="36"/>
        <v>-3169.4</v>
      </c>
      <c r="L63" s="297">
        <f t="shared" si="36"/>
        <v>-112</v>
      </c>
      <c r="M63" s="297">
        <f t="shared" si="36"/>
        <v>-17</v>
      </c>
      <c r="N63" s="38"/>
      <c r="O63"/>
      <c r="P63"/>
    </row>
    <row r="64" spans="1:33" ht="15">
      <c r="A64" s="10" t="s">
        <v>149</v>
      </c>
      <c r="B64" s="296">
        <v>541.79999999999995</v>
      </c>
      <c r="C64" s="296">
        <v>-2076.4</v>
      </c>
      <c r="D64" s="296">
        <v>-1339.9</v>
      </c>
      <c r="E64" s="296">
        <v>-505.4</v>
      </c>
      <c r="F64" s="296">
        <v>-387.1</v>
      </c>
      <c r="G64" s="296">
        <v>-339.1</v>
      </c>
      <c r="H64" s="296">
        <v>34.299999999999997</v>
      </c>
      <c r="I64" s="296">
        <v>49.8</v>
      </c>
      <c r="J64" s="296">
        <v>-179.2</v>
      </c>
      <c r="K64" s="296">
        <v>-42.9</v>
      </c>
      <c r="L64" s="296"/>
      <c r="M64" s="296"/>
      <c r="N64" s="38"/>
      <c r="O64"/>
      <c r="P64"/>
    </row>
    <row r="65" spans="1:16">
      <c r="A65" s="104" t="s">
        <v>150</v>
      </c>
      <c r="B65" s="297">
        <v>-348.6</v>
      </c>
      <c r="C65" s="297">
        <v>-407.7</v>
      </c>
      <c r="D65" s="297">
        <v>-524.6</v>
      </c>
      <c r="E65" s="297">
        <v>-497.9</v>
      </c>
      <c r="F65" s="297">
        <v>-253</v>
      </c>
      <c r="G65" s="297">
        <v>-212.5</v>
      </c>
      <c r="H65" s="297">
        <v>-227</v>
      </c>
      <c r="I65" s="297">
        <v>-184.8</v>
      </c>
      <c r="J65" s="297">
        <v>-169.2</v>
      </c>
      <c r="K65" s="297">
        <v>-144.5</v>
      </c>
      <c r="L65" s="297"/>
      <c r="M65" s="297"/>
      <c r="N65" s="38"/>
      <c r="O65"/>
      <c r="P65"/>
    </row>
    <row r="66" spans="1:16">
      <c r="A66" s="104" t="s">
        <v>151</v>
      </c>
      <c r="B66" s="297">
        <v>-504.9</v>
      </c>
      <c r="C66" s="297">
        <v>-1668.6999999999998</v>
      </c>
      <c r="D66" s="297">
        <v>-788.3</v>
      </c>
      <c r="E66" s="297">
        <v>0</v>
      </c>
      <c r="F66" s="297">
        <v>0</v>
      </c>
      <c r="G66" s="297">
        <v>0</v>
      </c>
      <c r="H66" s="297">
        <v>-74.8</v>
      </c>
      <c r="I66" s="297">
        <v>-187.2</v>
      </c>
      <c r="J66" s="297">
        <v>-371.9</v>
      </c>
      <c r="K66" s="297">
        <v>-426.9</v>
      </c>
      <c r="L66" s="297"/>
      <c r="M66" s="297"/>
      <c r="N66" s="38"/>
      <c r="O66"/>
      <c r="P66"/>
    </row>
    <row r="67" spans="1:16">
      <c r="A67" s="104" t="s">
        <v>816</v>
      </c>
      <c r="B67" s="297">
        <f>B64-B65-B66</f>
        <v>1395.3</v>
      </c>
      <c r="C67" s="297">
        <f>C64-C65-C66</f>
        <v>0</v>
      </c>
      <c r="D67" s="297">
        <f>D64-D65-D66</f>
        <v>-27.000000000000114</v>
      </c>
      <c r="E67" s="297">
        <f t="shared" ref="E67" si="37">E64-E65-E66</f>
        <v>-7.5</v>
      </c>
      <c r="F67" s="297">
        <f t="shared" ref="F67:M67" si="38">F64-F65-F66</f>
        <v>-134.10000000000002</v>
      </c>
      <c r="G67" s="297">
        <f t="shared" si="38"/>
        <v>-126.60000000000002</v>
      </c>
      <c r="H67" s="297">
        <f t="shared" si="38"/>
        <v>336.1</v>
      </c>
      <c r="I67" s="297">
        <f t="shared" si="38"/>
        <v>421.8</v>
      </c>
      <c r="J67" s="297">
        <f t="shared" si="38"/>
        <v>361.9</v>
      </c>
      <c r="K67" s="297">
        <f t="shared" si="38"/>
        <v>528.5</v>
      </c>
      <c r="L67" s="297">
        <f t="shared" si="38"/>
        <v>0</v>
      </c>
      <c r="M67" s="297">
        <f t="shared" si="38"/>
        <v>0</v>
      </c>
      <c r="N67" s="38"/>
      <c r="O67"/>
      <c r="P67"/>
    </row>
    <row r="68" spans="1:16" ht="15">
      <c r="A68" s="10" t="s">
        <v>152</v>
      </c>
      <c r="B68" s="296">
        <v>-5950.8</v>
      </c>
      <c r="C68" s="296">
        <v>-664.3</v>
      </c>
      <c r="D68" s="296">
        <v>-1149.8</v>
      </c>
      <c r="E68" s="296">
        <v>1237.3</v>
      </c>
      <c r="F68" s="296">
        <v>4505.7</v>
      </c>
      <c r="G68" s="296">
        <v>4048.5</v>
      </c>
      <c r="H68" s="296">
        <v>3077</v>
      </c>
      <c r="I68" s="296">
        <v>1091.5999999999999</v>
      </c>
      <c r="J68" s="296">
        <v>1640.3</v>
      </c>
      <c r="K68" s="296">
        <v>541.70000000000005</v>
      </c>
      <c r="L68" s="296"/>
      <c r="M68" s="296"/>
      <c r="N68" s="38"/>
      <c r="O68"/>
      <c r="P68"/>
    </row>
    <row r="69" spans="1:16">
      <c r="A69" s="104" t="s">
        <v>817</v>
      </c>
      <c r="B69" s="297">
        <v>0</v>
      </c>
      <c r="C69" s="297">
        <v>0</v>
      </c>
      <c r="D69" s="297">
        <v>0</v>
      </c>
      <c r="E69" s="297">
        <v>1009.5</v>
      </c>
      <c r="F69" s="297">
        <v>4469.3</v>
      </c>
      <c r="G69" s="297">
        <v>3961.9</v>
      </c>
      <c r="H69" s="297">
        <v>3020.5</v>
      </c>
      <c r="I69" s="297">
        <v>1000</v>
      </c>
      <c r="J69" s="297">
        <v>1500</v>
      </c>
      <c r="K69" s="297">
        <v>400</v>
      </c>
      <c r="L69" s="297"/>
      <c r="M69" s="297"/>
      <c r="N69" s="38"/>
      <c r="O69"/>
      <c r="P69"/>
    </row>
    <row r="70" spans="1:16">
      <c r="A70" s="104" t="s">
        <v>818</v>
      </c>
      <c r="B70" s="297">
        <v>0</v>
      </c>
      <c r="C70" s="297">
        <v>0</v>
      </c>
      <c r="D70" s="297">
        <v>0</v>
      </c>
      <c r="E70" s="297">
        <v>0</v>
      </c>
      <c r="F70" s="297">
        <v>0</v>
      </c>
      <c r="G70" s="297">
        <v>0</v>
      </c>
      <c r="H70" s="297">
        <v>0</v>
      </c>
      <c r="I70" s="297">
        <v>0</v>
      </c>
      <c r="J70" s="297">
        <v>0</v>
      </c>
      <c r="K70" s="297">
        <v>0</v>
      </c>
      <c r="L70" s="297"/>
      <c r="M70" s="297"/>
      <c r="N70" s="38"/>
      <c r="O70"/>
      <c r="P70"/>
    </row>
    <row r="71" spans="1:16">
      <c r="A71" s="104" t="s">
        <v>819</v>
      </c>
      <c r="B71" s="297"/>
      <c r="C71" s="297"/>
      <c r="D71" s="297"/>
      <c r="E71" s="297"/>
      <c r="F71" s="297"/>
      <c r="G71" s="297"/>
      <c r="H71" s="297"/>
      <c r="I71" s="297"/>
      <c r="J71" s="297"/>
      <c r="K71" s="297"/>
      <c r="L71" s="297"/>
      <c r="M71" s="297"/>
      <c r="N71" s="38"/>
      <c r="O71"/>
      <c r="P71"/>
    </row>
    <row r="72" spans="1:16">
      <c r="A72" s="104" t="s">
        <v>820</v>
      </c>
      <c r="B72" s="297"/>
      <c r="C72" s="297"/>
      <c r="D72" s="297"/>
      <c r="E72" s="297"/>
      <c r="F72" s="297"/>
      <c r="G72" s="297"/>
      <c r="H72" s="297"/>
      <c r="I72" s="297"/>
      <c r="J72" s="297"/>
      <c r="K72" s="297"/>
      <c r="L72" s="297"/>
      <c r="M72" s="297"/>
      <c r="N72" s="38"/>
      <c r="O72"/>
      <c r="P72"/>
    </row>
    <row r="73" spans="1:16">
      <c r="A73" s="104" t="s">
        <v>153</v>
      </c>
      <c r="B73" s="297">
        <v>0</v>
      </c>
      <c r="C73" s="297">
        <v>0</v>
      </c>
      <c r="D73" s="297">
        <v>0</v>
      </c>
      <c r="E73" s="297">
        <v>0</v>
      </c>
      <c r="F73" s="297">
        <v>0</v>
      </c>
      <c r="G73" s="297">
        <v>0</v>
      </c>
      <c r="H73" s="297">
        <v>0</v>
      </c>
      <c r="I73" s="297">
        <v>0</v>
      </c>
      <c r="J73" s="297">
        <v>0</v>
      </c>
      <c r="K73" s="297">
        <v>0</v>
      </c>
      <c r="L73" s="297"/>
      <c r="M73" s="297"/>
      <c r="N73" s="35" t="s">
        <v>821</v>
      </c>
      <c r="O73" t="s">
        <v>822</v>
      </c>
      <c r="P73"/>
    </row>
    <row r="74" spans="1:16">
      <c r="A74" s="104" t="s">
        <v>556</v>
      </c>
      <c r="B74" s="297">
        <v>-6045.3</v>
      </c>
      <c r="C74" s="297">
        <v>0</v>
      </c>
      <c r="D74" s="297">
        <v>-600</v>
      </c>
      <c r="E74" s="297">
        <v>0</v>
      </c>
      <c r="F74" s="297">
        <v>0</v>
      </c>
      <c r="G74" s="297">
        <v>0</v>
      </c>
      <c r="H74" s="297">
        <v>0</v>
      </c>
      <c r="I74" s="297">
        <v>0</v>
      </c>
      <c r="J74" s="297">
        <v>0</v>
      </c>
      <c r="K74" s="297">
        <v>0</v>
      </c>
      <c r="L74" s="297"/>
      <c r="M74" s="297"/>
      <c r="N74" s="35" t="s">
        <v>821</v>
      </c>
      <c r="O74" t="str">
        <f>+A74</f>
        <v>Share buyback</v>
      </c>
      <c r="P74"/>
    </row>
    <row r="75" spans="1:16">
      <c r="A75" s="104" t="s">
        <v>816</v>
      </c>
      <c r="B75" s="297">
        <f t="shared" ref="B75" si="39">B68-B69-B70-B71-B72-B73-B74</f>
        <v>94.5</v>
      </c>
      <c r="C75" s="297">
        <f t="shared" ref="C75:M75" si="40">C68-C69-C70-C71-C72-C73-C74</f>
        <v>-664.3</v>
      </c>
      <c r="D75" s="297">
        <f t="shared" si="40"/>
        <v>-549.79999999999995</v>
      </c>
      <c r="E75" s="297">
        <f t="shared" si="40"/>
        <v>227.79999999999995</v>
      </c>
      <c r="F75" s="297">
        <f t="shared" si="40"/>
        <v>36.399999999999636</v>
      </c>
      <c r="G75" s="297">
        <f t="shared" si="40"/>
        <v>86.599999999999909</v>
      </c>
      <c r="H75" s="297">
        <f t="shared" si="40"/>
        <v>56.5</v>
      </c>
      <c r="I75" s="297">
        <f t="shared" si="40"/>
        <v>91.599999999999909</v>
      </c>
      <c r="J75" s="297">
        <f t="shared" si="40"/>
        <v>140.29999999999995</v>
      </c>
      <c r="K75" s="297">
        <f t="shared" si="40"/>
        <v>141.70000000000005</v>
      </c>
      <c r="L75" s="297">
        <f t="shared" si="40"/>
        <v>0</v>
      </c>
      <c r="M75" s="297">
        <f t="shared" si="40"/>
        <v>0</v>
      </c>
      <c r="N75" s="38"/>
      <c r="O75"/>
      <c r="P75"/>
    </row>
    <row r="76" spans="1:16" ht="15">
      <c r="A76" s="10" t="s">
        <v>157</v>
      </c>
      <c r="B76" s="296">
        <v>82.7</v>
      </c>
      <c r="C76" s="296">
        <v>-170.1</v>
      </c>
      <c r="D76" s="296">
        <v>-86.7</v>
      </c>
      <c r="E76" s="296">
        <v>36.1</v>
      </c>
      <c r="F76" s="296">
        <v>0.5</v>
      </c>
      <c r="G76" s="296">
        <v>-39.700000000000003</v>
      </c>
      <c r="H76" s="296">
        <v>29.8</v>
      </c>
      <c r="I76" s="296">
        <v>-9.1999999999999993</v>
      </c>
      <c r="J76" s="296">
        <v>-15.9</v>
      </c>
      <c r="K76" s="296">
        <v>-6.7</v>
      </c>
      <c r="L76" s="296"/>
      <c r="M76" s="296"/>
      <c r="N76" s="38"/>
      <c r="O76"/>
      <c r="P76"/>
    </row>
    <row r="77" spans="1:16" ht="15">
      <c r="A77" s="10" t="s">
        <v>575</v>
      </c>
      <c r="B77" s="296">
        <f t="shared" ref="B77" si="41">B59+B64+B68+B76</f>
        <v>1948.0000000000002</v>
      </c>
      <c r="C77" s="296">
        <f t="shared" ref="C77:M77" si="42">C59+C64+C68+C76</f>
        <v>-884.50000000000011</v>
      </c>
      <c r="D77" s="296">
        <f t="shared" si="42"/>
        <v>-2183.7999999999997</v>
      </c>
      <c r="E77" s="296">
        <f t="shared" si="42"/>
        <v>3195.1</v>
      </c>
      <c r="F77" s="296">
        <f t="shared" si="42"/>
        <v>1231.7999999999997</v>
      </c>
      <c r="G77" s="296">
        <f t="shared" si="42"/>
        <v>989.2</v>
      </c>
      <c r="H77" s="296">
        <f t="shared" si="42"/>
        <v>1355.1999999999998</v>
      </c>
      <c r="I77" s="296">
        <f t="shared" si="42"/>
        <v>-341.80000000000013</v>
      </c>
      <c r="J77" s="296">
        <f t="shared" si="42"/>
        <v>695.80000000000007</v>
      </c>
      <c r="K77" s="296">
        <f t="shared" si="42"/>
        <v>508.60000000000008</v>
      </c>
      <c r="L77" s="296">
        <f t="shared" si="42"/>
        <v>0</v>
      </c>
      <c r="M77" s="296">
        <f t="shared" si="42"/>
        <v>0</v>
      </c>
      <c r="N77" s="38"/>
      <c r="O77"/>
      <c r="P77"/>
    </row>
    <row r="78" spans="1:16">
      <c r="M78" s="25"/>
      <c r="N78"/>
      <c r="O78" t="s">
        <v>823</v>
      </c>
      <c r="P78"/>
    </row>
    <row r="79" spans="1:16" ht="15">
      <c r="A79" s="52" t="s">
        <v>824</v>
      </c>
      <c r="B79" s="52"/>
      <c r="C79" s="52"/>
      <c r="D79" s="52"/>
      <c r="E79" s="1131" t="s">
        <v>583</v>
      </c>
      <c r="F79" s="1131"/>
      <c r="G79" s="1131"/>
      <c r="H79" s="1131" t="s">
        <v>825</v>
      </c>
      <c r="I79" s="1131"/>
      <c r="J79" s="52" t="s">
        <v>585</v>
      </c>
      <c r="K79" s="52" t="s">
        <v>586</v>
      </c>
      <c r="L79" s="52" t="s">
        <v>587</v>
      </c>
      <c r="M79" s="36"/>
      <c r="N79"/>
      <c r="O79"/>
      <c r="P79"/>
    </row>
    <row r="80" spans="1:16">
      <c r="A80" s="27" t="s">
        <v>826</v>
      </c>
      <c r="B80" s="28">
        <v>13000</v>
      </c>
      <c r="C80" s="41" t="s">
        <v>827</v>
      </c>
      <c r="D80" s="25"/>
      <c r="E80" s="1128"/>
      <c r="F80" s="1128"/>
      <c r="G80" s="1128"/>
      <c r="H80" s="1129"/>
      <c r="I80" s="1129"/>
      <c r="J80" s="68"/>
      <c r="K80" s="67"/>
      <c r="L80" s="67"/>
      <c r="M80" s="25"/>
      <c r="N80" s="41" t="s">
        <v>828</v>
      </c>
      <c r="O80"/>
      <c r="P80"/>
    </row>
    <row r="81" spans="1:16">
      <c r="A81" s="27" t="s">
        <v>829</v>
      </c>
      <c r="B81" s="28">
        <v>432760</v>
      </c>
      <c r="C81" s="41" t="s">
        <v>830</v>
      </c>
      <c r="D81" s="25"/>
      <c r="E81" s="1128"/>
      <c r="F81" s="1128"/>
      <c r="G81" s="1128"/>
      <c r="H81" s="1129"/>
      <c r="I81" s="1129"/>
      <c r="J81" s="68"/>
      <c r="K81" s="67"/>
      <c r="L81" s="67"/>
      <c r="M81" s="25"/>
      <c r="N81" s="41" t="s">
        <v>828</v>
      </c>
      <c r="O81"/>
      <c r="P81"/>
    </row>
    <row r="82" spans="1:16">
      <c r="A82" s="27" t="s">
        <v>62</v>
      </c>
      <c r="B82" s="697">
        <f>428510/B81</f>
        <v>0.99017931416951654</v>
      </c>
      <c r="C82" s="41" t="s">
        <v>830</v>
      </c>
      <c r="D82" s="69"/>
      <c r="E82" s="1128"/>
      <c r="F82" s="1128"/>
      <c r="G82" s="1128"/>
      <c r="H82" s="1129"/>
      <c r="I82" s="1129"/>
      <c r="J82" s="68"/>
      <c r="K82" s="67"/>
      <c r="L82" s="67"/>
      <c r="M82" s="71"/>
      <c r="N82" s="41" t="s">
        <v>828</v>
      </c>
      <c r="O82"/>
      <c r="P82"/>
    </row>
    <row r="83" spans="1:16">
      <c r="A83" s="27" t="s">
        <v>67</v>
      </c>
      <c r="B83" s="698">
        <v>1.38E-2</v>
      </c>
      <c r="C83" s="41" t="s">
        <v>830</v>
      </c>
      <c r="D83" s="70"/>
      <c r="E83" s="1128"/>
      <c r="F83" s="1128"/>
      <c r="G83" s="1128"/>
      <c r="H83" s="1129"/>
      <c r="I83" s="1129"/>
      <c r="J83" s="68"/>
      <c r="K83" s="67"/>
      <c r="L83" s="67"/>
      <c r="M83" s="71"/>
      <c r="N83" s="41" t="s">
        <v>828</v>
      </c>
      <c r="O83"/>
      <c r="P83"/>
    </row>
    <row r="84" spans="1:16">
      <c r="A84" s="27" t="s">
        <v>579</v>
      </c>
      <c r="B84" s="28"/>
      <c r="C84" s="41" t="s">
        <v>827</v>
      </c>
      <c r="D84" s="25"/>
      <c r="E84" s="1128"/>
      <c r="F84" s="1128"/>
      <c r="G84" s="1128"/>
      <c r="H84" s="1129"/>
      <c r="I84" s="1129"/>
      <c r="J84" s="68"/>
      <c r="K84" s="67"/>
      <c r="L84" s="67"/>
      <c r="M84" s="25"/>
      <c r="N84" s="41" t="s">
        <v>828</v>
      </c>
      <c r="O84"/>
      <c r="P84"/>
    </row>
    <row r="85" spans="1:16">
      <c r="A85" s="27" t="s">
        <v>831</v>
      </c>
      <c r="B85" s="699">
        <v>0</v>
      </c>
      <c r="C85" s="41" t="s">
        <v>830</v>
      </c>
      <c r="D85" s="25"/>
      <c r="E85" s="1128"/>
      <c r="F85" s="1128"/>
      <c r="G85" s="1128"/>
      <c r="H85" s="1129"/>
      <c r="I85" s="1129"/>
      <c r="J85" s="67"/>
      <c r="K85" s="67"/>
      <c r="L85" s="67"/>
      <c r="M85" s="25"/>
      <c r="N85" s="41" t="s">
        <v>828</v>
      </c>
      <c r="O85"/>
    </row>
    <row r="86" spans="1:16">
      <c r="A86" s="27" t="s">
        <v>581</v>
      </c>
      <c r="B86" s="28"/>
      <c r="C86" s="41" t="s">
        <v>832</v>
      </c>
      <c r="D86" s="25"/>
      <c r="E86" s="1128"/>
      <c r="F86" s="1128"/>
      <c r="G86" s="1128"/>
      <c r="H86" s="1129"/>
      <c r="I86" s="1129"/>
      <c r="J86" s="67"/>
      <c r="K86" s="67"/>
      <c r="L86" s="67"/>
      <c r="M86" s="25"/>
      <c r="N86" s="41" t="s">
        <v>828</v>
      </c>
    </row>
    <row r="87" spans="1:16" ht="15">
      <c r="B87" s="52">
        <f>B5</f>
        <v>2023</v>
      </c>
      <c r="C87" s="52">
        <f t="shared" ref="C87:D87" si="43">C5</f>
        <v>2022</v>
      </c>
      <c r="D87" s="52">
        <f t="shared" si="43"/>
        <v>2021</v>
      </c>
      <c r="E87" s="42"/>
      <c r="G87" s="42"/>
      <c r="H87" s="42"/>
      <c r="I87" s="42"/>
      <c r="J87" s="42"/>
      <c r="K87" s="42"/>
      <c r="L87" s="42"/>
      <c r="M87" s="42"/>
      <c r="N87"/>
    </row>
    <row r="88" spans="1:16">
      <c r="A88" s="27" t="s">
        <v>582</v>
      </c>
      <c r="E88" s="41" t="s">
        <v>832</v>
      </c>
      <c r="K88" s="23"/>
      <c r="L88" s="23"/>
      <c r="O88"/>
      <c r="P88"/>
    </row>
    <row r="89" spans="1:16" ht="15">
      <c r="A89" s="27" t="s">
        <v>89</v>
      </c>
      <c r="B89" s="66"/>
      <c r="C89" s="66"/>
      <c r="D89" s="66"/>
      <c r="E89" s="41" t="s">
        <v>832</v>
      </c>
      <c r="K89" s="23"/>
      <c r="L89" s="23"/>
      <c r="O89" s="52"/>
    </row>
    <row r="90" spans="1:16" ht="15">
      <c r="M90"/>
      <c r="N90" s="103"/>
      <c r="O90" s="52"/>
    </row>
    <row r="91" spans="1:16">
      <c r="J91" s="25"/>
      <c r="L91"/>
      <c r="M91"/>
      <c r="N91"/>
    </row>
    <row r="92" spans="1:16">
      <c r="J92" s="25"/>
      <c r="L92"/>
      <c r="M92"/>
      <c r="N92"/>
    </row>
    <row r="93" spans="1:16">
      <c r="J93" s="25"/>
      <c r="L93"/>
      <c r="M93"/>
      <c r="N93"/>
    </row>
    <row r="94" spans="1:16">
      <c r="J94" s="25"/>
      <c r="L94"/>
      <c r="M94"/>
      <c r="N94"/>
    </row>
    <row r="95" spans="1:16">
      <c r="J95" s="25"/>
      <c r="L95"/>
      <c r="M95"/>
      <c r="N95"/>
    </row>
    <row r="96" spans="1:16">
      <c r="J96" s="25"/>
      <c r="L96"/>
      <c r="M96"/>
      <c r="N96"/>
      <c r="O96"/>
    </row>
    <row r="97" spans="1:14">
      <c r="J97" s="25"/>
      <c r="L97"/>
      <c r="M97"/>
      <c r="N97"/>
    </row>
    <row r="98" spans="1:14">
      <c r="G98"/>
      <c r="M98"/>
      <c r="N98"/>
    </row>
    <row r="99" spans="1:14">
      <c r="A99"/>
      <c r="B99"/>
      <c r="C99"/>
      <c r="D99"/>
      <c r="E99"/>
      <c r="F99"/>
      <c r="G99"/>
    </row>
    <row r="100" spans="1:14">
      <c r="A100"/>
      <c r="B100"/>
      <c r="C100"/>
      <c r="D100"/>
      <c r="E100"/>
      <c r="F100"/>
      <c r="G100"/>
    </row>
  </sheetData>
  <mergeCells count="19">
    <mergeCell ref="G2:J2"/>
    <mergeCell ref="D4:M4"/>
    <mergeCell ref="R5:S5"/>
    <mergeCell ref="H79:I79"/>
    <mergeCell ref="E79:G79"/>
    <mergeCell ref="E85:G85"/>
    <mergeCell ref="E86:G86"/>
    <mergeCell ref="H80:I80"/>
    <mergeCell ref="H81:I81"/>
    <mergeCell ref="H82:I82"/>
    <mergeCell ref="H83:I83"/>
    <mergeCell ref="H84:I84"/>
    <mergeCell ref="H85:I85"/>
    <mergeCell ref="H86:I86"/>
    <mergeCell ref="E80:G80"/>
    <mergeCell ref="E81:G81"/>
    <mergeCell ref="E82:G82"/>
    <mergeCell ref="E83:G83"/>
    <mergeCell ref="E84:G84"/>
  </mergeCells>
  <pageMargins left="0.75" right="0.75" top="1" bottom="1" header="0" footer="0"/>
  <pageSetup orientation="portrait" horizontalDpi="4294967292"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ba73c8a-1af7-4183-b158-1cd1291da2b6">
      <Terms xmlns="http://schemas.microsoft.com/office/infopath/2007/PartnerControls"/>
    </lcf76f155ced4ddcb4097134ff3c332f>
    <TaxCatchAll xmlns="8c89d0e4-a8d9-42ba-a773-c59a56f7723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62ABDA6886CF6498653E646AB2571ED" ma:contentTypeVersion="16" ma:contentTypeDescription="Create a new document." ma:contentTypeScope="" ma:versionID="235e0e40c567e6394453f2090fab65a6">
  <xsd:schema xmlns:xsd="http://www.w3.org/2001/XMLSchema" xmlns:xs="http://www.w3.org/2001/XMLSchema" xmlns:p="http://schemas.microsoft.com/office/2006/metadata/properties" xmlns:ns2="6ba73c8a-1af7-4183-b158-1cd1291da2b6" xmlns:ns3="8c89d0e4-a8d9-42ba-a773-c59a56f7723e" targetNamespace="http://schemas.microsoft.com/office/2006/metadata/properties" ma:root="true" ma:fieldsID="be2affa39fb2f3cdc665ba7b2e6a6e47" ns2:_="" ns3:_="">
    <xsd:import namespace="6ba73c8a-1af7-4183-b158-1cd1291da2b6"/>
    <xsd:import namespace="8c89d0e4-a8d9-42ba-a773-c59a56f7723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a73c8a-1af7-4183-b158-1cd1291da2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48f9566-069b-479b-843d-4f6c74a4a3f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89d0e4-a8d9-42ba-a773-c59a56f7723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20a6b64-fbb8-4bf5-b941-ddf64427d44d}" ma:internalName="TaxCatchAll" ma:showField="CatchAllData" ma:web="8c89d0e4-a8d9-42ba-a773-c59a56f772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81089C-6E2A-4FD7-A402-55E9C86C97B5}"/>
</file>

<file path=customXml/itemProps2.xml><?xml version="1.0" encoding="utf-8"?>
<ds:datastoreItem xmlns:ds="http://schemas.openxmlformats.org/officeDocument/2006/customXml" ds:itemID="{E4E33FEE-1117-4802-A5BB-FA073D1C6E04}"/>
</file>

<file path=customXml/itemProps3.xml><?xml version="1.0" encoding="utf-8"?>
<ds:datastoreItem xmlns:ds="http://schemas.openxmlformats.org/officeDocument/2006/customXml" ds:itemID="{82FA713D-3247-4847-AA4F-C94D03AF97EB}"/>
</file>

<file path=docProps/app.xml><?xml version="1.0" encoding="utf-8"?>
<Properties xmlns="http://schemas.openxmlformats.org/officeDocument/2006/extended-properties" xmlns:vt="http://schemas.openxmlformats.org/officeDocument/2006/docPropsVTypes">
  <Application>Microsoft Excel Online</Application>
  <Manager/>
  <Company>HIL CONSULTORES, S.C.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ABRAHAM E. HERNANDEZ P.</dc:creator>
  <cp:keywords/>
  <dc:description/>
  <cp:lastModifiedBy>Cristina Lin</cp:lastModifiedBy>
  <cp:revision/>
  <dcterms:created xsi:type="dcterms:W3CDTF">2000-04-19T14:51:26Z</dcterms:created>
  <dcterms:modified xsi:type="dcterms:W3CDTF">2025-01-20T17:16:49Z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0x010100162ABDA6886CF6498653E646AB2571ED</vt:lpwstr>
  </property>
  <property fmtid="{D5CDD505-2E9C-101B-9397-08002B2CF9AE}" pid="3" name="Order">
    <vt:r8>7100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MediaServiceImageTags">
    <vt:lpwstr/>
  </property>
</Properties>
</file>