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12"/>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Tech 2- TL Julia Karas/Fortinet/"/>
    </mc:Choice>
  </mc:AlternateContent>
  <xr:revisionPtr revIDLastSave="2196" documentId="1_{43D8AC26-D7AD-430D-B284-E24F1649B2B8}" xr6:coauthVersionLast="47" xr6:coauthVersionMax="47" xr10:uidLastSave="{F0244BB9-CBBB-41D6-8121-89599AD32077}"/>
  <bookViews>
    <workbookView xWindow="15960" yWindow="500" windowWidth="12840" windowHeight="16320" tabRatio="644" firstSheet="7" xr2:uid="{00000000-000D-0000-FFFF-FFFF00000000}"/>
  </bookViews>
  <sheets>
    <sheet name="OP" sheetId="1" r:id="rId1"/>
    <sheet name="Segments" sheetId="3" r:id="rId2"/>
    <sheet name="Acuerdo" sheetId="11" state="hidden" r:id="rId3"/>
    <sheet name="Peers" sheetId="10" r:id="rId4"/>
    <sheet name="SARD" sheetId="23" r:id="rId5"/>
    <sheet name="ESG" sheetId="19" r:id="rId6"/>
    <sheet name="DCF" sheetId="4" r:id="rId7"/>
    <sheet name="DCF cash flow to the firm" sheetId="27" r:id="rId8"/>
    <sheet name="Assumptions" sheetId="22" r:id="rId9"/>
    <sheet name="Fin. Data" sheetId="16" r:id="rId10"/>
    <sheet name="Sector Impact" sheetId="18" state="hidden" r:id="rId11"/>
    <sheet name="Inputs" sheetId="17" r:id="rId12"/>
  </sheets>
  <externalReferences>
    <externalReference r:id="rId13"/>
  </externalReferences>
  <definedNames>
    <definedName name="_xlnm.Print_Area" localSheetId="0">OP!$A$1:$M$82</definedName>
    <definedName name="_xlnm.Print_Area" localSheetId="1">Segments!#REF!</definedName>
    <definedName name="Sectors" localSheetId="8">'[1]Sector Impact'!$K$4:$K$16</definedName>
    <definedName name="Sectors">'Sector Impact'!$K$4:$K$16</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4" l="1"/>
  <c r="C47" i="10"/>
  <c r="G76" i="22"/>
  <c r="D76" i="22"/>
  <c r="P9" i="19" l="1"/>
  <c r="N7" i="4"/>
  <c r="M7" i="4"/>
  <c r="K10" i="27"/>
  <c r="Q10" i="27"/>
  <c r="O4" i="19"/>
  <c r="D75" i="27" a="1"/>
  <c r="D75" i="27" s="1"/>
  <c r="E33" i="27"/>
  <c r="D16" i="27"/>
  <c r="H9" i="27"/>
  <c r="AD9" i="27"/>
  <c r="AD7" i="27"/>
  <c r="T17" i="27"/>
  <c r="U17" i="27"/>
  <c r="V17" i="27"/>
  <c r="W17" i="27"/>
  <c r="X17" i="27"/>
  <c r="Y17" i="27"/>
  <c r="Z17" i="27"/>
  <c r="AA17" i="27"/>
  <c r="AB17" i="27"/>
  <c r="AC17" i="27"/>
  <c r="S17" i="27"/>
  <c r="AC16" i="27"/>
  <c r="AB16" i="27"/>
  <c r="AB20" i="27" s="1"/>
  <c r="AA16" i="27"/>
  <c r="Z16" i="27"/>
  <c r="Z20" i="27" s="1"/>
  <c r="Y16" i="27"/>
  <c r="X16" i="27"/>
  <c r="X20" i="27" s="1"/>
  <c r="W16" i="27"/>
  <c r="V16" i="27"/>
  <c r="U16" i="27"/>
  <c r="T16" i="27"/>
  <c r="T20" i="27" s="1"/>
  <c r="T10" i="27"/>
  <c r="U10" i="27"/>
  <c r="V10" i="27"/>
  <c r="W10" i="27"/>
  <c r="X10" i="27"/>
  <c r="Y10" i="27"/>
  <c r="Z10" i="27"/>
  <c r="AA10" i="27"/>
  <c r="AB10" i="27"/>
  <c r="AC10" i="27"/>
  <c r="S10" i="27"/>
  <c r="S13" i="27"/>
  <c r="S16" i="27" s="1"/>
  <c r="S14" i="27"/>
  <c r="S32" i="27"/>
  <c r="F29" i="1"/>
  <c r="V35" i="27"/>
  <c r="V43" i="27" s="1"/>
  <c r="H7" i="27"/>
  <c r="V20" i="27" l="1"/>
  <c r="W20" i="27"/>
  <c r="AA20" i="27"/>
  <c r="S20" i="27"/>
  <c r="U20" i="27"/>
  <c r="Y20" i="27"/>
  <c r="AC20" i="27"/>
  <c r="C135" i="22"/>
  <c r="E50" i="4" s="1"/>
  <c r="D93" i="22"/>
  <c r="L4" i="23" l="1"/>
  <c r="L5" i="23"/>
  <c r="L6" i="23"/>
  <c r="L7" i="23"/>
  <c r="L8" i="23"/>
  <c r="L9" i="23"/>
  <c r="L10" i="23"/>
  <c r="L11" i="23"/>
  <c r="L12" i="23"/>
  <c r="L3" i="23"/>
  <c r="L13" i="23"/>
  <c r="L14" i="23"/>
  <c r="L15" i="23"/>
  <c r="L16" i="23"/>
  <c r="L17" i="23"/>
  <c r="L18" i="23"/>
  <c r="L19" i="23"/>
  <c r="L20" i="23"/>
  <c r="L21" i="23"/>
  <c r="L22" i="23"/>
  <c r="L23" i="23"/>
  <c r="L24" i="23"/>
  <c r="L25" i="23"/>
  <c r="L26" i="23"/>
  <c r="L27" i="23"/>
  <c r="L28" i="23"/>
  <c r="O1770" i="23"/>
  <c r="O1769" i="23"/>
  <c r="O1768" i="23"/>
  <c r="O1767" i="23"/>
  <c r="O1766" i="23"/>
  <c r="O1765" i="23"/>
  <c r="O1764" i="23"/>
  <c r="O1763" i="23"/>
  <c r="O1762" i="23"/>
  <c r="O1761" i="23"/>
  <c r="O1760" i="23"/>
  <c r="O1759" i="23"/>
  <c r="O1758" i="23"/>
  <c r="O1757" i="23"/>
  <c r="O1756" i="23"/>
  <c r="O1755" i="23"/>
  <c r="O1754" i="23"/>
  <c r="O1753" i="23"/>
  <c r="O1752" i="23"/>
  <c r="O1751" i="23"/>
  <c r="O1750" i="23"/>
  <c r="O1749" i="23"/>
  <c r="O1748" i="23"/>
  <c r="O1747" i="23"/>
  <c r="O1746" i="23"/>
  <c r="O1745" i="23"/>
  <c r="O1744" i="23"/>
  <c r="O1743" i="23"/>
  <c r="O1742" i="23"/>
  <c r="O1741" i="23"/>
  <c r="O1740" i="23"/>
  <c r="O1739" i="23"/>
  <c r="O1738" i="23"/>
  <c r="O1737" i="23"/>
  <c r="O1736" i="23"/>
  <c r="O1735" i="23"/>
  <c r="O1734" i="23"/>
  <c r="O1733" i="23"/>
  <c r="O1732" i="23"/>
  <c r="O1731" i="23"/>
  <c r="O1730" i="23"/>
  <c r="O1729" i="23"/>
  <c r="O1728" i="23"/>
  <c r="O1727" i="23"/>
  <c r="O1726" i="23"/>
  <c r="O1725" i="23"/>
  <c r="O1724" i="23"/>
  <c r="O1723" i="23"/>
  <c r="O1722" i="23"/>
  <c r="O1721" i="23"/>
  <c r="O1720" i="23"/>
  <c r="O1719" i="23"/>
  <c r="O1718" i="23"/>
  <c r="O1717" i="23"/>
  <c r="O1716" i="23"/>
  <c r="O1715" i="23"/>
  <c r="O1714" i="23"/>
  <c r="O1713" i="23"/>
  <c r="O1712" i="23"/>
  <c r="O1711" i="23"/>
  <c r="O1710" i="23"/>
  <c r="O1709" i="23"/>
  <c r="O1708" i="23"/>
  <c r="O1707" i="23"/>
  <c r="O1706" i="23"/>
  <c r="O1705" i="23"/>
  <c r="O1704" i="23"/>
  <c r="O1703" i="23"/>
  <c r="O1702" i="23"/>
  <c r="O1701" i="23"/>
  <c r="O1700" i="23"/>
  <c r="O1699" i="23"/>
  <c r="O1698" i="23"/>
  <c r="O1697" i="23"/>
  <c r="O1696" i="23"/>
  <c r="O1695" i="23"/>
  <c r="O1694" i="23"/>
  <c r="O1693" i="23"/>
  <c r="O1692" i="23"/>
  <c r="O1691" i="23"/>
  <c r="O1690" i="23"/>
  <c r="O1689" i="23"/>
  <c r="O1688" i="23"/>
  <c r="O1687" i="23"/>
  <c r="O1686" i="23"/>
  <c r="O1685" i="23"/>
  <c r="O1684" i="23"/>
  <c r="O1683" i="23"/>
  <c r="O1682" i="23"/>
  <c r="O1681" i="23"/>
  <c r="O1680" i="23"/>
  <c r="O1679" i="23"/>
  <c r="O1678" i="23"/>
  <c r="O1677" i="23"/>
  <c r="O1676" i="23"/>
  <c r="O1675" i="23"/>
  <c r="O1674" i="23"/>
  <c r="O1673" i="23"/>
  <c r="O1672" i="23"/>
  <c r="O1671" i="23"/>
  <c r="O1670" i="23"/>
  <c r="O1669" i="23"/>
  <c r="O1668" i="23"/>
  <c r="O1667" i="23"/>
  <c r="O1666" i="23"/>
  <c r="O1665" i="23"/>
  <c r="O1664" i="23"/>
  <c r="O1663" i="23"/>
  <c r="O1662" i="23"/>
  <c r="O1661" i="23"/>
  <c r="O1660" i="23"/>
  <c r="O1659" i="23"/>
  <c r="O1658" i="23"/>
  <c r="O1657" i="23"/>
  <c r="O1656" i="23"/>
  <c r="O1655" i="23"/>
  <c r="O1654" i="23"/>
  <c r="O1653" i="23"/>
  <c r="O1652" i="23"/>
  <c r="O1651" i="23"/>
  <c r="O1650" i="23"/>
  <c r="O1649" i="23"/>
  <c r="O1648" i="23"/>
  <c r="O1647" i="23"/>
  <c r="O1646" i="23"/>
  <c r="O1645" i="23"/>
  <c r="O1644" i="23"/>
  <c r="O1643" i="23"/>
  <c r="O1642" i="23"/>
  <c r="O1641" i="23"/>
  <c r="O1640" i="23"/>
  <c r="O1639" i="23"/>
  <c r="O1638" i="23"/>
  <c r="O1637" i="23"/>
  <c r="O1636" i="23"/>
  <c r="O1635" i="23"/>
  <c r="O1634" i="23"/>
  <c r="O1633" i="23"/>
  <c r="O1632" i="23"/>
  <c r="O1631" i="23"/>
  <c r="O1630" i="23"/>
  <c r="O1629" i="23"/>
  <c r="O1628" i="23"/>
  <c r="O1627" i="23"/>
  <c r="O1626" i="23"/>
  <c r="O1625" i="23"/>
  <c r="O1624" i="23"/>
  <c r="O1623" i="23"/>
  <c r="O1622" i="23"/>
  <c r="O1621" i="23"/>
  <c r="O1620" i="23"/>
  <c r="O1619" i="23"/>
  <c r="O1618" i="23"/>
  <c r="O1617" i="23"/>
  <c r="O1616" i="23"/>
  <c r="O1615" i="23"/>
  <c r="O1614" i="23"/>
  <c r="O1613" i="23"/>
  <c r="O1612" i="23"/>
  <c r="O1611" i="23"/>
  <c r="O1610" i="23"/>
  <c r="O1609" i="23"/>
  <c r="O1608" i="23"/>
  <c r="O1607" i="23"/>
  <c r="O1606" i="23"/>
  <c r="O1605" i="23"/>
  <c r="O1604" i="23"/>
  <c r="O1603" i="23"/>
  <c r="O1602" i="23"/>
  <c r="O1601" i="23"/>
  <c r="O1600" i="23"/>
  <c r="O1599" i="23"/>
  <c r="O1598" i="23"/>
  <c r="O1597" i="23"/>
  <c r="O1596" i="23"/>
  <c r="O1595" i="23"/>
  <c r="O1594" i="23"/>
  <c r="O1593" i="23"/>
  <c r="O1592" i="23"/>
  <c r="O1591" i="23"/>
  <c r="O1590" i="23"/>
  <c r="O1589" i="23"/>
  <c r="O1588" i="23"/>
  <c r="O1587" i="23"/>
  <c r="O1586" i="23"/>
  <c r="O1585" i="23"/>
  <c r="O1584" i="23"/>
  <c r="O1583" i="23"/>
  <c r="O1582" i="23"/>
  <c r="O1581" i="23"/>
  <c r="O1580" i="23"/>
  <c r="O1579" i="23"/>
  <c r="O1578" i="23"/>
  <c r="O1577" i="23"/>
  <c r="O1576" i="23"/>
  <c r="O1575" i="23"/>
  <c r="O1574" i="23"/>
  <c r="O1573" i="23"/>
  <c r="O1572" i="23"/>
  <c r="O1571" i="23"/>
  <c r="O1570" i="23"/>
  <c r="O1569" i="23"/>
  <c r="O1568" i="23"/>
  <c r="O1567" i="23"/>
  <c r="O1566" i="23"/>
  <c r="O1565" i="23"/>
  <c r="O1564" i="23"/>
  <c r="O1563" i="23"/>
  <c r="O1562" i="23"/>
  <c r="O1561" i="23"/>
  <c r="O1560" i="23"/>
  <c r="O1559" i="23"/>
  <c r="O1558" i="23"/>
  <c r="O1557" i="23"/>
  <c r="O1556" i="23"/>
  <c r="O1555" i="23"/>
  <c r="O1554" i="23"/>
  <c r="O1553" i="23"/>
  <c r="O1552" i="23"/>
  <c r="O1551" i="23"/>
  <c r="O1550" i="23"/>
  <c r="O1549" i="23"/>
  <c r="O1548" i="23"/>
  <c r="O1547" i="23"/>
  <c r="O1546" i="23"/>
  <c r="O1545" i="23"/>
  <c r="O1544" i="23"/>
  <c r="O1543" i="23"/>
  <c r="O1542" i="23"/>
  <c r="O1541" i="23"/>
  <c r="O1540" i="23"/>
  <c r="O1539" i="23"/>
  <c r="O1538" i="23"/>
  <c r="O1537" i="23"/>
  <c r="O1536" i="23"/>
  <c r="O1535" i="23"/>
  <c r="O1534" i="23"/>
  <c r="O1533" i="23"/>
  <c r="O1532" i="23"/>
  <c r="O1531" i="23"/>
  <c r="O1530" i="23"/>
  <c r="O1529" i="23"/>
  <c r="O1528" i="23"/>
  <c r="O1527" i="23"/>
  <c r="O1526" i="23"/>
  <c r="O1525" i="23"/>
  <c r="O1524" i="23"/>
  <c r="O1523" i="23"/>
  <c r="O1522" i="23"/>
  <c r="O1521" i="23"/>
  <c r="O1520" i="23"/>
  <c r="O1519" i="23"/>
  <c r="O1518" i="23"/>
  <c r="O1517" i="23"/>
  <c r="O1516" i="23"/>
  <c r="O1515" i="23"/>
  <c r="O1514" i="23"/>
  <c r="O1513" i="23"/>
  <c r="O1512" i="23"/>
  <c r="O1511" i="23"/>
  <c r="O1510" i="23"/>
  <c r="O1509" i="23"/>
  <c r="O1508" i="23"/>
  <c r="O1507" i="23"/>
  <c r="O1506" i="23"/>
  <c r="O1505" i="23"/>
  <c r="O1504" i="23"/>
  <c r="O1503" i="23"/>
  <c r="O1502" i="23"/>
  <c r="O1501" i="23"/>
  <c r="O1500" i="23"/>
  <c r="O1499" i="23"/>
  <c r="O1498" i="23"/>
  <c r="O1497" i="23"/>
  <c r="O1496" i="23"/>
  <c r="O1495" i="23"/>
  <c r="O1494" i="23"/>
  <c r="O1493" i="23"/>
  <c r="O1492" i="23"/>
  <c r="O1491" i="23"/>
  <c r="O1490" i="23"/>
  <c r="O1489" i="23"/>
  <c r="O1488" i="23"/>
  <c r="O1487" i="23"/>
  <c r="O1486" i="23"/>
  <c r="O1485" i="23"/>
  <c r="O1484" i="23"/>
  <c r="O1483" i="23"/>
  <c r="O1482" i="23"/>
  <c r="O1481" i="23"/>
  <c r="O1480" i="23"/>
  <c r="O1479" i="23"/>
  <c r="O1478" i="23"/>
  <c r="O1477" i="23"/>
  <c r="O1476" i="23"/>
  <c r="O1475" i="23"/>
  <c r="O1474" i="23"/>
  <c r="O1473" i="23"/>
  <c r="O1472" i="23"/>
  <c r="O1471" i="23"/>
  <c r="O1470" i="23"/>
  <c r="O1469" i="23"/>
  <c r="O1468" i="23"/>
  <c r="O1467" i="23"/>
  <c r="O1466" i="23"/>
  <c r="O1465" i="23"/>
  <c r="O1464" i="23"/>
  <c r="O1463" i="23"/>
  <c r="O1462" i="23"/>
  <c r="O1461" i="23"/>
  <c r="O1460" i="23"/>
  <c r="O1459" i="23"/>
  <c r="O1458" i="23"/>
  <c r="O1457" i="23"/>
  <c r="O1456" i="23"/>
  <c r="O1455" i="23"/>
  <c r="O1454" i="23"/>
  <c r="O1453" i="23"/>
  <c r="O1452" i="23"/>
  <c r="O1451" i="23"/>
  <c r="O1450" i="23"/>
  <c r="O1449" i="23"/>
  <c r="O1448" i="23"/>
  <c r="O1447" i="23"/>
  <c r="O1446" i="23"/>
  <c r="O1445" i="23"/>
  <c r="O1444" i="23"/>
  <c r="O1443" i="23"/>
  <c r="O1442" i="23"/>
  <c r="O1441" i="23"/>
  <c r="O1440" i="23"/>
  <c r="O1439" i="23"/>
  <c r="O1438" i="23"/>
  <c r="O1437" i="23"/>
  <c r="O1436" i="23"/>
  <c r="O1435" i="23"/>
  <c r="O1434" i="23"/>
  <c r="O1433" i="23"/>
  <c r="O1432" i="23"/>
  <c r="O1431" i="23"/>
  <c r="O1430" i="23"/>
  <c r="O1429" i="23"/>
  <c r="O1428" i="23"/>
  <c r="O1427" i="23"/>
  <c r="O1426" i="23"/>
  <c r="O1425" i="23"/>
  <c r="O1424" i="23"/>
  <c r="O1423" i="23"/>
  <c r="O1422" i="23"/>
  <c r="O1421" i="23"/>
  <c r="O1420" i="23"/>
  <c r="O1419" i="23"/>
  <c r="O1418" i="23"/>
  <c r="O1417" i="23"/>
  <c r="O1416" i="23"/>
  <c r="O1415" i="23"/>
  <c r="O1414" i="23"/>
  <c r="O1413" i="23"/>
  <c r="O1412" i="23"/>
  <c r="O1411" i="23"/>
  <c r="O1410" i="23"/>
  <c r="O1409" i="23"/>
  <c r="O1408" i="23"/>
  <c r="O1407" i="23"/>
  <c r="O1406" i="23"/>
  <c r="O1405" i="23"/>
  <c r="O1404" i="23"/>
  <c r="O1403" i="23"/>
  <c r="O1402" i="23"/>
  <c r="O1401" i="23"/>
  <c r="O1400" i="23"/>
  <c r="O1399" i="23"/>
  <c r="O1398" i="23"/>
  <c r="O1397" i="23"/>
  <c r="O1396" i="23"/>
  <c r="O1395" i="23"/>
  <c r="O1394" i="23"/>
  <c r="O1393" i="23"/>
  <c r="O1392" i="23"/>
  <c r="O1391" i="23"/>
  <c r="O1390" i="23"/>
  <c r="O1389" i="23"/>
  <c r="O1388" i="23"/>
  <c r="O1387" i="23"/>
  <c r="O1386" i="23"/>
  <c r="O1385" i="23"/>
  <c r="O1384" i="23"/>
  <c r="O1383" i="23"/>
  <c r="O1382" i="23"/>
  <c r="O1381" i="23"/>
  <c r="O1380" i="23"/>
  <c r="O1379" i="23"/>
  <c r="O1378" i="23"/>
  <c r="O1377" i="23"/>
  <c r="O1376" i="23"/>
  <c r="O1375" i="23"/>
  <c r="O1374" i="23"/>
  <c r="O1373" i="23"/>
  <c r="O1372" i="23"/>
  <c r="O1371" i="23"/>
  <c r="O1370" i="23"/>
  <c r="O1369" i="23"/>
  <c r="O1368" i="23"/>
  <c r="O1367" i="23"/>
  <c r="O1366" i="23"/>
  <c r="O1365" i="23"/>
  <c r="O1364" i="23"/>
  <c r="O1363" i="23"/>
  <c r="O1362" i="23"/>
  <c r="O1361" i="23"/>
  <c r="O1360" i="23"/>
  <c r="O1359" i="23"/>
  <c r="O1358" i="23"/>
  <c r="O1357" i="23"/>
  <c r="O1356" i="23"/>
  <c r="O1355" i="23"/>
  <c r="O1354" i="23"/>
  <c r="O1353" i="23"/>
  <c r="O1352" i="23"/>
  <c r="O1351" i="23"/>
  <c r="O1350" i="23"/>
  <c r="O1349" i="23"/>
  <c r="O1348" i="23"/>
  <c r="O1347" i="23"/>
  <c r="O1346" i="23"/>
  <c r="O1345" i="23"/>
  <c r="O1344" i="23"/>
  <c r="O1343" i="23"/>
  <c r="O1342" i="23"/>
  <c r="O1341" i="23"/>
  <c r="O1340" i="23"/>
  <c r="O1339" i="23"/>
  <c r="O1338" i="23"/>
  <c r="O1337" i="23"/>
  <c r="O1336" i="23"/>
  <c r="O1335" i="23"/>
  <c r="O1334" i="23"/>
  <c r="O1333" i="23"/>
  <c r="O1332" i="23"/>
  <c r="O1331" i="23"/>
  <c r="O1330" i="23"/>
  <c r="O1329" i="23"/>
  <c r="O1328" i="23"/>
  <c r="O1327" i="23"/>
  <c r="O1326" i="23"/>
  <c r="O1325" i="23"/>
  <c r="O1324" i="23"/>
  <c r="O1323" i="23"/>
  <c r="O1322" i="23"/>
  <c r="O1321" i="23"/>
  <c r="O1320" i="23"/>
  <c r="O1319" i="23"/>
  <c r="O1318" i="23"/>
  <c r="O1317" i="23"/>
  <c r="O1316" i="23"/>
  <c r="O1315" i="23"/>
  <c r="O1314" i="23"/>
  <c r="O1313" i="23"/>
  <c r="O1312" i="23"/>
  <c r="O1311" i="23"/>
  <c r="O1310" i="23"/>
  <c r="O1309" i="23"/>
  <c r="O1308" i="23"/>
  <c r="O1307" i="23"/>
  <c r="O1306" i="23"/>
  <c r="O1305" i="23"/>
  <c r="O1304" i="23"/>
  <c r="O1303" i="23"/>
  <c r="O1302" i="23"/>
  <c r="O1301" i="23"/>
  <c r="O1300" i="23"/>
  <c r="O1299" i="23"/>
  <c r="O1298" i="23"/>
  <c r="O1297" i="23"/>
  <c r="O1296" i="23"/>
  <c r="O1295" i="23"/>
  <c r="O1294" i="23"/>
  <c r="O1293" i="23"/>
  <c r="O1292" i="23"/>
  <c r="O1291" i="23"/>
  <c r="O1290" i="23"/>
  <c r="O1289" i="23"/>
  <c r="O1288" i="23"/>
  <c r="O1287" i="23"/>
  <c r="O1286" i="23"/>
  <c r="O1285" i="23"/>
  <c r="O1284" i="23"/>
  <c r="O1283" i="23"/>
  <c r="O1282" i="23"/>
  <c r="O1281" i="23"/>
  <c r="O1280" i="23"/>
  <c r="O1279" i="23"/>
  <c r="O1278" i="23"/>
  <c r="O1277" i="23"/>
  <c r="O1276" i="23"/>
  <c r="O1275" i="23"/>
  <c r="O1274" i="23"/>
  <c r="O1273" i="23"/>
  <c r="O1272" i="23"/>
  <c r="O1271" i="23"/>
  <c r="O1270" i="23"/>
  <c r="O1269" i="23"/>
  <c r="O1268" i="23"/>
  <c r="O1267" i="23"/>
  <c r="O1266" i="23"/>
  <c r="O1265" i="23"/>
  <c r="O1264" i="23"/>
  <c r="O1263" i="23"/>
  <c r="O1262" i="23"/>
  <c r="O1261" i="23"/>
  <c r="O1260" i="23"/>
  <c r="O1259" i="23"/>
  <c r="O1258" i="23"/>
  <c r="O1257" i="23"/>
  <c r="O1256" i="23"/>
  <c r="O1255" i="23"/>
  <c r="O1254" i="23"/>
  <c r="O1253" i="23"/>
  <c r="O1252" i="23"/>
  <c r="O1251" i="23"/>
  <c r="O1250" i="23"/>
  <c r="O1249" i="23"/>
  <c r="O1248" i="23"/>
  <c r="O1247" i="23"/>
  <c r="O1246" i="23"/>
  <c r="O1245" i="23"/>
  <c r="O1244" i="23"/>
  <c r="O1243" i="23"/>
  <c r="O1242" i="23"/>
  <c r="O1241" i="23"/>
  <c r="O1240" i="23"/>
  <c r="O1239" i="23"/>
  <c r="O1238" i="23"/>
  <c r="O1237" i="23"/>
  <c r="O1236" i="23"/>
  <c r="O1235" i="23"/>
  <c r="O1234" i="23"/>
  <c r="O1233" i="23"/>
  <c r="O1232" i="23"/>
  <c r="O1231" i="23"/>
  <c r="O1230" i="23"/>
  <c r="O1229" i="23"/>
  <c r="O1228" i="23"/>
  <c r="O1227" i="23"/>
  <c r="O1226" i="23"/>
  <c r="O1225" i="23"/>
  <c r="O1224" i="23"/>
  <c r="O1223" i="23"/>
  <c r="O1222" i="23"/>
  <c r="O1221" i="23"/>
  <c r="O1220" i="23"/>
  <c r="O1219" i="23"/>
  <c r="O1218" i="23"/>
  <c r="O1217" i="23"/>
  <c r="O1216" i="23"/>
  <c r="O1215" i="23"/>
  <c r="O1214" i="23"/>
  <c r="O1213" i="23"/>
  <c r="O1212" i="23"/>
  <c r="O1211" i="23"/>
  <c r="O1210" i="23"/>
  <c r="O1209" i="23"/>
  <c r="O1208" i="23"/>
  <c r="O1207" i="23"/>
  <c r="O1206" i="23"/>
  <c r="O1205" i="23"/>
  <c r="O1204" i="23"/>
  <c r="O1203" i="23"/>
  <c r="O1202" i="23"/>
  <c r="O1201" i="23"/>
  <c r="O1200" i="23"/>
  <c r="O1199" i="23"/>
  <c r="O1198" i="23"/>
  <c r="O1197" i="23"/>
  <c r="O1196" i="23"/>
  <c r="O1195" i="23"/>
  <c r="O1194" i="23"/>
  <c r="O1193" i="23"/>
  <c r="O1192" i="23"/>
  <c r="O1191" i="23"/>
  <c r="O1190" i="23"/>
  <c r="O1189" i="23"/>
  <c r="O1188" i="23"/>
  <c r="O1187" i="23"/>
  <c r="O1186" i="23"/>
  <c r="O1185" i="23"/>
  <c r="O1184" i="23"/>
  <c r="O1183" i="23"/>
  <c r="O1182" i="23"/>
  <c r="O1181" i="23"/>
  <c r="O1180" i="23"/>
  <c r="O1179" i="23"/>
  <c r="O1178" i="23"/>
  <c r="O1177" i="23"/>
  <c r="O1176" i="23"/>
  <c r="O1175" i="23"/>
  <c r="O1174" i="23"/>
  <c r="O1173" i="23"/>
  <c r="O1172" i="23"/>
  <c r="O1171" i="23"/>
  <c r="O1170" i="23"/>
  <c r="O1169" i="23"/>
  <c r="O1168" i="23"/>
  <c r="O1167" i="23"/>
  <c r="O1166" i="23"/>
  <c r="O1165" i="23"/>
  <c r="O1164" i="23"/>
  <c r="O1163" i="23"/>
  <c r="O1162" i="23"/>
  <c r="O1161" i="23"/>
  <c r="O1160" i="23"/>
  <c r="O1159" i="23"/>
  <c r="O1158" i="23"/>
  <c r="O1157" i="23"/>
  <c r="O1156" i="23"/>
  <c r="O1155" i="23"/>
  <c r="O1154" i="23"/>
  <c r="O1153" i="23"/>
  <c r="O1152" i="23"/>
  <c r="O1151" i="23"/>
  <c r="O1150" i="23"/>
  <c r="O1149" i="23"/>
  <c r="O1148" i="23"/>
  <c r="O1147" i="23"/>
  <c r="O1146" i="23"/>
  <c r="O1145" i="23"/>
  <c r="O1144" i="23"/>
  <c r="O1143" i="23"/>
  <c r="O1142" i="23"/>
  <c r="O1141" i="23"/>
  <c r="O1140" i="23"/>
  <c r="O1139" i="23"/>
  <c r="O1138" i="23"/>
  <c r="O1137" i="23"/>
  <c r="O1136" i="23"/>
  <c r="O1135" i="23"/>
  <c r="O1134" i="23"/>
  <c r="O1133" i="23"/>
  <c r="O1132" i="23"/>
  <c r="O1131" i="23"/>
  <c r="O1130" i="23"/>
  <c r="O1129" i="23"/>
  <c r="O1128" i="23"/>
  <c r="O1127" i="23"/>
  <c r="O1126" i="23"/>
  <c r="O1125" i="23"/>
  <c r="O1124" i="23"/>
  <c r="O1123" i="23"/>
  <c r="O1122" i="23"/>
  <c r="O1121" i="23"/>
  <c r="O1120" i="23"/>
  <c r="O1119" i="23"/>
  <c r="O1118" i="23"/>
  <c r="O1117" i="23"/>
  <c r="O1116" i="23"/>
  <c r="O1115" i="23"/>
  <c r="O1114" i="23"/>
  <c r="O1113" i="23"/>
  <c r="O1112" i="23"/>
  <c r="O1111" i="23"/>
  <c r="O1110" i="23"/>
  <c r="O1109" i="23"/>
  <c r="O1108" i="23"/>
  <c r="O1107" i="23"/>
  <c r="O1106" i="23"/>
  <c r="O1105" i="23"/>
  <c r="O1104" i="23"/>
  <c r="O1103" i="23"/>
  <c r="O1102" i="23"/>
  <c r="O1101" i="23"/>
  <c r="O1100" i="23"/>
  <c r="O1099" i="23"/>
  <c r="O1098" i="23"/>
  <c r="O1097" i="23"/>
  <c r="O1096" i="23"/>
  <c r="O1095" i="23"/>
  <c r="O1094" i="23"/>
  <c r="O1093" i="23"/>
  <c r="O1092" i="23"/>
  <c r="O1091" i="23"/>
  <c r="O1090" i="23"/>
  <c r="O1089" i="23"/>
  <c r="O1088" i="23"/>
  <c r="O1087" i="23"/>
  <c r="O1086" i="23"/>
  <c r="O1085" i="23"/>
  <c r="O1084" i="23"/>
  <c r="O1083" i="23"/>
  <c r="O1082" i="23"/>
  <c r="O1081" i="23"/>
  <c r="O1080" i="23"/>
  <c r="O1079" i="23"/>
  <c r="O1078" i="23"/>
  <c r="O1077" i="23"/>
  <c r="O1076" i="23"/>
  <c r="O1075" i="23"/>
  <c r="O1074" i="23"/>
  <c r="O1073" i="23"/>
  <c r="O1072" i="23"/>
  <c r="O1071" i="23"/>
  <c r="O1070" i="23"/>
  <c r="O1069" i="23"/>
  <c r="O1068" i="23"/>
  <c r="O1067" i="23"/>
  <c r="O1066" i="23"/>
  <c r="O1065" i="23"/>
  <c r="O1064" i="23"/>
  <c r="O1063" i="23"/>
  <c r="O1062" i="23"/>
  <c r="O1061" i="23"/>
  <c r="O1060" i="23"/>
  <c r="O1059" i="23"/>
  <c r="O1058" i="23"/>
  <c r="O1057" i="23"/>
  <c r="O1056" i="23"/>
  <c r="O1055" i="23"/>
  <c r="O1054" i="23"/>
  <c r="O1053" i="23"/>
  <c r="O1052" i="23"/>
  <c r="O1051" i="23"/>
  <c r="O1050" i="23"/>
  <c r="O1049" i="23"/>
  <c r="O1048" i="23"/>
  <c r="O1047" i="23"/>
  <c r="O1046" i="23"/>
  <c r="O1045" i="23"/>
  <c r="O1044" i="23"/>
  <c r="O1043" i="23"/>
  <c r="O1042" i="23"/>
  <c r="O1041" i="23"/>
  <c r="O1040" i="23"/>
  <c r="O1039" i="23"/>
  <c r="O1038" i="23"/>
  <c r="O1037" i="23"/>
  <c r="O1036" i="23"/>
  <c r="O1035" i="23"/>
  <c r="O1034" i="23"/>
  <c r="O1033" i="23"/>
  <c r="O1032" i="23"/>
  <c r="O1031" i="23"/>
  <c r="O1030" i="23"/>
  <c r="O1029" i="23"/>
  <c r="O1028" i="23"/>
  <c r="O1027" i="23"/>
  <c r="O1026" i="23"/>
  <c r="O1025" i="23"/>
  <c r="O1024" i="23"/>
  <c r="O1023" i="23"/>
  <c r="O1022" i="23"/>
  <c r="O1021" i="23"/>
  <c r="O1020" i="23"/>
  <c r="O1019" i="23"/>
  <c r="O1018" i="23"/>
  <c r="O1017" i="23"/>
  <c r="O1016" i="23"/>
  <c r="O1015" i="23"/>
  <c r="O1014" i="23"/>
  <c r="O1013" i="23"/>
  <c r="O1012" i="23"/>
  <c r="O1011" i="23"/>
  <c r="O1010" i="23"/>
  <c r="O1009" i="23"/>
  <c r="O1008" i="23"/>
  <c r="O1007" i="23"/>
  <c r="O1006" i="23"/>
  <c r="O1005" i="23"/>
  <c r="O1004" i="23"/>
  <c r="O1003" i="23"/>
  <c r="O1002" i="23"/>
  <c r="O1001" i="23"/>
  <c r="O1000" i="23"/>
  <c r="O999" i="23"/>
  <c r="O998" i="23"/>
  <c r="O997" i="23"/>
  <c r="O996" i="23"/>
  <c r="O995" i="23"/>
  <c r="O994" i="23"/>
  <c r="O993" i="23"/>
  <c r="O992" i="23"/>
  <c r="O991" i="23"/>
  <c r="O990" i="23"/>
  <c r="O989" i="23"/>
  <c r="O988" i="23"/>
  <c r="O987" i="23"/>
  <c r="O986" i="23"/>
  <c r="O985" i="23"/>
  <c r="O984" i="23"/>
  <c r="O983" i="23"/>
  <c r="O982" i="23"/>
  <c r="O981" i="23"/>
  <c r="O980" i="23"/>
  <c r="O979" i="23"/>
  <c r="O978" i="23"/>
  <c r="O977" i="23"/>
  <c r="O976" i="23"/>
  <c r="O975" i="23"/>
  <c r="O974" i="23"/>
  <c r="O973" i="23"/>
  <c r="O972" i="23"/>
  <c r="O971" i="23"/>
  <c r="O970" i="23"/>
  <c r="O969" i="23"/>
  <c r="O968" i="23"/>
  <c r="O967" i="23"/>
  <c r="O966" i="23"/>
  <c r="O965" i="23"/>
  <c r="O964" i="23"/>
  <c r="O963" i="23"/>
  <c r="O962" i="23"/>
  <c r="O961" i="23"/>
  <c r="O960" i="23"/>
  <c r="O959" i="23"/>
  <c r="O958" i="23"/>
  <c r="O957" i="23"/>
  <c r="O956" i="23"/>
  <c r="O955" i="23"/>
  <c r="O954" i="23"/>
  <c r="O953" i="23"/>
  <c r="O952" i="23"/>
  <c r="O951" i="23"/>
  <c r="O950" i="23"/>
  <c r="O949" i="23"/>
  <c r="O948" i="23"/>
  <c r="O947" i="23"/>
  <c r="O946" i="23"/>
  <c r="O945" i="23"/>
  <c r="O944" i="23"/>
  <c r="O943" i="23"/>
  <c r="O942" i="23"/>
  <c r="O941" i="23"/>
  <c r="O940" i="23"/>
  <c r="O939" i="23"/>
  <c r="O938" i="23"/>
  <c r="O937" i="23"/>
  <c r="O936" i="23"/>
  <c r="O935" i="23"/>
  <c r="O934" i="23"/>
  <c r="O933" i="23"/>
  <c r="O932" i="23"/>
  <c r="O931" i="23"/>
  <c r="O930" i="23"/>
  <c r="O929" i="23"/>
  <c r="O928" i="23"/>
  <c r="O927" i="23"/>
  <c r="O926" i="23"/>
  <c r="O925" i="23"/>
  <c r="O924" i="23"/>
  <c r="O923" i="23"/>
  <c r="O922" i="23"/>
  <c r="O921" i="23"/>
  <c r="O920" i="23"/>
  <c r="O919" i="23"/>
  <c r="O918" i="23"/>
  <c r="O917" i="23"/>
  <c r="O916" i="23"/>
  <c r="O915" i="23"/>
  <c r="O914" i="23"/>
  <c r="O913" i="23"/>
  <c r="O912" i="23"/>
  <c r="O911" i="23"/>
  <c r="O910" i="23"/>
  <c r="O909" i="23"/>
  <c r="O908" i="23"/>
  <c r="O907" i="23"/>
  <c r="O906" i="23"/>
  <c r="O905" i="23"/>
  <c r="O904" i="23"/>
  <c r="O903" i="23"/>
  <c r="O902" i="23"/>
  <c r="O901" i="23"/>
  <c r="O900" i="23"/>
  <c r="O899" i="23"/>
  <c r="O898" i="23"/>
  <c r="O897" i="23"/>
  <c r="O896" i="23"/>
  <c r="O895" i="23"/>
  <c r="O894" i="23"/>
  <c r="O893" i="23"/>
  <c r="O892" i="23"/>
  <c r="O891" i="23"/>
  <c r="O890" i="23"/>
  <c r="O889" i="23"/>
  <c r="O888" i="23"/>
  <c r="O887" i="23"/>
  <c r="O886" i="23"/>
  <c r="O885" i="23"/>
  <c r="O884" i="23"/>
  <c r="O883" i="23"/>
  <c r="O882" i="23"/>
  <c r="O881" i="23"/>
  <c r="O880" i="23"/>
  <c r="O879" i="23"/>
  <c r="O878" i="23"/>
  <c r="O877" i="23"/>
  <c r="O876" i="23"/>
  <c r="O875" i="23"/>
  <c r="O874" i="23"/>
  <c r="O873" i="23"/>
  <c r="O872" i="23"/>
  <c r="O871" i="23"/>
  <c r="O870" i="23"/>
  <c r="O869" i="23"/>
  <c r="O868" i="23"/>
  <c r="O867" i="23"/>
  <c r="O866" i="23"/>
  <c r="O865" i="23"/>
  <c r="O864" i="23"/>
  <c r="O863" i="23"/>
  <c r="O862" i="23"/>
  <c r="O861" i="23"/>
  <c r="O860" i="23"/>
  <c r="O859" i="23"/>
  <c r="O858" i="23"/>
  <c r="O857" i="23"/>
  <c r="O856" i="23"/>
  <c r="O855" i="23"/>
  <c r="O854" i="23"/>
  <c r="O853" i="23"/>
  <c r="O852" i="23"/>
  <c r="O851" i="23"/>
  <c r="O850" i="23"/>
  <c r="O849" i="23"/>
  <c r="O848" i="23"/>
  <c r="O847" i="23"/>
  <c r="O846" i="23"/>
  <c r="O845" i="23"/>
  <c r="O844" i="23"/>
  <c r="O843" i="23"/>
  <c r="O842" i="23"/>
  <c r="O841" i="23"/>
  <c r="O840" i="23"/>
  <c r="O839" i="23"/>
  <c r="O838" i="23"/>
  <c r="O837" i="23"/>
  <c r="O836" i="23"/>
  <c r="O835" i="23"/>
  <c r="O834" i="23"/>
  <c r="O833" i="23"/>
  <c r="O832" i="23"/>
  <c r="O831" i="23"/>
  <c r="O830" i="23"/>
  <c r="O829" i="23"/>
  <c r="O828" i="23"/>
  <c r="O827" i="23"/>
  <c r="O826" i="23"/>
  <c r="O825" i="23"/>
  <c r="O824" i="23"/>
  <c r="O823" i="23"/>
  <c r="O822" i="23"/>
  <c r="O821" i="23"/>
  <c r="O820" i="23"/>
  <c r="O819" i="23"/>
  <c r="O818" i="23"/>
  <c r="O817" i="23"/>
  <c r="O816" i="23"/>
  <c r="O815" i="23"/>
  <c r="O814" i="23"/>
  <c r="O813" i="23"/>
  <c r="O812" i="23"/>
  <c r="O811" i="23"/>
  <c r="O810" i="23"/>
  <c r="O809" i="23"/>
  <c r="O808" i="23"/>
  <c r="O807" i="23"/>
  <c r="O806" i="23"/>
  <c r="O805" i="23"/>
  <c r="O804" i="23"/>
  <c r="O803" i="23"/>
  <c r="O802" i="23"/>
  <c r="O801" i="23"/>
  <c r="O800" i="23"/>
  <c r="O799" i="23"/>
  <c r="O798" i="23"/>
  <c r="O797" i="23"/>
  <c r="O796" i="23"/>
  <c r="O795" i="23"/>
  <c r="O794" i="23"/>
  <c r="O793" i="23"/>
  <c r="O792" i="23"/>
  <c r="O791" i="23"/>
  <c r="O790" i="23"/>
  <c r="O789" i="23"/>
  <c r="O788" i="23"/>
  <c r="O787" i="23"/>
  <c r="O786" i="23"/>
  <c r="O785" i="23"/>
  <c r="O784" i="23"/>
  <c r="O783" i="23"/>
  <c r="O782" i="23"/>
  <c r="O781" i="23"/>
  <c r="O780" i="23"/>
  <c r="O779" i="23"/>
  <c r="O778" i="23"/>
  <c r="O777" i="23"/>
  <c r="O776" i="23"/>
  <c r="O775" i="23"/>
  <c r="O774" i="23"/>
  <c r="O773" i="23"/>
  <c r="O772" i="23"/>
  <c r="O771" i="23"/>
  <c r="O770" i="23"/>
  <c r="O769" i="23"/>
  <c r="O768" i="23"/>
  <c r="O767" i="23"/>
  <c r="O766" i="23"/>
  <c r="O765" i="23"/>
  <c r="O764" i="23"/>
  <c r="O763" i="23"/>
  <c r="O762" i="23"/>
  <c r="O761" i="23"/>
  <c r="O760" i="23"/>
  <c r="O759" i="23"/>
  <c r="O758" i="23"/>
  <c r="O757" i="23"/>
  <c r="O756" i="23"/>
  <c r="O755" i="23"/>
  <c r="O754" i="23"/>
  <c r="O753" i="23"/>
  <c r="O752" i="23"/>
  <c r="O751" i="23"/>
  <c r="O750" i="23"/>
  <c r="O749" i="23"/>
  <c r="O748" i="23"/>
  <c r="O747" i="23"/>
  <c r="O746" i="23"/>
  <c r="O745" i="23"/>
  <c r="O744" i="23"/>
  <c r="O743" i="23"/>
  <c r="O742" i="23"/>
  <c r="O741" i="23"/>
  <c r="O740" i="23"/>
  <c r="O739" i="23"/>
  <c r="O738" i="23"/>
  <c r="O737" i="23"/>
  <c r="O736" i="23"/>
  <c r="O735" i="23"/>
  <c r="O734" i="23"/>
  <c r="O733" i="23"/>
  <c r="O732" i="23"/>
  <c r="O731" i="23"/>
  <c r="O730" i="23"/>
  <c r="O729" i="23"/>
  <c r="O728" i="23"/>
  <c r="O727" i="23"/>
  <c r="O726" i="23"/>
  <c r="O725" i="23"/>
  <c r="O724" i="23"/>
  <c r="O723" i="23"/>
  <c r="O722" i="23"/>
  <c r="O721" i="23"/>
  <c r="O720" i="23"/>
  <c r="O719" i="23"/>
  <c r="O718" i="23"/>
  <c r="O717" i="23"/>
  <c r="O716" i="23"/>
  <c r="O715" i="23"/>
  <c r="O714" i="23"/>
  <c r="O713" i="23"/>
  <c r="O712" i="23"/>
  <c r="O711" i="23"/>
  <c r="O710" i="23"/>
  <c r="O709" i="23"/>
  <c r="O708" i="23"/>
  <c r="O707" i="23"/>
  <c r="O706" i="23"/>
  <c r="O705" i="23"/>
  <c r="O704" i="23"/>
  <c r="O703" i="23"/>
  <c r="O702" i="23"/>
  <c r="O701" i="23"/>
  <c r="O700" i="23"/>
  <c r="O699" i="23"/>
  <c r="O698" i="23"/>
  <c r="O697" i="23"/>
  <c r="O696" i="23"/>
  <c r="O695" i="23"/>
  <c r="O694" i="23"/>
  <c r="O693" i="23"/>
  <c r="O692" i="23"/>
  <c r="O691" i="23"/>
  <c r="O690" i="23"/>
  <c r="O689" i="23"/>
  <c r="O688" i="23"/>
  <c r="O687" i="23"/>
  <c r="O686" i="23"/>
  <c r="O685" i="23"/>
  <c r="O684" i="23"/>
  <c r="O683" i="23"/>
  <c r="O682" i="23"/>
  <c r="O681" i="23"/>
  <c r="O680" i="23"/>
  <c r="O679" i="23"/>
  <c r="O678" i="23"/>
  <c r="O677" i="23"/>
  <c r="O676" i="23"/>
  <c r="O675" i="23"/>
  <c r="O674" i="23"/>
  <c r="O673" i="23"/>
  <c r="O672" i="23"/>
  <c r="O671" i="23"/>
  <c r="O670" i="23"/>
  <c r="O669" i="23"/>
  <c r="O668" i="23"/>
  <c r="O667" i="23"/>
  <c r="O666" i="23"/>
  <c r="O665" i="23"/>
  <c r="O664" i="23"/>
  <c r="O663" i="23"/>
  <c r="O662" i="23"/>
  <c r="O661" i="23"/>
  <c r="O660" i="23"/>
  <c r="O659" i="23"/>
  <c r="O658" i="23"/>
  <c r="O657" i="23"/>
  <c r="O656" i="23"/>
  <c r="O655" i="23"/>
  <c r="O654" i="23"/>
  <c r="O653" i="23"/>
  <c r="O652" i="23"/>
  <c r="O651" i="23"/>
  <c r="O650" i="23"/>
  <c r="O649" i="23"/>
  <c r="O648" i="23"/>
  <c r="O647" i="23"/>
  <c r="O646" i="23"/>
  <c r="O645" i="23"/>
  <c r="O644" i="23"/>
  <c r="O643" i="23"/>
  <c r="O642" i="23"/>
  <c r="O641" i="23"/>
  <c r="O640" i="23"/>
  <c r="O639" i="23"/>
  <c r="O638" i="23"/>
  <c r="O637" i="23"/>
  <c r="O636" i="23"/>
  <c r="O635" i="23"/>
  <c r="O634" i="23"/>
  <c r="O633" i="23"/>
  <c r="O632" i="23"/>
  <c r="O631" i="23"/>
  <c r="O630" i="23"/>
  <c r="O629" i="23"/>
  <c r="O628" i="23"/>
  <c r="O627" i="23"/>
  <c r="O626" i="23"/>
  <c r="O625" i="23"/>
  <c r="O624" i="23"/>
  <c r="O623" i="23"/>
  <c r="O622" i="23"/>
  <c r="O621" i="23"/>
  <c r="O620" i="23"/>
  <c r="O619" i="23"/>
  <c r="O618" i="23"/>
  <c r="O617" i="23"/>
  <c r="O616" i="23"/>
  <c r="O615" i="23"/>
  <c r="O614" i="23"/>
  <c r="O613" i="23"/>
  <c r="O612" i="23"/>
  <c r="O611" i="23"/>
  <c r="O610" i="23"/>
  <c r="O609" i="23"/>
  <c r="O608" i="23"/>
  <c r="O607" i="23"/>
  <c r="O606" i="23"/>
  <c r="O605" i="23"/>
  <c r="O604" i="23"/>
  <c r="O603" i="23"/>
  <c r="O602" i="23"/>
  <c r="O601" i="23"/>
  <c r="O600" i="23"/>
  <c r="O599" i="23"/>
  <c r="O598" i="23"/>
  <c r="O597" i="23"/>
  <c r="O596" i="23"/>
  <c r="O595" i="23"/>
  <c r="O594" i="23"/>
  <c r="O593" i="23"/>
  <c r="O592" i="23"/>
  <c r="O591" i="23"/>
  <c r="O590" i="23"/>
  <c r="O589" i="23"/>
  <c r="O588" i="23"/>
  <c r="O587" i="23"/>
  <c r="O586" i="23"/>
  <c r="O585" i="23"/>
  <c r="O584" i="23"/>
  <c r="O583" i="23"/>
  <c r="O582" i="23"/>
  <c r="O581" i="23"/>
  <c r="O580" i="23"/>
  <c r="O579" i="23"/>
  <c r="O578" i="23"/>
  <c r="O577" i="23"/>
  <c r="O576" i="23"/>
  <c r="O575" i="23"/>
  <c r="O574" i="23"/>
  <c r="O573" i="23"/>
  <c r="O572" i="23"/>
  <c r="O571" i="23"/>
  <c r="O570" i="23"/>
  <c r="O569" i="23"/>
  <c r="O568" i="23"/>
  <c r="O567" i="23"/>
  <c r="O566" i="23"/>
  <c r="O565" i="23"/>
  <c r="O564" i="23"/>
  <c r="O563" i="23"/>
  <c r="O562" i="23"/>
  <c r="O561" i="23"/>
  <c r="O560" i="23"/>
  <c r="O559" i="23"/>
  <c r="O558" i="23"/>
  <c r="O557" i="23"/>
  <c r="O556" i="23"/>
  <c r="O555" i="23"/>
  <c r="O554" i="23"/>
  <c r="O553" i="23"/>
  <c r="O552" i="23"/>
  <c r="O551" i="23"/>
  <c r="O550" i="23"/>
  <c r="O549" i="23"/>
  <c r="O548" i="23"/>
  <c r="O547" i="23"/>
  <c r="O546" i="23"/>
  <c r="O545" i="23"/>
  <c r="O544" i="23"/>
  <c r="O543" i="23"/>
  <c r="O542" i="23"/>
  <c r="O541" i="23"/>
  <c r="O540" i="23"/>
  <c r="O539" i="23"/>
  <c r="O538" i="23"/>
  <c r="O537" i="23"/>
  <c r="O536" i="23"/>
  <c r="O535" i="23"/>
  <c r="O534" i="23"/>
  <c r="O533" i="23"/>
  <c r="O532" i="23"/>
  <c r="O531" i="23"/>
  <c r="O530" i="23"/>
  <c r="O529" i="23"/>
  <c r="O528" i="23"/>
  <c r="O527" i="23"/>
  <c r="O526" i="23"/>
  <c r="O525" i="23"/>
  <c r="O524" i="23"/>
  <c r="O523" i="23"/>
  <c r="O522" i="23"/>
  <c r="O521" i="23"/>
  <c r="O520" i="23"/>
  <c r="O519" i="23"/>
  <c r="O518" i="23"/>
  <c r="O517" i="23"/>
  <c r="O516" i="23"/>
  <c r="O515" i="23"/>
  <c r="O514" i="23"/>
  <c r="O513" i="23"/>
  <c r="O512" i="23"/>
  <c r="O511" i="23"/>
  <c r="O510" i="23"/>
  <c r="O509" i="23"/>
  <c r="O508" i="23"/>
  <c r="O507" i="23"/>
  <c r="O506" i="23"/>
  <c r="O505" i="23"/>
  <c r="O504" i="23"/>
  <c r="O503" i="23"/>
  <c r="O502" i="23"/>
  <c r="O501" i="23"/>
  <c r="O500" i="23"/>
  <c r="O499" i="23"/>
  <c r="O498" i="23"/>
  <c r="O497" i="23"/>
  <c r="O496" i="23"/>
  <c r="O495" i="23"/>
  <c r="O494" i="23"/>
  <c r="O493" i="23"/>
  <c r="O492" i="23"/>
  <c r="O491" i="23"/>
  <c r="O490" i="23"/>
  <c r="O489" i="23"/>
  <c r="O488" i="23"/>
  <c r="O487" i="23"/>
  <c r="O486" i="23"/>
  <c r="O485" i="23"/>
  <c r="O484" i="23"/>
  <c r="O483" i="23"/>
  <c r="O482" i="23"/>
  <c r="O481" i="23"/>
  <c r="O480" i="23"/>
  <c r="O479" i="23"/>
  <c r="O478" i="23"/>
  <c r="O477" i="23"/>
  <c r="O476" i="23"/>
  <c r="O475" i="23"/>
  <c r="O474" i="23"/>
  <c r="O473" i="23"/>
  <c r="O472" i="23"/>
  <c r="O471" i="23"/>
  <c r="O470" i="23"/>
  <c r="O469" i="23"/>
  <c r="O468" i="23"/>
  <c r="O467" i="23"/>
  <c r="O466" i="23"/>
  <c r="O465" i="23"/>
  <c r="O464" i="23"/>
  <c r="O463" i="23"/>
  <c r="O462" i="23"/>
  <c r="O461" i="23"/>
  <c r="O460" i="23"/>
  <c r="O459" i="23"/>
  <c r="O458" i="23"/>
  <c r="O457" i="23"/>
  <c r="O456" i="23"/>
  <c r="O455" i="23"/>
  <c r="O454" i="23"/>
  <c r="O453" i="23"/>
  <c r="O452" i="23"/>
  <c r="O451" i="23"/>
  <c r="O450" i="23"/>
  <c r="O449" i="23"/>
  <c r="O448" i="23"/>
  <c r="O447" i="23"/>
  <c r="O446" i="23"/>
  <c r="O445" i="23"/>
  <c r="O444" i="23"/>
  <c r="O443" i="23"/>
  <c r="O442" i="23"/>
  <c r="O441" i="23"/>
  <c r="O440" i="23"/>
  <c r="O439" i="23"/>
  <c r="O438" i="23"/>
  <c r="O437" i="23"/>
  <c r="O436" i="23"/>
  <c r="O435" i="23"/>
  <c r="O434" i="23"/>
  <c r="O433" i="23"/>
  <c r="O432" i="23"/>
  <c r="O431" i="23"/>
  <c r="O430" i="23"/>
  <c r="O429" i="23"/>
  <c r="O428" i="23"/>
  <c r="O427" i="23"/>
  <c r="O426" i="23"/>
  <c r="O425" i="23"/>
  <c r="O424" i="23"/>
  <c r="O423" i="23"/>
  <c r="O422" i="23"/>
  <c r="O421" i="23"/>
  <c r="O420" i="23"/>
  <c r="O419" i="23"/>
  <c r="O418" i="23"/>
  <c r="O417" i="23"/>
  <c r="O416" i="23"/>
  <c r="O415" i="23"/>
  <c r="O414" i="23"/>
  <c r="O413" i="23"/>
  <c r="O412" i="23"/>
  <c r="O411" i="23"/>
  <c r="O410" i="23"/>
  <c r="O409" i="23"/>
  <c r="O408" i="23"/>
  <c r="O407" i="23"/>
  <c r="O406" i="23"/>
  <c r="O405" i="23"/>
  <c r="O404" i="23"/>
  <c r="O403" i="23"/>
  <c r="O402" i="23"/>
  <c r="O401" i="23"/>
  <c r="O400" i="23"/>
  <c r="O399" i="23"/>
  <c r="O398" i="23"/>
  <c r="O397" i="23"/>
  <c r="O396" i="23"/>
  <c r="O395" i="23"/>
  <c r="O394" i="23"/>
  <c r="O393" i="23"/>
  <c r="O392" i="23"/>
  <c r="O391" i="23"/>
  <c r="O390" i="23"/>
  <c r="O389" i="23"/>
  <c r="O388" i="23"/>
  <c r="O387" i="23"/>
  <c r="O386" i="23"/>
  <c r="O385" i="23"/>
  <c r="O384" i="23"/>
  <c r="O383" i="23"/>
  <c r="O382" i="23"/>
  <c r="O381" i="23"/>
  <c r="O380" i="23"/>
  <c r="O379" i="23"/>
  <c r="O378" i="23"/>
  <c r="O377" i="23"/>
  <c r="O376" i="23"/>
  <c r="O375" i="23"/>
  <c r="O374" i="23"/>
  <c r="O373" i="23"/>
  <c r="O372" i="23"/>
  <c r="O371" i="23"/>
  <c r="O370" i="23"/>
  <c r="O369" i="23"/>
  <c r="O368" i="23"/>
  <c r="O367" i="23"/>
  <c r="O366" i="23"/>
  <c r="O365" i="23"/>
  <c r="O364" i="23"/>
  <c r="O363" i="23"/>
  <c r="O362" i="23"/>
  <c r="O361" i="23"/>
  <c r="O360" i="23"/>
  <c r="O359" i="23"/>
  <c r="O358" i="23"/>
  <c r="O357" i="23"/>
  <c r="O356" i="23"/>
  <c r="O355" i="23"/>
  <c r="O354" i="23"/>
  <c r="O353" i="23"/>
  <c r="O352" i="23"/>
  <c r="O351" i="23"/>
  <c r="O350" i="23"/>
  <c r="O349" i="23"/>
  <c r="O348" i="23"/>
  <c r="O347" i="23"/>
  <c r="O346" i="23"/>
  <c r="O345" i="23"/>
  <c r="O344" i="23"/>
  <c r="O343" i="23"/>
  <c r="O342" i="23"/>
  <c r="O341" i="23"/>
  <c r="O340" i="23"/>
  <c r="O339" i="23"/>
  <c r="O338" i="23"/>
  <c r="O337" i="23"/>
  <c r="O336" i="23"/>
  <c r="O335" i="23"/>
  <c r="O334" i="23"/>
  <c r="O333" i="23"/>
  <c r="O332" i="23"/>
  <c r="O331" i="23"/>
  <c r="O330" i="23"/>
  <c r="O329" i="23"/>
  <c r="O328" i="23"/>
  <c r="O327" i="23"/>
  <c r="O326" i="23"/>
  <c r="O325" i="23"/>
  <c r="O324" i="23"/>
  <c r="O323" i="23"/>
  <c r="O322" i="23"/>
  <c r="O321" i="23"/>
  <c r="O320" i="23"/>
  <c r="O319" i="23"/>
  <c r="O318" i="23"/>
  <c r="O317" i="23"/>
  <c r="O316" i="23"/>
  <c r="O315" i="23"/>
  <c r="O314" i="23"/>
  <c r="O313" i="23"/>
  <c r="O312" i="23"/>
  <c r="O311" i="23"/>
  <c r="O310" i="23"/>
  <c r="O309" i="23"/>
  <c r="O308" i="23"/>
  <c r="O307" i="23"/>
  <c r="O306" i="23"/>
  <c r="O305" i="23"/>
  <c r="O304" i="23"/>
  <c r="O303" i="23"/>
  <c r="O302" i="23"/>
  <c r="O301" i="23"/>
  <c r="O300" i="23"/>
  <c r="O299" i="23"/>
  <c r="O298" i="23"/>
  <c r="O297" i="23"/>
  <c r="O296" i="23"/>
  <c r="O295" i="23"/>
  <c r="O294" i="23"/>
  <c r="O293" i="23"/>
  <c r="O292" i="23"/>
  <c r="O291" i="23"/>
  <c r="O290" i="23"/>
  <c r="O289" i="23"/>
  <c r="O288" i="23"/>
  <c r="O287" i="23"/>
  <c r="O286" i="23"/>
  <c r="O285" i="23"/>
  <c r="O284" i="23"/>
  <c r="O283" i="23"/>
  <c r="O282" i="23"/>
  <c r="O281" i="23"/>
  <c r="O280" i="23"/>
  <c r="O279" i="23"/>
  <c r="O278" i="23"/>
  <c r="O277" i="23"/>
  <c r="O276" i="23"/>
  <c r="O275" i="23"/>
  <c r="O274" i="23"/>
  <c r="O273" i="23"/>
  <c r="O272" i="23"/>
  <c r="O271" i="23"/>
  <c r="O270" i="23"/>
  <c r="O269" i="23"/>
  <c r="O268" i="23"/>
  <c r="O267" i="23"/>
  <c r="O266" i="23"/>
  <c r="O265" i="23"/>
  <c r="O264" i="23"/>
  <c r="O263" i="23"/>
  <c r="O262" i="23"/>
  <c r="O261" i="23"/>
  <c r="O260" i="23"/>
  <c r="O259" i="23"/>
  <c r="O258" i="23"/>
  <c r="O257" i="23"/>
  <c r="O256" i="23"/>
  <c r="O255" i="23"/>
  <c r="O254" i="23"/>
  <c r="O253" i="23"/>
  <c r="O252" i="23"/>
  <c r="O251" i="23"/>
  <c r="O250" i="23"/>
  <c r="O249" i="23"/>
  <c r="O248" i="23"/>
  <c r="O247" i="23"/>
  <c r="O246" i="23"/>
  <c r="O245" i="23"/>
  <c r="O244" i="23"/>
  <c r="O243" i="23"/>
  <c r="O242" i="23"/>
  <c r="O241" i="23"/>
  <c r="O240" i="23"/>
  <c r="O239" i="23"/>
  <c r="O238" i="23"/>
  <c r="O237" i="23"/>
  <c r="O236" i="23"/>
  <c r="O235" i="23"/>
  <c r="O234" i="23"/>
  <c r="O233" i="23"/>
  <c r="O232" i="23"/>
  <c r="O231" i="23"/>
  <c r="O230" i="23"/>
  <c r="O229" i="23"/>
  <c r="O228" i="23"/>
  <c r="O227" i="23"/>
  <c r="O226" i="23"/>
  <c r="O225" i="23"/>
  <c r="O224" i="23"/>
  <c r="O223" i="23"/>
  <c r="O222" i="23"/>
  <c r="O221" i="23"/>
  <c r="O220" i="23"/>
  <c r="O219" i="23"/>
  <c r="O218" i="23"/>
  <c r="O217" i="23"/>
  <c r="O216" i="23"/>
  <c r="O215" i="23"/>
  <c r="O214" i="23"/>
  <c r="O213" i="23"/>
  <c r="O212" i="23"/>
  <c r="O211" i="23"/>
  <c r="O210" i="23"/>
  <c r="O209" i="23"/>
  <c r="O208" i="23"/>
  <c r="O207" i="23"/>
  <c r="O206" i="23"/>
  <c r="O205" i="23"/>
  <c r="O204" i="23"/>
  <c r="O203" i="23"/>
  <c r="O202" i="23"/>
  <c r="O201" i="23"/>
  <c r="O200" i="23"/>
  <c r="O199" i="23"/>
  <c r="O198" i="23"/>
  <c r="O197" i="23"/>
  <c r="O196" i="23"/>
  <c r="O195" i="23"/>
  <c r="O194" i="23"/>
  <c r="O193" i="23"/>
  <c r="O192" i="23"/>
  <c r="O191" i="23"/>
  <c r="O190" i="23"/>
  <c r="O189" i="23"/>
  <c r="O188" i="23"/>
  <c r="O187" i="23"/>
  <c r="O186" i="23"/>
  <c r="O185" i="23"/>
  <c r="O184" i="23"/>
  <c r="O183" i="23"/>
  <c r="O182" i="23"/>
  <c r="O181" i="23"/>
  <c r="O180" i="23"/>
  <c r="O179" i="23"/>
  <c r="O178" i="23"/>
  <c r="O177" i="23"/>
  <c r="O176" i="23"/>
  <c r="O175" i="23"/>
  <c r="O174" i="23"/>
  <c r="O173" i="23"/>
  <c r="O172" i="23"/>
  <c r="O171" i="23"/>
  <c r="O170" i="23"/>
  <c r="O169" i="23"/>
  <c r="O168" i="23"/>
  <c r="O167" i="23"/>
  <c r="O166" i="23"/>
  <c r="O165" i="23"/>
  <c r="O164" i="23"/>
  <c r="O163" i="23"/>
  <c r="O162" i="23"/>
  <c r="O161" i="23"/>
  <c r="O160" i="23"/>
  <c r="O159" i="23"/>
  <c r="O158" i="23"/>
  <c r="O157" i="23"/>
  <c r="O156" i="23"/>
  <c r="O155" i="23"/>
  <c r="O154" i="23"/>
  <c r="O153" i="23"/>
  <c r="O152" i="23"/>
  <c r="O151" i="23"/>
  <c r="O150" i="23"/>
  <c r="O149" i="23"/>
  <c r="O148" i="23"/>
  <c r="O147" i="23"/>
  <c r="O146" i="23"/>
  <c r="O145" i="23"/>
  <c r="O144" i="23"/>
  <c r="O143" i="23"/>
  <c r="O142" i="23"/>
  <c r="O141" i="23"/>
  <c r="O140" i="23"/>
  <c r="O139" i="23"/>
  <c r="O138" i="23"/>
  <c r="O137" i="23"/>
  <c r="O136" i="23"/>
  <c r="O135" i="23"/>
  <c r="O134" i="23"/>
  <c r="O133" i="23"/>
  <c r="O132" i="23"/>
  <c r="O131" i="23"/>
  <c r="O130" i="23"/>
  <c r="O129" i="23"/>
  <c r="O128" i="23"/>
  <c r="O127" i="23"/>
  <c r="O126" i="23"/>
  <c r="O125" i="23"/>
  <c r="O124" i="23"/>
  <c r="O123" i="23"/>
  <c r="O122" i="23"/>
  <c r="O121" i="23"/>
  <c r="O120" i="23"/>
  <c r="O119" i="23"/>
  <c r="O118" i="23"/>
  <c r="O117" i="23"/>
  <c r="O116" i="23"/>
  <c r="O115" i="23"/>
  <c r="O114" i="23"/>
  <c r="O113" i="23"/>
  <c r="O112" i="23"/>
  <c r="O111" i="23"/>
  <c r="O110" i="23"/>
  <c r="O109" i="23"/>
  <c r="O108" i="23"/>
  <c r="O107" i="23"/>
  <c r="O106" i="23"/>
  <c r="O105" i="23"/>
  <c r="O104" i="23"/>
  <c r="O103" i="23"/>
  <c r="O102" i="23"/>
  <c r="O101" i="23"/>
  <c r="O100" i="23"/>
  <c r="O99" i="23"/>
  <c r="O98" i="23"/>
  <c r="O97" i="23"/>
  <c r="O96" i="23"/>
  <c r="O95" i="23"/>
  <c r="O94" i="23"/>
  <c r="O93" i="23"/>
  <c r="O92" i="23"/>
  <c r="O91" i="23"/>
  <c r="O90" i="23"/>
  <c r="O89" i="23"/>
  <c r="O88" i="23"/>
  <c r="O87" i="23"/>
  <c r="O86" i="23"/>
  <c r="O85" i="23"/>
  <c r="O84" i="23"/>
  <c r="O83" i="23"/>
  <c r="O82" i="23"/>
  <c r="O81" i="23"/>
  <c r="O80" i="23"/>
  <c r="O79" i="23"/>
  <c r="O78" i="23"/>
  <c r="O77" i="23"/>
  <c r="O76" i="23"/>
  <c r="O75" i="23"/>
  <c r="O74" i="23"/>
  <c r="O73" i="23"/>
  <c r="O72" i="23"/>
  <c r="O71" i="23"/>
  <c r="O70" i="23"/>
  <c r="O69" i="23"/>
  <c r="O68" i="23"/>
  <c r="O67" i="23"/>
  <c r="O66" i="23"/>
  <c r="O65" i="23"/>
  <c r="O64" i="23"/>
  <c r="O63" i="23"/>
  <c r="O62" i="23"/>
  <c r="O61" i="23"/>
  <c r="O60" i="23"/>
  <c r="O59" i="23"/>
  <c r="O58" i="23"/>
  <c r="O57" i="23"/>
  <c r="O56" i="23"/>
  <c r="O55" i="23"/>
  <c r="O54" i="23"/>
  <c r="O53" i="23"/>
  <c r="O52" i="23"/>
  <c r="O51" i="23"/>
  <c r="O50" i="23"/>
  <c r="O49" i="23"/>
  <c r="O48" i="23"/>
  <c r="O47" i="23"/>
  <c r="O46" i="23"/>
  <c r="O45" i="23"/>
  <c r="O44" i="23"/>
  <c r="O43" i="23"/>
  <c r="O42" i="23"/>
  <c r="O41" i="23"/>
  <c r="O40" i="23"/>
  <c r="O39" i="23"/>
  <c r="O38" i="23"/>
  <c r="O37" i="23"/>
  <c r="O36" i="23"/>
  <c r="O35" i="23"/>
  <c r="O34" i="23"/>
  <c r="O33" i="23"/>
  <c r="O32" i="23"/>
  <c r="O31" i="23"/>
  <c r="O30" i="23"/>
  <c r="O29" i="23"/>
  <c r="O28" i="23"/>
  <c r="O27" i="23"/>
  <c r="O26" i="23"/>
  <c r="O25" i="23"/>
  <c r="O24" i="23"/>
  <c r="O23" i="23"/>
  <c r="O22" i="23"/>
  <c r="O21" i="23"/>
  <c r="O20" i="23"/>
  <c r="O19" i="23"/>
  <c r="O18" i="23"/>
  <c r="O17" i="23"/>
  <c r="O16" i="23"/>
  <c r="O15" i="23"/>
  <c r="O14" i="23"/>
  <c r="O13" i="23"/>
  <c r="O12" i="23"/>
  <c r="O11" i="23"/>
  <c r="O10" i="23"/>
  <c r="O9" i="23"/>
  <c r="O8" i="23"/>
  <c r="O7" i="23"/>
  <c r="O6" i="23"/>
  <c r="O5" i="23"/>
  <c r="O4" i="23"/>
  <c r="N1770" i="23"/>
  <c r="N1769" i="23"/>
  <c r="N1768" i="23"/>
  <c r="N1767" i="23"/>
  <c r="N1766" i="23"/>
  <c r="N1765" i="23"/>
  <c r="N1764" i="23"/>
  <c r="N1763" i="23"/>
  <c r="N1762" i="23"/>
  <c r="N1761" i="23"/>
  <c r="N1760" i="23"/>
  <c r="N1759" i="23"/>
  <c r="N1758" i="23"/>
  <c r="N1757" i="23"/>
  <c r="N1756" i="23"/>
  <c r="N1755" i="23"/>
  <c r="N1754" i="23"/>
  <c r="N1753" i="23"/>
  <c r="N1752" i="23"/>
  <c r="N1751" i="23"/>
  <c r="N1750" i="23"/>
  <c r="N1749" i="23"/>
  <c r="N1748" i="23"/>
  <c r="N1747" i="23"/>
  <c r="N1746" i="23"/>
  <c r="N1745" i="23"/>
  <c r="N1744" i="23"/>
  <c r="N1743" i="23"/>
  <c r="N1742" i="23"/>
  <c r="N1741" i="23"/>
  <c r="N1740" i="23"/>
  <c r="N1739" i="23"/>
  <c r="N1738" i="23"/>
  <c r="N1737" i="23"/>
  <c r="N1736" i="23"/>
  <c r="N1735" i="23"/>
  <c r="N1734" i="23"/>
  <c r="N1733" i="23"/>
  <c r="N1732" i="23"/>
  <c r="N1731" i="23"/>
  <c r="N1730" i="23"/>
  <c r="N1729" i="23"/>
  <c r="N1728" i="23"/>
  <c r="N1727" i="23"/>
  <c r="N1726" i="23"/>
  <c r="N1725" i="23"/>
  <c r="N1724" i="23"/>
  <c r="N1723" i="23"/>
  <c r="N1722" i="23"/>
  <c r="N1721" i="23"/>
  <c r="N1720" i="23"/>
  <c r="N1719" i="23"/>
  <c r="N1718" i="23"/>
  <c r="N1717" i="23"/>
  <c r="N1716" i="23"/>
  <c r="N1715" i="23"/>
  <c r="N1714" i="23"/>
  <c r="N1713" i="23"/>
  <c r="N1712" i="23"/>
  <c r="N1711" i="23"/>
  <c r="N1710" i="23"/>
  <c r="N1709" i="23"/>
  <c r="N1708" i="23"/>
  <c r="N1707" i="23"/>
  <c r="N1706" i="23"/>
  <c r="N1705" i="23"/>
  <c r="N1704" i="23"/>
  <c r="N1703" i="23"/>
  <c r="N1702" i="23"/>
  <c r="N1701" i="23"/>
  <c r="N1700" i="23"/>
  <c r="N1699" i="23"/>
  <c r="N1698" i="23"/>
  <c r="N1697" i="23"/>
  <c r="N1696" i="23"/>
  <c r="N1695" i="23"/>
  <c r="N1694" i="23"/>
  <c r="N1693" i="23"/>
  <c r="N1692" i="23"/>
  <c r="N1691" i="23"/>
  <c r="N1690" i="23"/>
  <c r="N1689" i="23"/>
  <c r="N1688" i="23"/>
  <c r="N1687" i="23"/>
  <c r="N1686" i="23"/>
  <c r="N1685" i="23"/>
  <c r="N1684" i="23"/>
  <c r="N1683" i="23"/>
  <c r="N1682" i="23"/>
  <c r="N1681" i="23"/>
  <c r="N1680" i="23"/>
  <c r="N1679" i="23"/>
  <c r="N1678" i="23"/>
  <c r="N1677" i="23"/>
  <c r="N1676" i="23"/>
  <c r="N1675" i="23"/>
  <c r="N1674" i="23"/>
  <c r="N1673" i="23"/>
  <c r="N1672" i="23"/>
  <c r="N1671" i="23"/>
  <c r="N1670" i="23"/>
  <c r="N1669" i="23"/>
  <c r="N1668" i="23"/>
  <c r="N1667" i="23"/>
  <c r="N1666" i="23"/>
  <c r="N1665" i="23"/>
  <c r="N1664" i="23"/>
  <c r="N1663" i="23"/>
  <c r="N1662" i="23"/>
  <c r="N1661" i="23"/>
  <c r="N1660" i="23"/>
  <c r="N1659" i="23"/>
  <c r="N1658" i="23"/>
  <c r="N1657" i="23"/>
  <c r="N1656" i="23"/>
  <c r="N1655" i="23"/>
  <c r="N1654" i="23"/>
  <c r="N1653" i="23"/>
  <c r="N1652" i="23"/>
  <c r="N1651" i="23"/>
  <c r="N1650" i="23"/>
  <c r="N1649" i="23"/>
  <c r="N1648" i="23"/>
  <c r="N1647" i="23"/>
  <c r="N1646" i="23"/>
  <c r="N1645" i="23"/>
  <c r="N1644" i="23"/>
  <c r="N1643" i="23"/>
  <c r="N1642" i="23"/>
  <c r="N1641" i="23"/>
  <c r="N1640" i="23"/>
  <c r="N1639" i="23"/>
  <c r="N1638" i="23"/>
  <c r="N1637" i="23"/>
  <c r="N1636" i="23"/>
  <c r="N1635" i="23"/>
  <c r="N1634" i="23"/>
  <c r="N1633" i="23"/>
  <c r="N1632" i="23"/>
  <c r="N1631" i="23"/>
  <c r="N1630" i="23"/>
  <c r="N1629" i="23"/>
  <c r="N1628" i="23"/>
  <c r="N1627" i="23"/>
  <c r="N1626" i="23"/>
  <c r="N1625" i="23"/>
  <c r="N1624" i="23"/>
  <c r="N1623" i="23"/>
  <c r="N1622" i="23"/>
  <c r="N1621" i="23"/>
  <c r="N1620" i="23"/>
  <c r="N1619" i="23"/>
  <c r="N1618" i="23"/>
  <c r="N1617" i="23"/>
  <c r="N1616" i="23"/>
  <c r="N1615" i="23"/>
  <c r="N1614" i="23"/>
  <c r="N1613" i="23"/>
  <c r="N1612" i="23"/>
  <c r="N1611" i="23"/>
  <c r="N1610" i="23"/>
  <c r="N1609" i="23"/>
  <c r="N1608" i="23"/>
  <c r="N1607" i="23"/>
  <c r="N1606" i="23"/>
  <c r="N1605" i="23"/>
  <c r="N1604" i="23"/>
  <c r="N1603" i="23"/>
  <c r="N1602" i="23"/>
  <c r="N1601" i="23"/>
  <c r="N1600" i="23"/>
  <c r="N1599" i="23"/>
  <c r="N1598" i="23"/>
  <c r="N1597" i="23"/>
  <c r="N1596" i="23"/>
  <c r="N1595" i="23"/>
  <c r="N1594" i="23"/>
  <c r="N1593" i="23"/>
  <c r="N1592" i="23"/>
  <c r="N1591" i="23"/>
  <c r="N1590" i="23"/>
  <c r="N1589" i="23"/>
  <c r="N1588" i="23"/>
  <c r="N1587" i="23"/>
  <c r="N1586" i="23"/>
  <c r="N1585" i="23"/>
  <c r="N1584" i="23"/>
  <c r="N1583" i="23"/>
  <c r="N1582" i="23"/>
  <c r="N1581" i="23"/>
  <c r="N1580" i="23"/>
  <c r="N1579" i="23"/>
  <c r="N1578" i="23"/>
  <c r="N1577" i="23"/>
  <c r="N1576" i="23"/>
  <c r="N1575" i="23"/>
  <c r="N1574" i="23"/>
  <c r="N1573" i="23"/>
  <c r="N1572" i="23"/>
  <c r="N1571" i="23"/>
  <c r="N1570" i="23"/>
  <c r="N1569" i="23"/>
  <c r="N1568" i="23"/>
  <c r="N1567" i="23"/>
  <c r="N1566" i="23"/>
  <c r="N1565" i="23"/>
  <c r="N1564" i="23"/>
  <c r="N1563" i="23"/>
  <c r="N1562" i="23"/>
  <c r="N1561" i="23"/>
  <c r="N1560" i="23"/>
  <c r="N1559" i="23"/>
  <c r="N1558" i="23"/>
  <c r="N1557" i="23"/>
  <c r="N1556" i="23"/>
  <c r="N1555" i="23"/>
  <c r="N1554" i="23"/>
  <c r="N1553" i="23"/>
  <c r="N1552" i="23"/>
  <c r="N1551" i="23"/>
  <c r="N1550" i="23"/>
  <c r="N1549" i="23"/>
  <c r="N1548" i="23"/>
  <c r="N1547" i="23"/>
  <c r="N1546" i="23"/>
  <c r="N1545" i="23"/>
  <c r="N1544" i="23"/>
  <c r="N1543" i="23"/>
  <c r="N1542" i="23"/>
  <c r="N1541" i="23"/>
  <c r="N1540" i="23"/>
  <c r="N1539" i="23"/>
  <c r="N1538" i="23"/>
  <c r="N1537" i="23"/>
  <c r="N1536" i="23"/>
  <c r="N1535" i="23"/>
  <c r="N1534" i="23"/>
  <c r="N1533" i="23"/>
  <c r="N1532" i="23"/>
  <c r="N1531" i="23"/>
  <c r="N1530" i="23"/>
  <c r="N1529" i="23"/>
  <c r="N1528" i="23"/>
  <c r="N1527" i="23"/>
  <c r="N1526" i="23"/>
  <c r="N1525" i="23"/>
  <c r="N1524" i="23"/>
  <c r="N1523" i="23"/>
  <c r="N1522" i="23"/>
  <c r="N1521" i="23"/>
  <c r="N1520" i="23"/>
  <c r="N1519" i="23"/>
  <c r="N1518" i="23"/>
  <c r="N1517" i="23"/>
  <c r="N1516" i="23"/>
  <c r="N1515" i="23"/>
  <c r="N1514" i="23"/>
  <c r="N1513" i="23"/>
  <c r="N1512" i="23"/>
  <c r="N1511" i="23"/>
  <c r="N1510" i="23"/>
  <c r="N1509" i="23"/>
  <c r="N1508" i="23"/>
  <c r="N1507" i="23"/>
  <c r="N1506" i="23"/>
  <c r="N1505" i="23"/>
  <c r="N1504" i="23"/>
  <c r="N1503" i="23"/>
  <c r="N1502" i="23"/>
  <c r="N1501" i="23"/>
  <c r="N1500" i="23"/>
  <c r="N1499" i="23"/>
  <c r="N1498" i="23"/>
  <c r="N1497" i="23"/>
  <c r="N1496" i="23"/>
  <c r="N1495" i="23"/>
  <c r="N1494" i="23"/>
  <c r="N1493" i="23"/>
  <c r="N1492" i="23"/>
  <c r="N1491" i="23"/>
  <c r="N1490" i="23"/>
  <c r="N1489" i="23"/>
  <c r="N1488" i="23"/>
  <c r="N1487" i="23"/>
  <c r="N1486" i="23"/>
  <c r="N1485" i="23"/>
  <c r="N1484" i="23"/>
  <c r="N1483" i="23"/>
  <c r="N1482" i="23"/>
  <c r="N1481" i="23"/>
  <c r="N1480" i="23"/>
  <c r="N1479" i="23"/>
  <c r="N1478" i="23"/>
  <c r="N1477" i="23"/>
  <c r="N1476" i="23"/>
  <c r="N1475" i="23"/>
  <c r="N1474" i="23"/>
  <c r="N1473" i="23"/>
  <c r="N1472" i="23"/>
  <c r="N1471" i="23"/>
  <c r="N1470" i="23"/>
  <c r="N1469" i="23"/>
  <c r="N1468" i="23"/>
  <c r="N1467" i="23"/>
  <c r="N1466" i="23"/>
  <c r="N1465" i="23"/>
  <c r="N1464" i="23"/>
  <c r="N1463" i="23"/>
  <c r="N1462" i="23"/>
  <c r="N1461" i="23"/>
  <c r="N1460" i="23"/>
  <c r="N1459" i="23"/>
  <c r="N1458" i="23"/>
  <c r="N1457" i="23"/>
  <c r="N1456" i="23"/>
  <c r="N1455" i="23"/>
  <c r="N1454" i="23"/>
  <c r="N1453" i="23"/>
  <c r="N1452" i="23"/>
  <c r="N1451" i="23"/>
  <c r="N1450" i="23"/>
  <c r="N1449" i="23"/>
  <c r="N1448" i="23"/>
  <c r="N1447" i="23"/>
  <c r="N1446" i="23"/>
  <c r="N1445" i="23"/>
  <c r="N1444" i="23"/>
  <c r="N1443" i="23"/>
  <c r="N1442" i="23"/>
  <c r="N1441" i="23"/>
  <c r="N1440" i="23"/>
  <c r="N1439" i="23"/>
  <c r="N1438" i="23"/>
  <c r="N1437" i="23"/>
  <c r="N1436" i="23"/>
  <c r="N1435" i="23"/>
  <c r="N1434" i="23"/>
  <c r="N1433" i="23"/>
  <c r="N1432" i="23"/>
  <c r="N1431" i="23"/>
  <c r="N1430" i="23"/>
  <c r="N1429" i="23"/>
  <c r="N1428" i="23"/>
  <c r="N1427" i="23"/>
  <c r="N1426" i="23"/>
  <c r="N1425" i="23"/>
  <c r="N1424" i="23"/>
  <c r="N1423" i="23"/>
  <c r="N1422" i="23"/>
  <c r="N1421" i="23"/>
  <c r="N1420" i="23"/>
  <c r="N1419" i="23"/>
  <c r="N1418" i="23"/>
  <c r="N1417" i="23"/>
  <c r="N1416" i="23"/>
  <c r="N1415" i="23"/>
  <c r="N1414" i="23"/>
  <c r="N1413" i="23"/>
  <c r="N1412" i="23"/>
  <c r="N1411" i="23"/>
  <c r="N1410" i="23"/>
  <c r="N1409" i="23"/>
  <c r="N1408" i="23"/>
  <c r="N1407" i="23"/>
  <c r="N1406" i="23"/>
  <c r="N1405" i="23"/>
  <c r="N1404" i="23"/>
  <c r="N1403" i="23"/>
  <c r="N1402" i="23"/>
  <c r="N1401" i="23"/>
  <c r="N1400" i="23"/>
  <c r="N1399" i="23"/>
  <c r="N1398" i="23"/>
  <c r="N1397" i="23"/>
  <c r="N1396" i="23"/>
  <c r="N1395" i="23"/>
  <c r="N1394" i="23"/>
  <c r="N1393" i="23"/>
  <c r="N1392" i="23"/>
  <c r="N1391" i="23"/>
  <c r="N1390" i="23"/>
  <c r="N1389" i="23"/>
  <c r="N1388" i="23"/>
  <c r="N1387" i="23"/>
  <c r="N1386" i="23"/>
  <c r="N1385" i="23"/>
  <c r="N1384" i="23"/>
  <c r="N1383" i="23"/>
  <c r="N1382" i="23"/>
  <c r="N1381" i="23"/>
  <c r="N1380" i="23"/>
  <c r="N1379" i="23"/>
  <c r="N1378" i="23"/>
  <c r="N1377" i="23"/>
  <c r="N1376" i="23"/>
  <c r="N1375" i="23"/>
  <c r="N1374" i="23"/>
  <c r="N1373" i="23"/>
  <c r="N1372" i="23"/>
  <c r="N1371" i="23"/>
  <c r="N1370" i="23"/>
  <c r="N1369" i="23"/>
  <c r="N1368" i="23"/>
  <c r="N1367" i="23"/>
  <c r="N1366" i="23"/>
  <c r="N1365" i="23"/>
  <c r="N1364" i="23"/>
  <c r="N1363" i="23"/>
  <c r="N1362" i="23"/>
  <c r="N1361" i="23"/>
  <c r="N1360" i="23"/>
  <c r="N1359" i="23"/>
  <c r="N1358" i="23"/>
  <c r="N1357" i="23"/>
  <c r="N1356" i="23"/>
  <c r="N1355" i="23"/>
  <c r="N1354" i="23"/>
  <c r="N1353" i="23"/>
  <c r="N1352" i="23"/>
  <c r="N1351" i="23"/>
  <c r="N1350" i="23"/>
  <c r="N1349" i="23"/>
  <c r="N1348" i="23"/>
  <c r="N1347" i="23"/>
  <c r="N1346" i="23"/>
  <c r="N1345" i="23"/>
  <c r="N1344" i="23"/>
  <c r="N1343" i="23"/>
  <c r="N1342" i="23"/>
  <c r="N1341" i="23"/>
  <c r="N1340" i="23"/>
  <c r="N1339" i="23"/>
  <c r="N1338" i="23"/>
  <c r="N1337" i="23"/>
  <c r="N1336" i="23"/>
  <c r="N1335" i="23"/>
  <c r="N1334" i="23"/>
  <c r="N1333" i="23"/>
  <c r="N1332" i="23"/>
  <c r="N1331" i="23"/>
  <c r="N1330" i="23"/>
  <c r="N1329" i="23"/>
  <c r="N1328" i="23"/>
  <c r="N1327" i="23"/>
  <c r="N1326" i="23"/>
  <c r="N1325" i="23"/>
  <c r="N1324" i="23"/>
  <c r="N1323" i="23"/>
  <c r="N1322" i="23"/>
  <c r="N1321" i="23"/>
  <c r="N1320" i="23"/>
  <c r="N1319" i="23"/>
  <c r="N1318" i="23"/>
  <c r="N1317" i="23"/>
  <c r="N1316" i="23"/>
  <c r="N1315" i="23"/>
  <c r="N1314" i="23"/>
  <c r="N1313" i="23"/>
  <c r="N1312" i="23"/>
  <c r="N1311" i="23"/>
  <c r="N1310" i="23"/>
  <c r="N1309" i="23"/>
  <c r="N1308" i="23"/>
  <c r="N1307" i="23"/>
  <c r="N1306" i="23"/>
  <c r="N1305" i="23"/>
  <c r="N1304" i="23"/>
  <c r="N1303" i="23"/>
  <c r="N1302" i="23"/>
  <c r="N1301" i="23"/>
  <c r="N1300" i="23"/>
  <c r="N1299" i="23"/>
  <c r="N1298" i="23"/>
  <c r="N1297" i="23"/>
  <c r="N1296" i="23"/>
  <c r="N1295" i="23"/>
  <c r="N1294" i="23"/>
  <c r="N1293" i="23"/>
  <c r="N1292" i="23"/>
  <c r="N1291" i="23"/>
  <c r="N1290" i="23"/>
  <c r="N1289" i="23"/>
  <c r="N1288" i="23"/>
  <c r="N1287" i="23"/>
  <c r="N1286" i="23"/>
  <c r="N1285" i="23"/>
  <c r="N1284" i="23"/>
  <c r="N1283" i="23"/>
  <c r="N1282" i="23"/>
  <c r="N1281" i="23"/>
  <c r="N1280" i="23"/>
  <c r="N1279" i="23"/>
  <c r="N1278" i="23"/>
  <c r="N1277" i="23"/>
  <c r="N1276" i="23"/>
  <c r="N1275" i="23"/>
  <c r="N1274" i="23"/>
  <c r="N1273" i="23"/>
  <c r="N1272" i="23"/>
  <c r="N1271" i="23"/>
  <c r="N1270" i="23"/>
  <c r="N1269" i="23"/>
  <c r="N1268" i="23"/>
  <c r="N1267" i="23"/>
  <c r="N1266" i="23"/>
  <c r="N1265" i="23"/>
  <c r="N1264" i="23"/>
  <c r="N1263" i="23"/>
  <c r="N1262" i="23"/>
  <c r="N1261" i="23"/>
  <c r="N1260" i="23"/>
  <c r="N1259" i="23"/>
  <c r="N1258" i="23"/>
  <c r="N1257" i="23"/>
  <c r="N1256" i="23"/>
  <c r="N1255" i="23"/>
  <c r="N1254" i="23"/>
  <c r="N1253" i="23"/>
  <c r="N1252" i="23"/>
  <c r="N1251" i="23"/>
  <c r="N1250" i="23"/>
  <c r="N1249" i="23"/>
  <c r="N1248" i="23"/>
  <c r="N1247" i="23"/>
  <c r="N1246" i="23"/>
  <c r="N1245" i="23"/>
  <c r="N1244" i="23"/>
  <c r="N1243" i="23"/>
  <c r="N1242" i="23"/>
  <c r="N1241" i="23"/>
  <c r="N1240" i="23"/>
  <c r="N1239" i="23"/>
  <c r="N1238" i="23"/>
  <c r="N1237" i="23"/>
  <c r="N1236" i="23"/>
  <c r="N1235" i="23"/>
  <c r="N1234" i="23"/>
  <c r="N1233" i="23"/>
  <c r="N1232" i="23"/>
  <c r="N1231" i="23"/>
  <c r="N1230" i="23"/>
  <c r="N1229" i="23"/>
  <c r="N1228" i="23"/>
  <c r="N1227" i="23"/>
  <c r="N1226" i="23"/>
  <c r="N1225" i="23"/>
  <c r="N1224" i="23"/>
  <c r="N1223" i="23"/>
  <c r="N1222" i="23"/>
  <c r="N1221" i="23"/>
  <c r="N1220" i="23"/>
  <c r="N1219" i="23"/>
  <c r="N1218" i="23"/>
  <c r="N1217" i="23"/>
  <c r="N1216" i="23"/>
  <c r="N1215" i="23"/>
  <c r="N1214" i="23"/>
  <c r="N1213" i="23"/>
  <c r="N1212" i="23"/>
  <c r="N1211" i="23"/>
  <c r="N1210" i="23"/>
  <c r="N1209" i="23"/>
  <c r="N1208" i="23"/>
  <c r="N1207" i="23"/>
  <c r="N1206" i="23"/>
  <c r="N1205" i="23"/>
  <c r="N1204" i="23"/>
  <c r="N1203" i="23"/>
  <c r="N1202" i="23"/>
  <c r="N1201" i="23"/>
  <c r="N1200" i="23"/>
  <c r="N1199" i="23"/>
  <c r="N1198" i="23"/>
  <c r="N1197" i="23"/>
  <c r="N1196" i="23"/>
  <c r="N1195" i="23"/>
  <c r="N1194" i="23"/>
  <c r="N1193" i="23"/>
  <c r="N1192" i="23"/>
  <c r="N1191" i="23"/>
  <c r="N1190" i="23"/>
  <c r="N1189" i="23"/>
  <c r="N1188" i="23"/>
  <c r="N1187" i="23"/>
  <c r="N1186" i="23"/>
  <c r="N1185" i="23"/>
  <c r="N1184" i="23"/>
  <c r="N1183" i="23"/>
  <c r="N1182" i="23"/>
  <c r="N1181" i="23"/>
  <c r="N1180" i="23"/>
  <c r="N1179" i="23"/>
  <c r="N1178" i="23"/>
  <c r="N1177" i="23"/>
  <c r="N1176" i="23"/>
  <c r="N1175" i="23"/>
  <c r="N1174" i="23"/>
  <c r="N1173" i="23"/>
  <c r="N1172" i="23"/>
  <c r="N1171" i="23"/>
  <c r="N1170" i="23"/>
  <c r="N1169" i="23"/>
  <c r="N1168" i="23"/>
  <c r="N1167" i="23"/>
  <c r="N1166" i="23"/>
  <c r="N1165" i="23"/>
  <c r="N1164" i="23"/>
  <c r="N1163" i="23"/>
  <c r="N1162" i="23"/>
  <c r="N1161" i="23"/>
  <c r="N1160" i="23"/>
  <c r="N1159" i="23"/>
  <c r="N1158" i="23"/>
  <c r="N1157" i="23"/>
  <c r="N1156" i="23"/>
  <c r="N1155" i="23"/>
  <c r="N1154" i="23"/>
  <c r="N1153" i="23"/>
  <c r="N1152" i="23"/>
  <c r="N1151" i="23"/>
  <c r="N1150" i="23"/>
  <c r="N1149" i="23"/>
  <c r="N1148" i="23"/>
  <c r="N1147" i="23"/>
  <c r="N1146" i="23"/>
  <c r="N1145" i="23"/>
  <c r="N1144" i="23"/>
  <c r="N1143" i="23"/>
  <c r="N1142" i="23"/>
  <c r="N1141" i="23"/>
  <c r="N1140" i="23"/>
  <c r="N1139" i="23"/>
  <c r="N1138" i="23"/>
  <c r="N1137" i="23"/>
  <c r="N1136" i="23"/>
  <c r="N1135" i="23"/>
  <c r="N1134" i="23"/>
  <c r="N1133" i="23"/>
  <c r="N1132" i="23"/>
  <c r="N1131" i="23"/>
  <c r="N1130" i="23"/>
  <c r="N1129" i="23"/>
  <c r="N1128" i="23"/>
  <c r="N1127" i="23"/>
  <c r="N1126" i="23"/>
  <c r="N1125" i="23"/>
  <c r="N1124" i="23"/>
  <c r="N1123" i="23"/>
  <c r="N1122" i="23"/>
  <c r="N1121" i="23"/>
  <c r="N1120" i="23"/>
  <c r="N1119" i="23"/>
  <c r="N1118" i="23"/>
  <c r="N1117" i="23"/>
  <c r="N1116" i="23"/>
  <c r="N1115" i="23"/>
  <c r="N1114" i="23"/>
  <c r="N1113" i="23"/>
  <c r="N1112" i="23"/>
  <c r="N1111" i="23"/>
  <c r="N1110" i="23"/>
  <c r="N1109" i="23"/>
  <c r="N1108" i="23"/>
  <c r="N1107" i="23"/>
  <c r="N1106" i="23"/>
  <c r="N1105" i="23"/>
  <c r="N1104" i="23"/>
  <c r="N1103" i="23"/>
  <c r="N1102" i="23"/>
  <c r="N1101" i="23"/>
  <c r="N1100" i="23"/>
  <c r="N1099" i="23"/>
  <c r="N1098" i="23"/>
  <c r="N1097" i="23"/>
  <c r="N1096" i="23"/>
  <c r="N1095" i="23"/>
  <c r="N1094" i="23"/>
  <c r="N1093" i="23"/>
  <c r="N1092" i="23"/>
  <c r="N1091" i="23"/>
  <c r="N1090" i="23"/>
  <c r="N1089" i="23"/>
  <c r="N1088" i="23"/>
  <c r="N1087" i="23"/>
  <c r="N1086" i="23"/>
  <c r="N1085" i="23"/>
  <c r="N1084" i="23"/>
  <c r="N1083" i="23"/>
  <c r="N1082" i="23"/>
  <c r="N1081" i="23"/>
  <c r="N1080" i="23"/>
  <c r="N1079" i="23"/>
  <c r="N1078" i="23"/>
  <c r="N1077" i="23"/>
  <c r="N1076" i="23"/>
  <c r="N1075" i="23"/>
  <c r="N1074" i="23"/>
  <c r="N1073" i="23"/>
  <c r="N1072" i="23"/>
  <c r="N1071" i="23"/>
  <c r="N1070" i="23"/>
  <c r="N1069" i="23"/>
  <c r="N1068" i="23"/>
  <c r="N1067" i="23"/>
  <c r="N1066" i="23"/>
  <c r="N1065" i="23"/>
  <c r="N1064" i="23"/>
  <c r="N1063" i="23"/>
  <c r="N1062" i="23"/>
  <c r="N1061" i="23"/>
  <c r="N1060" i="23"/>
  <c r="N1059" i="23"/>
  <c r="N1058" i="23"/>
  <c r="N1057" i="23"/>
  <c r="N1056" i="23"/>
  <c r="N1055" i="23"/>
  <c r="N1054" i="23"/>
  <c r="N1053" i="23"/>
  <c r="N1052" i="23"/>
  <c r="N1051" i="23"/>
  <c r="N1050" i="23"/>
  <c r="N1049" i="23"/>
  <c r="N1048" i="23"/>
  <c r="N1047" i="23"/>
  <c r="N1046" i="23"/>
  <c r="N1045" i="23"/>
  <c r="N1044" i="23"/>
  <c r="N1043" i="23"/>
  <c r="N1042" i="23"/>
  <c r="N1041" i="23"/>
  <c r="N1040" i="23"/>
  <c r="N1039" i="23"/>
  <c r="N1038" i="23"/>
  <c r="N1037" i="23"/>
  <c r="N1036" i="23"/>
  <c r="N1035" i="23"/>
  <c r="N1034" i="23"/>
  <c r="N1033" i="23"/>
  <c r="N1032" i="23"/>
  <c r="N1031" i="23"/>
  <c r="N1030" i="23"/>
  <c r="N1029" i="23"/>
  <c r="N1028" i="23"/>
  <c r="N1027" i="23"/>
  <c r="N1026" i="23"/>
  <c r="N1025" i="23"/>
  <c r="N1024" i="23"/>
  <c r="N1023" i="23"/>
  <c r="N1022" i="23"/>
  <c r="N1021" i="23"/>
  <c r="N1020" i="23"/>
  <c r="N1019" i="23"/>
  <c r="N1018" i="23"/>
  <c r="N1017" i="23"/>
  <c r="N1016" i="23"/>
  <c r="N1015" i="23"/>
  <c r="N1014" i="23"/>
  <c r="N1013" i="23"/>
  <c r="N1012" i="23"/>
  <c r="N1011" i="23"/>
  <c r="N1010" i="23"/>
  <c r="N1009" i="23"/>
  <c r="N1008" i="23"/>
  <c r="N1007" i="23"/>
  <c r="N1006" i="23"/>
  <c r="N1005" i="23"/>
  <c r="N1004" i="23"/>
  <c r="N1003" i="23"/>
  <c r="N1002" i="23"/>
  <c r="N1001" i="23"/>
  <c r="N1000" i="23"/>
  <c r="N999" i="23"/>
  <c r="N998" i="23"/>
  <c r="N997" i="23"/>
  <c r="N996" i="23"/>
  <c r="N995" i="23"/>
  <c r="N994" i="23"/>
  <c r="N993" i="23"/>
  <c r="N992" i="23"/>
  <c r="N991" i="23"/>
  <c r="N990" i="23"/>
  <c r="N989" i="23"/>
  <c r="N988" i="23"/>
  <c r="N987" i="23"/>
  <c r="N986" i="23"/>
  <c r="N985" i="23"/>
  <c r="N984" i="23"/>
  <c r="N983" i="23"/>
  <c r="N982" i="23"/>
  <c r="N981" i="23"/>
  <c r="N980" i="23"/>
  <c r="N979" i="23"/>
  <c r="N978" i="23"/>
  <c r="N977" i="23"/>
  <c r="N976" i="23"/>
  <c r="N975" i="23"/>
  <c r="N974" i="23"/>
  <c r="N973" i="23"/>
  <c r="N972" i="23"/>
  <c r="N971" i="23"/>
  <c r="N970" i="23"/>
  <c r="N969" i="23"/>
  <c r="N968" i="23"/>
  <c r="N967" i="23"/>
  <c r="N966" i="23"/>
  <c r="N965" i="23"/>
  <c r="N964" i="23"/>
  <c r="N963" i="23"/>
  <c r="N962" i="23"/>
  <c r="N961" i="23"/>
  <c r="N960" i="23"/>
  <c r="N959" i="23"/>
  <c r="N958" i="23"/>
  <c r="N957" i="23"/>
  <c r="N956" i="23"/>
  <c r="N955" i="23"/>
  <c r="N954" i="23"/>
  <c r="N953" i="23"/>
  <c r="N952" i="23"/>
  <c r="N951" i="23"/>
  <c r="N950" i="23"/>
  <c r="N949" i="23"/>
  <c r="N948" i="23"/>
  <c r="N947" i="23"/>
  <c r="N946" i="23"/>
  <c r="N945" i="23"/>
  <c r="N944" i="23"/>
  <c r="N943" i="23"/>
  <c r="N942" i="23"/>
  <c r="N941" i="23"/>
  <c r="N940" i="23"/>
  <c r="N939" i="23"/>
  <c r="N938" i="23"/>
  <c r="N937" i="23"/>
  <c r="N936" i="23"/>
  <c r="N935" i="23"/>
  <c r="N934" i="23"/>
  <c r="N933" i="23"/>
  <c r="N932" i="23"/>
  <c r="N931" i="23"/>
  <c r="N930" i="23"/>
  <c r="N929" i="23"/>
  <c r="N928" i="23"/>
  <c r="N927" i="23"/>
  <c r="N926" i="23"/>
  <c r="N925" i="23"/>
  <c r="N924" i="23"/>
  <c r="N923" i="23"/>
  <c r="N922" i="23"/>
  <c r="N921" i="23"/>
  <c r="N920" i="23"/>
  <c r="N919" i="23"/>
  <c r="N918" i="23"/>
  <c r="N917" i="23"/>
  <c r="N916" i="23"/>
  <c r="N915" i="23"/>
  <c r="N914" i="23"/>
  <c r="N913" i="23"/>
  <c r="N912" i="23"/>
  <c r="N911" i="23"/>
  <c r="N910" i="23"/>
  <c r="N909" i="23"/>
  <c r="N908" i="23"/>
  <c r="N907" i="23"/>
  <c r="N906" i="23"/>
  <c r="N905" i="23"/>
  <c r="N904" i="23"/>
  <c r="N903" i="23"/>
  <c r="N902" i="23"/>
  <c r="N901" i="23"/>
  <c r="N900" i="23"/>
  <c r="N899" i="23"/>
  <c r="N898" i="23"/>
  <c r="N897" i="23"/>
  <c r="N896" i="23"/>
  <c r="N895" i="23"/>
  <c r="N894" i="23"/>
  <c r="N893" i="23"/>
  <c r="N892" i="23"/>
  <c r="N891" i="23"/>
  <c r="N890" i="23"/>
  <c r="N889" i="23"/>
  <c r="N888" i="23"/>
  <c r="N887" i="23"/>
  <c r="N886" i="23"/>
  <c r="N885" i="23"/>
  <c r="N884" i="23"/>
  <c r="N883" i="23"/>
  <c r="N882" i="23"/>
  <c r="N881" i="23"/>
  <c r="N880" i="23"/>
  <c r="N879" i="23"/>
  <c r="N878" i="23"/>
  <c r="N877" i="23"/>
  <c r="N876" i="23"/>
  <c r="N875" i="23"/>
  <c r="N874" i="23"/>
  <c r="N873" i="23"/>
  <c r="N872" i="23"/>
  <c r="N871" i="23"/>
  <c r="N870" i="23"/>
  <c r="N869" i="23"/>
  <c r="N868" i="23"/>
  <c r="N867" i="23"/>
  <c r="N866" i="23"/>
  <c r="N865" i="23"/>
  <c r="N864" i="23"/>
  <c r="N863" i="23"/>
  <c r="N862" i="23"/>
  <c r="N861" i="23"/>
  <c r="N860" i="23"/>
  <c r="N859" i="23"/>
  <c r="N858" i="23"/>
  <c r="N857" i="23"/>
  <c r="N856" i="23"/>
  <c r="N855" i="23"/>
  <c r="N854" i="23"/>
  <c r="N853" i="23"/>
  <c r="N852" i="23"/>
  <c r="N851" i="23"/>
  <c r="N850" i="23"/>
  <c r="N849" i="23"/>
  <c r="N848" i="23"/>
  <c r="N847" i="23"/>
  <c r="N846" i="23"/>
  <c r="N845" i="23"/>
  <c r="N844" i="23"/>
  <c r="N843" i="23"/>
  <c r="N842" i="23"/>
  <c r="N841" i="23"/>
  <c r="N840" i="23"/>
  <c r="N839" i="23"/>
  <c r="N838" i="23"/>
  <c r="N837" i="23"/>
  <c r="N836" i="23"/>
  <c r="N835" i="23"/>
  <c r="N834" i="23"/>
  <c r="N833" i="23"/>
  <c r="N832" i="23"/>
  <c r="N831" i="23"/>
  <c r="N830" i="23"/>
  <c r="N829" i="23"/>
  <c r="N828" i="23"/>
  <c r="N827" i="23"/>
  <c r="N826" i="23"/>
  <c r="N825" i="23"/>
  <c r="N824" i="23"/>
  <c r="N823" i="23"/>
  <c r="N822" i="23"/>
  <c r="N821" i="23"/>
  <c r="N820" i="23"/>
  <c r="N819" i="23"/>
  <c r="N818" i="23"/>
  <c r="N817" i="23"/>
  <c r="N816" i="23"/>
  <c r="N815" i="23"/>
  <c r="N814" i="23"/>
  <c r="N813" i="23"/>
  <c r="N812" i="23"/>
  <c r="N811" i="23"/>
  <c r="N810" i="23"/>
  <c r="N809" i="23"/>
  <c r="N808" i="23"/>
  <c r="N807" i="23"/>
  <c r="N806" i="23"/>
  <c r="N805" i="23"/>
  <c r="N804" i="23"/>
  <c r="N803" i="23"/>
  <c r="N802" i="23"/>
  <c r="N801" i="23"/>
  <c r="N800" i="23"/>
  <c r="N799" i="23"/>
  <c r="N798" i="23"/>
  <c r="N797" i="23"/>
  <c r="N796" i="23"/>
  <c r="N795" i="23"/>
  <c r="N794" i="23"/>
  <c r="N793" i="23"/>
  <c r="N792" i="23"/>
  <c r="N791" i="23"/>
  <c r="N790" i="23"/>
  <c r="N789" i="23"/>
  <c r="N788" i="23"/>
  <c r="N787" i="23"/>
  <c r="N786" i="23"/>
  <c r="N785" i="23"/>
  <c r="N784" i="23"/>
  <c r="N783" i="23"/>
  <c r="N782" i="23"/>
  <c r="N781" i="23"/>
  <c r="N780" i="23"/>
  <c r="N779" i="23"/>
  <c r="N778" i="23"/>
  <c r="N777" i="23"/>
  <c r="N776" i="23"/>
  <c r="N775" i="23"/>
  <c r="N774" i="23"/>
  <c r="N773" i="23"/>
  <c r="N772" i="23"/>
  <c r="N771" i="23"/>
  <c r="N770" i="23"/>
  <c r="N769" i="23"/>
  <c r="N768" i="23"/>
  <c r="N767" i="23"/>
  <c r="N766" i="23"/>
  <c r="N765" i="23"/>
  <c r="N764" i="23"/>
  <c r="N763" i="23"/>
  <c r="N762" i="23"/>
  <c r="N761" i="23"/>
  <c r="N760" i="23"/>
  <c r="N759" i="23"/>
  <c r="N758" i="23"/>
  <c r="N757" i="23"/>
  <c r="N756" i="23"/>
  <c r="N755" i="23"/>
  <c r="N754" i="23"/>
  <c r="N753" i="23"/>
  <c r="N752" i="23"/>
  <c r="N751" i="23"/>
  <c r="N750" i="23"/>
  <c r="N749" i="23"/>
  <c r="N748" i="23"/>
  <c r="N747" i="23"/>
  <c r="N746" i="23"/>
  <c r="N745" i="23"/>
  <c r="N744" i="23"/>
  <c r="N743" i="23"/>
  <c r="N742" i="23"/>
  <c r="N741" i="23"/>
  <c r="N740" i="23"/>
  <c r="N739" i="23"/>
  <c r="N738" i="23"/>
  <c r="N737" i="23"/>
  <c r="N736" i="23"/>
  <c r="N735" i="23"/>
  <c r="N734" i="23"/>
  <c r="N733" i="23"/>
  <c r="N732" i="23"/>
  <c r="N731" i="23"/>
  <c r="N730" i="23"/>
  <c r="N729" i="23"/>
  <c r="N728" i="23"/>
  <c r="N727" i="23"/>
  <c r="N726" i="23"/>
  <c r="N725" i="23"/>
  <c r="N724" i="23"/>
  <c r="N723" i="23"/>
  <c r="N722" i="23"/>
  <c r="N721" i="23"/>
  <c r="N720" i="23"/>
  <c r="N719" i="23"/>
  <c r="N718" i="23"/>
  <c r="N717" i="23"/>
  <c r="N716" i="23"/>
  <c r="N715" i="23"/>
  <c r="N714" i="23"/>
  <c r="N713" i="23"/>
  <c r="N712" i="23"/>
  <c r="N711" i="23"/>
  <c r="N710" i="23"/>
  <c r="N709" i="23"/>
  <c r="N708" i="23"/>
  <c r="N707" i="23"/>
  <c r="N706" i="23"/>
  <c r="N705" i="23"/>
  <c r="N704" i="23"/>
  <c r="N703" i="23"/>
  <c r="N702" i="23"/>
  <c r="N701" i="23"/>
  <c r="N700" i="23"/>
  <c r="N699" i="23"/>
  <c r="N698" i="23"/>
  <c r="N697" i="23"/>
  <c r="N696" i="23"/>
  <c r="N695" i="23"/>
  <c r="N694" i="23"/>
  <c r="N693" i="23"/>
  <c r="N692" i="23"/>
  <c r="N691" i="23"/>
  <c r="N690" i="23"/>
  <c r="N689" i="23"/>
  <c r="N688" i="23"/>
  <c r="N687" i="23"/>
  <c r="N686" i="23"/>
  <c r="N685" i="23"/>
  <c r="N684" i="23"/>
  <c r="N683" i="23"/>
  <c r="N682" i="23"/>
  <c r="N681" i="23"/>
  <c r="N680" i="23"/>
  <c r="N679" i="23"/>
  <c r="N678" i="23"/>
  <c r="N677" i="23"/>
  <c r="N676" i="23"/>
  <c r="N675" i="23"/>
  <c r="N674" i="23"/>
  <c r="N673" i="23"/>
  <c r="N672" i="23"/>
  <c r="N671" i="23"/>
  <c r="N670" i="23"/>
  <c r="N669" i="23"/>
  <c r="N668" i="23"/>
  <c r="N667" i="23"/>
  <c r="N666" i="23"/>
  <c r="N665" i="23"/>
  <c r="N664" i="23"/>
  <c r="N663" i="23"/>
  <c r="N662" i="23"/>
  <c r="N661" i="23"/>
  <c r="N660" i="23"/>
  <c r="N659" i="23"/>
  <c r="N658" i="23"/>
  <c r="N657" i="23"/>
  <c r="N656" i="23"/>
  <c r="N655" i="23"/>
  <c r="N654" i="23"/>
  <c r="N653" i="23"/>
  <c r="N652" i="23"/>
  <c r="N651" i="23"/>
  <c r="N650" i="23"/>
  <c r="N649" i="23"/>
  <c r="N648" i="23"/>
  <c r="N647" i="23"/>
  <c r="N646" i="23"/>
  <c r="N645" i="23"/>
  <c r="N644" i="23"/>
  <c r="N643" i="23"/>
  <c r="N642" i="23"/>
  <c r="N641" i="23"/>
  <c r="N640" i="23"/>
  <c r="N639" i="23"/>
  <c r="N638" i="23"/>
  <c r="N637" i="23"/>
  <c r="N636" i="23"/>
  <c r="N635" i="23"/>
  <c r="N634" i="23"/>
  <c r="N633" i="23"/>
  <c r="N632" i="23"/>
  <c r="N631" i="23"/>
  <c r="N630" i="23"/>
  <c r="N629" i="23"/>
  <c r="N628" i="23"/>
  <c r="N627" i="23"/>
  <c r="N626" i="23"/>
  <c r="N625" i="23"/>
  <c r="N624" i="23"/>
  <c r="N623" i="23"/>
  <c r="N622" i="23"/>
  <c r="N621" i="23"/>
  <c r="N620" i="23"/>
  <c r="N619" i="23"/>
  <c r="N618" i="23"/>
  <c r="N617" i="23"/>
  <c r="N616" i="23"/>
  <c r="N615" i="23"/>
  <c r="N614" i="23"/>
  <c r="N613" i="23"/>
  <c r="N612" i="23"/>
  <c r="N611" i="23"/>
  <c r="N610" i="23"/>
  <c r="N609" i="23"/>
  <c r="N608" i="23"/>
  <c r="N607" i="23"/>
  <c r="N606" i="23"/>
  <c r="N605" i="23"/>
  <c r="N604" i="23"/>
  <c r="N603" i="23"/>
  <c r="N602" i="23"/>
  <c r="N601" i="23"/>
  <c r="N600" i="23"/>
  <c r="N599" i="23"/>
  <c r="N598" i="23"/>
  <c r="N597" i="23"/>
  <c r="N596" i="23"/>
  <c r="N595" i="23"/>
  <c r="N594" i="23"/>
  <c r="N593" i="23"/>
  <c r="N592" i="23"/>
  <c r="N591" i="23"/>
  <c r="N590" i="23"/>
  <c r="N589" i="23"/>
  <c r="N588" i="23"/>
  <c r="N587" i="23"/>
  <c r="N586" i="23"/>
  <c r="N585" i="23"/>
  <c r="N584" i="23"/>
  <c r="N583" i="23"/>
  <c r="N582" i="23"/>
  <c r="N581" i="23"/>
  <c r="N580" i="23"/>
  <c r="N579" i="23"/>
  <c r="N578" i="23"/>
  <c r="N577" i="23"/>
  <c r="N576" i="23"/>
  <c r="N575" i="23"/>
  <c r="N574" i="23"/>
  <c r="N573" i="23"/>
  <c r="N572" i="23"/>
  <c r="N571" i="23"/>
  <c r="N570" i="23"/>
  <c r="N569" i="23"/>
  <c r="N568" i="23"/>
  <c r="N567" i="23"/>
  <c r="N566" i="23"/>
  <c r="N565" i="23"/>
  <c r="N564" i="23"/>
  <c r="N563" i="23"/>
  <c r="N562" i="23"/>
  <c r="N561" i="23"/>
  <c r="N560" i="23"/>
  <c r="N559" i="23"/>
  <c r="N558" i="23"/>
  <c r="N557" i="23"/>
  <c r="N556" i="23"/>
  <c r="N555" i="23"/>
  <c r="N554" i="23"/>
  <c r="N553" i="23"/>
  <c r="N552" i="23"/>
  <c r="N551" i="23"/>
  <c r="N550" i="23"/>
  <c r="N549" i="23"/>
  <c r="N548" i="23"/>
  <c r="N547" i="23"/>
  <c r="N546" i="23"/>
  <c r="N545" i="23"/>
  <c r="N544" i="23"/>
  <c r="N543" i="23"/>
  <c r="N542" i="23"/>
  <c r="N541" i="23"/>
  <c r="N540" i="23"/>
  <c r="N539" i="23"/>
  <c r="N538" i="23"/>
  <c r="N537" i="23"/>
  <c r="N536" i="23"/>
  <c r="N535" i="23"/>
  <c r="N534" i="23"/>
  <c r="N533" i="23"/>
  <c r="N532" i="23"/>
  <c r="N531" i="23"/>
  <c r="N530" i="23"/>
  <c r="N529" i="23"/>
  <c r="N528" i="23"/>
  <c r="N527" i="23"/>
  <c r="N526" i="23"/>
  <c r="N525" i="23"/>
  <c r="N524" i="23"/>
  <c r="N523" i="23"/>
  <c r="N522" i="23"/>
  <c r="N521" i="23"/>
  <c r="N520" i="23"/>
  <c r="N519" i="23"/>
  <c r="N518" i="23"/>
  <c r="N517" i="23"/>
  <c r="N516" i="23"/>
  <c r="N515" i="23"/>
  <c r="N514" i="23"/>
  <c r="N513" i="23"/>
  <c r="N512" i="23"/>
  <c r="N511" i="23"/>
  <c r="N510" i="23"/>
  <c r="N509" i="23"/>
  <c r="N508" i="23"/>
  <c r="N507" i="23"/>
  <c r="N506" i="23"/>
  <c r="N505" i="23"/>
  <c r="N504" i="23"/>
  <c r="N503" i="23"/>
  <c r="N502" i="23"/>
  <c r="N501" i="23"/>
  <c r="N500" i="23"/>
  <c r="N499" i="23"/>
  <c r="N498" i="23"/>
  <c r="N497" i="23"/>
  <c r="N496" i="23"/>
  <c r="N495" i="23"/>
  <c r="N494" i="23"/>
  <c r="N493" i="23"/>
  <c r="N492" i="23"/>
  <c r="N491" i="23"/>
  <c r="N490" i="23"/>
  <c r="N489" i="23"/>
  <c r="N488" i="23"/>
  <c r="N487" i="23"/>
  <c r="N486" i="23"/>
  <c r="N485" i="23"/>
  <c r="N484" i="23"/>
  <c r="N483" i="23"/>
  <c r="N482" i="23"/>
  <c r="N481" i="23"/>
  <c r="N480" i="23"/>
  <c r="N479" i="23"/>
  <c r="N478" i="23"/>
  <c r="N477" i="23"/>
  <c r="N476" i="23"/>
  <c r="N475" i="23"/>
  <c r="N474" i="23"/>
  <c r="N473" i="23"/>
  <c r="N472" i="23"/>
  <c r="N471" i="23"/>
  <c r="N470" i="23"/>
  <c r="N469" i="23"/>
  <c r="N468" i="23"/>
  <c r="N467" i="23"/>
  <c r="N466" i="23"/>
  <c r="N465" i="23"/>
  <c r="N464" i="23"/>
  <c r="N463" i="23"/>
  <c r="N462" i="23"/>
  <c r="N461" i="23"/>
  <c r="N460" i="23"/>
  <c r="N459" i="23"/>
  <c r="N458" i="23"/>
  <c r="N457" i="23"/>
  <c r="N456" i="23"/>
  <c r="N455" i="23"/>
  <c r="N454" i="23"/>
  <c r="N453" i="23"/>
  <c r="N452" i="23"/>
  <c r="N451" i="23"/>
  <c r="N450" i="23"/>
  <c r="N449" i="23"/>
  <c r="N448" i="23"/>
  <c r="N447" i="23"/>
  <c r="N446" i="23"/>
  <c r="N445" i="23"/>
  <c r="N444" i="23"/>
  <c r="N443" i="23"/>
  <c r="N442" i="23"/>
  <c r="N441" i="23"/>
  <c r="N440" i="23"/>
  <c r="N439" i="23"/>
  <c r="N438" i="23"/>
  <c r="N437" i="23"/>
  <c r="N436" i="23"/>
  <c r="N435" i="23"/>
  <c r="N434" i="23"/>
  <c r="N433" i="23"/>
  <c r="N432" i="23"/>
  <c r="N431" i="23"/>
  <c r="N430" i="23"/>
  <c r="N429" i="23"/>
  <c r="N428" i="23"/>
  <c r="N427" i="23"/>
  <c r="N426" i="23"/>
  <c r="N425" i="23"/>
  <c r="N424" i="23"/>
  <c r="N423" i="23"/>
  <c r="N422" i="23"/>
  <c r="N421" i="23"/>
  <c r="N420" i="23"/>
  <c r="N419" i="23"/>
  <c r="N418" i="23"/>
  <c r="N417" i="23"/>
  <c r="N416" i="23"/>
  <c r="N415" i="23"/>
  <c r="N414" i="23"/>
  <c r="N413" i="23"/>
  <c r="N412" i="23"/>
  <c r="N411" i="23"/>
  <c r="N410" i="23"/>
  <c r="N409" i="23"/>
  <c r="N408" i="23"/>
  <c r="N407" i="23"/>
  <c r="N406" i="23"/>
  <c r="N405" i="23"/>
  <c r="N404" i="23"/>
  <c r="N403" i="23"/>
  <c r="N402" i="23"/>
  <c r="N401" i="23"/>
  <c r="N400" i="23"/>
  <c r="N399" i="23"/>
  <c r="N398" i="23"/>
  <c r="N397" i="23"/>
  <c r="N396" i="23"/>
  <c r="N395" i="23"/>
  <c r="N394" i="23"/>
  <c r="N393" i="23"/>
  <c r="N392" i="23"/>
  <c r="N391" i="23"/>
  <c r="N390" i="23"/>
  <c r="N389" i="23"/>
  <c r="N388" i="23"/>
  <c r="N387" i="23"/>
  <c r="N386" i="23"/>
  <c r="N385" i="23"/>
  <c r="N384" i="23"/>
  <c r="N383" i="23"/>
  <c r="N382" i="23"/>
  <c r="N381" i="23"/>
  <c r="N380" i="23"/>
  <c r="N379" i="23"/>
  <c r="N378" i="23"/>
  <c r="N377" i="23"/>
  <c r="N376" i="23"/>
  <c r="N375" i="23"/>
  <c r="N374" i="23"/>
  <c r="N373" i="23"/>
  <c r="N372" i="23"/>
  <c r="N371" i="23"/>
  <c r="N370" i="23"/>
  <c r="N369" i="23"/>
  <c r="N368" i="23"/>
  <c r="N367" i="23"/>
  <c r="N366" i="23"/>
  <c r="N365" i="23"/>
  <c r="N364" i="23"/>
  <c r="N363" i="23"/>
  <c r="N362" i="23"/>
  <c r="N361" i="23"/>
  <c r="N360" i="23"/>
  <c r="N359" i="23"/>
  <c r="N358" i="23"/>
  <c r="N357" i="23"/>
  <c r="N356" i="23"/>
  <c r="N355" i="23"/>
  <c r="N354" i="23"/>
  <c r="N353" i="23"/>
  <c r="N352" i="23"/>
  <c r="N351" i="23"/>
  <c r="N350" i="23"/>
  <c r="N349" i="23"/>
  <c r="N348" i="23"/>
  <c r="N347" i="23"/>
  <c r="N346" i="23"/>
  <c r="N345" i="23"/>
  <c r="N344" i="23"/>
  <c r="N343" i="23"/>
  <c r="N342" i="23"/>
  <c r="N341" i="23"/>
  <c r="N340" i="23"/>
  <c r="N339" i="23"/>
  <c r="N338" i="23"/>
  <c r="N337" i="23"/>
  <c r="N336" i="23"/>
  <c r="N335" i="23"/>
  <c r="N334" i="23"/>
  <c r="N333" i="23"/>
  <c r="N332" i="23"/>
  <c r="N331" i="23"/>
  <c r="N330" i="23"/>
  <c r="N329" i="23"/>
  <c r="N328" i="23"/>
  <c r="N327" i="23"/>
  <c r="N326" i="23"/>
  <c r="N325" i="23"/>
  <c r="N324" i="23"/>
  <c r="N323" i="23"/>
  <c r="N322" i="23"/>
  <c r="N321" i="23"/>
  <c r="N320" i="23"/>
  <c r="N319" i="23"/>
  <c r="N318" i="23"/>
  <c r="N317" i="23"/>
  <c r="N316" i="23"/>
  <c r="N315" i="23"/>
  <c r="N314" i="23"/>
  <c r="N313" i="23"/>
  <c r="N312" i="23"/>
  <c r="N311" i="23"/>
  <c r="N310" i="23"/>
  <c r="N309" i="23"/>
  <c r="N308" i="23"/>
  <c r="N307" i="23"/>
  <c r="N306" i="23"/>
  <c r="N305" i="23"/>
  <c r="N304" i="23"/>
  <c r="N303" i="23"/>
  <c r="N302" i="23"/>
  <c r="N301" i="23"/>
  <c r="N300" i="23"/>
  <c r="N299" i="23"/>
  <c r="N298" i="23"/>
  <c r="N297" i="23"/>
  <c r="N296" i="23"/>
  <c r="N295" i="23"/>
  <c r="N294" i="23"/>
  <c r="N293" i="23"/>
  <c r="N292" i="23"/>
  <c r="N291" i="23"/>
  <c r="N290" i="23"/>
  <c r="N289" i="23"/>
  <c r="N288" i="23"/>
  <c r="N287" i="23"/>
  <c r="N286" i="23"/>
  <c r="N285" i="23"/>
  <c r="N284" i="23"/>
  <c r="N283" i="23"/>
  <c r="N282" i="23"/>
  <c r="N281" i="23"/>
  <c r="N280" i="23"/>
  <c r="N279" i="23"/>
  <c r="N278" i="23"/>
  <c r="N277" i="23"/>
  <c r="N276" i="23"/>
  <c r="N275" i="23"/>
  <c r="N274" i="23"/>
  <c r="N273" i="23"/>
  <c r="N272" i="23"/>
  <c r="N271" i="23"/>
  <c r="N270" i="23"/>
  <c r="N269" i="23"/>
  <c r="N268" i="23"/>
  <c r="N267" i="23"/>
  <c r="N266" i="23"/>
  <c r="N265" i="23"/>
  <c r="N264" i="23"/>
  <c r="N263" i="23"/>
  <c r="N262" i="23"/>
  <c r="N261" i="23"/>
  <c r="N260" i="23"/>
  <c r="N259" i="23"/>
  <c r="N258" i="23"/>
  <c r="N257" i="23"/>
  <c r="N256" i="23"/>
  <c r="N255" i="23"/>
  <c r="N254" i="23"/>
  <c r="N253" i="23"/>
  <c r="N252" i="23"/>
  <c r="N251" i="23"/>
  <c r="N250" i="23"/>
  <c r="N249" i="23"/>
  <c r="N248" i="23"/>
  <c r="N247" i="23"/>
  <c r="N246" i="23"/>
  <c r="N245" i="23"/>
  <c r="N244" i="23"/>
  <c r="N243" i="23"/>
  <c r="N242" i="23"/>
  <c r="N241" i="23"/>
  <c r="N240" i="23"/>
  <c r="N239" i="23"/>
  <c r="N238" i="23"/>
  <c r="N237" i="23"/>
  <c r="N236" i="23"/>
  <c r="N235" i="23"/>
  <c r="N234" i="23"/>
  <c r="N233" i="23"/>
  <c r="N232" i="23"/>
  <c r="N231" i="23"/>
  <c r="N230" i="23"/>
  <c r="N229" i="23"/>
  <c r="N228" i="23"/>
  <c r="N227" i="23"/>
  <c r="N226" i="23"/>
  <c r="N225" i="23"/>
  <c r="N224" i="23"/>
  <c r="N223" i="23"/>
  <c r="N222" i="23"/>
  <c r="N221" i="23"/>
  <c r="N220" i="23"/>
  <c r="N219" i="23"/>
  <c r="N218" i="23"/>
  <c r="N217" i="23"/>
  <c r="N216" i="23"/>
  <c r="N215" i="23"/>
  <c r="N214" i="23"/>
  <c r="N213" i="23"/>
  <c r="N212" i="23"/>
  <c r="N211" i="23"/>
  <c r="N210" i="23"/>
  <c r="N209" i="23"/>
  <c r="N208" i="23"/>
  <c r="N207" i="23"/>
  <c r="N206" i="23"/>
  <c r="N205" i="23"/>
  <c r="N204" i="23"/>
  <c r="N203" i="23"/>
  <c r="N202" i="23"/>
  <c r="N201" i="23"/>
  <c r="N200" i="23"/>
  <c r="N199" i="23"/>
  <c r="N198" i="23"/>
  <c r="N197" i="23"/>
  <c r="N196" i="23"/>
  <c r="N195" i="23"/>
  <c r="N194" i="23"/>
  <c r="N193" i="23"/>
  <c r="N192" i="23"/>
  <c r="N191" i="23"/>
  <c r="N190" i="23"/>
  <c r="N189" i="23"/>
  <c r="N188" i="23"/>
  <c r="N187" i="23"/>
  <c r="N186" i="23"/>
  <c r="N185" i="23"/>
  <c r="N184" i="23"/>
  <c r="N183" i="23"/>
  <c r="N182" i="23"/>
  <c r="N181" i="23"/>
  <c r="N180" i="23"/>
  <c r="N179" i="23"/>
  <c r="N178" i="23"/>
  <c r="N177" i="23"/>
  <c r="N176" i="23"/>
  <c r="N175" i="23"/>
  <c r="N174" i="23"/>
  <c r="N173" i="23"/>
  <c r="N172" i="23"/>
  <c r="N171" i="23"/>
  <c r="N170" i="23"/>
  <c r="N169" i="23"/>
  <c r="N168" i="23"/>
  <c r="N167" i="23"/>
  <c r="N166" i="23"/>
  <c r="N165" i="23"/>
  <c r="N164" i="23"/>
  <c r="N163" i="23"/>
  <c r="N162" i="23"/>
  <c r="N161" i="23"/>
  <c r="N160" i="23"/>
  <c r="N159" i="23"/>
  <c r="N158" i="23"/>
  <c r="N157" i="23"/>
  <c r="N156" i="23"/>
  <c r="N155" i="23"/>
  <c r="N154" i="23"/>
  <c r="N153" i="23"/>
  <c r="N152" i="23"/>
  <c r="N151" i="23"/>
  <c r="N150" i="23"/>
  <c r="N149" i="23"/>
  <c r="N148" i="23"/>
  <c r="N147" i="23"/>
  <c r="N146" i="23"/>
  <c r="N145" i="23"/>
  <c r="N144" i="23"/>
  <c r="N143" i="23"/>
  <c r="N142" i="23"/>
  <c r="N141" i="23"/>
  <c r="N140" i="23"/>
  <c r="N139" i="23"/>
  <c r="N138" i="23"/>
  <c r="N137" i="23"/>
  <c r="N136" i="23"/>
  <c r="N135" i="23"/>
  <c r="N134" i="23"/>
  <c r="N133" i="23"/>
  <c r="N132" i="23"/>
  <c r="N131" i="23"/>
  <c r="N130" i="23"/>
  <c r="N129" i="23"/>
  <c r="N128" i="23"/>
  <c r="N127" i="23"/>
  <c r="N126" i="23"/>
  <c r="N125" i="23"/>
  <c r="N124" i="23"/>
  <c r="N123" i="23"/>
  <c r="N122" i="23"/>
  <c r="N121" i="23"/>
  <c r="N120" i="23"/>
  <c r="N119" i="23"/>
  <c r="N118" i="23"/>
  <c r="N117" i="23"/>
  <c r="N116" i="23"/>
  <c r="N115" i="23"/>
  <c r="N114" i="23"/>
  <c r="N113" i="23"/>
  <c r="N112" i="23"/>
  <c r="N111" i="23"/>
  <c r="N110" i="23"/>
  <c r="N109" i="23"/>
  <c r="N108" i="23"/>
  <c r="N107" i="23"/>
  <c r="N106" i="23"/>
  <c r="N105" i="23"/>
  <c r="N104" i="23"/>
  <c r="N103" i="23"/>
  <c r="N102" i="23"/>
  <c r="N101" i="23"/>
  <c r="N100" i="23"/>
  <c r="N99" i="23"/>
  <c r="N98" i="23"/>
  <c r="N97" i="23"/>
  <c r="N96" i="23"/>
  <c r="N95" i="23"/>
  <c r="N94" i="23"/>
  <c r="N93" i="23"/>
  <c r="N92" i="23"/>
  <c r="N91" i="23"/>
  <c r="N90" i="23"/>
  <c r="N89" i="23"/>
  <c r="N88" i="23"/>
  <c r="N87" i="23"/>
  <c r="N86" i="23"/>
  <c r="N85" i="23"/>
  <c r="N84" i="23"/>
  <c r="N83" i="23"/>
  <c r="N82" i="23"/>
  <c r="N81" i="23"/>
  <c r="N80" i="23"/>
  <c r="N79" i="23"/>
  <c r="N78" i="23"/>
  <c r="N77" i="23"/>
  <c r="N76" i="23"/>
  <c r="N75" i="23"/>
  <c r="N74" i="23"/>
  <c r="N73" i="23"/>
  <c r="N72" i="23"/>
  <c r="N71" i="23"/>
  <c r="N70" i="23"/>
  <c r="N69" i="23"/>
  <c r="N68" i="23"/>
  <c r="N67" i="23"/>
  <c r="N66" i="23"/>
  <c r="N65" i="23"/>
  <c r="N64" i="23"/>
  <c r="N63" i="23"/>
  <c r="N62" i="23"/>
  <c r="N61" i="23"/>
  <c r="N60" i="23"/>
  <c r="N59" i="23"/>
  <c r="N58" i="23"/>
  <c r="N57" i="23"/>
  <c r="N56" i="23"/>
  <c r="N55" i="23"/>
  <c r="N54" i="23"/>
  <c r="N53" i="23"/>
  <c r="N52" i="23"/>
  <c r="N51" i="23"/>
  <c r="N50" i="23"/>
  <c r="N49" i="23"/>
  <c r="N48" i="23"/>
  <c r="N47" i="23"/>
  <c r="N46" i="23"/>
  <c r="N45" i="23"/>
  <c r="N44" i="23"/>
  <c r="N43" i="23"/>
  <c r="N42" i="23"/>
  <c r="N41" i="23"/>
  <c r="N40" i="23"/>
  <c r="N39" i="23"/>
  <c r="N38" i="23"/>
  <c r="N37" i="23"/>
  <c r="N36" i="23"/>
  <c r="N35" i="23"/>
  <c r="N34" i="23"/>
  <c r="N33" i="23"/>
  <c r="N32" i="23"/>
  <c r="N31" i="23"/>
  <c r="N30" i="23"/>
  <c r="N29" i="23"/>
  <c r="N28" i="23"/>
  <c r="N27" i="23"/>
  <c r="N26" i="23"/>
  <c r="N25" i="23"/>
  <c r="N24" i="23"/>
  <c r="N23" i="23"/>
  <c r="N22" i="23"/>
  <c r="N21" i="23"/>
  <c r="N20" i="23"/>
  <c r="N19" i="23"/>
  <c r="N18" i="23"/>
  <c r="N17" i="23"/>
  <c r="N16" i="23"/>
  <c r="N15" i="23"/>
  <c r="N14" i="23"/>
  <c r="N13" i="23"/>
  <c r="N12" i="23"/>
  <c r="N11" i="23"/>
  <c r="N10" i="23"/>
  <c r="N9" i="23"/>
  <c r="N8" i="23"/>
  <c r="N7" i="23"/>
  <c r="N6" i="23"/>
  <c r="N5" i="23"/>
  <c r="N4" i="23"/>
  <c r="O3" i="23"/>
  <c r="N3" i="23"/>
  <c r="U100" i="23"/>
  <c r="F17" i="27"/>
  <c r="G17" i="27"/>
  <c r="I17" i="27"/>
  <c r="J17" i="27"/>
  <c r="K17" i="27"/>
  <c r="L17" i="27"/>
  <c r="M17" i="27"/>
  <c r="N17" i="27"/>
  <c r="O17" i="27"/>
  <c r="P17" i="27"/>
  <c r="Q17" i="27"/>
  <c r="R17" i="27"/>
  <c r="D78" i="16"/>
  <c r="C78" i="16"/>
  <c r="H3" i="23"/>
  <c r="M1770" i="23" s="1"/>
  <c r="M93" i="23" l="1"/>
  <c r="M62" i="23"/>
  <c r="M126" i="23"/>
  <c r="M190" i="23"/>
  <c r="M254" i="23"/>
  <c r="M318" i="23"/>
  <c r="M394" i="23"/>
  <c r="M515" i="23"/>
  <c r="M643" i="23"/>
  <c r="M840" i="23"/>
  <c r="M1267" i="23"/>
  <c r="M30" i="23"/>
  <c r="M94" i="23"/>
  <c r="M158" i="23"/>
  <c r="M222" i="23"/>
  <c r="M286" i="23"/>
  <c r="M351" i="23"/>
  <c r="M451" i="23"/>
  <c r="M579" i="23"/>
  <c r="M719" i="23"/>
  <c r="M968" i="23"/>
  <c r="M1096" i="23"/>
  <c r="M13" i="23"/>
  <c r="M45" i="23"/>
  <c r="M77" i="23"/>
  <c r="M109" i="23"/>
  <c r="M141" i="23"/>
  <c r="M173" i="23"/>
  <c r="M205" i="23"/>
  <c r="M237" i="23"/>
  <c r="M269" i="23"/>
  <c r="M301" i="23"/>
  <c r="M333" i="23"/>
  <c r="M371" i="23"/>
  <c r="M418" i="23"/>
  <c r="M482" i="23"/>
  <c r="M546" i="23"/>
  <c r="M610" i="23"/>
  <c r="M675" i="23"/>
  <c r="M775" i="23"/>
  <c r="M903" i="23"/>
  <c r="M1031" i="23"/>
  <c r="M1159" i="23"/>
  <c r="M1430" i="23"/>
  <c r="M3" i="23"/>
  <c r="M14" i="23"/>
  <c r="M46" i="23"/>
  <c r="M78" i="23"/>
  <c r="M110" i="23"/>
  <c r="M142" i="23"/>
  <c r="M174" i="23"/>
  <c r="M206" i="23"/>
  <c r="M238" i="23"/>
  <c r="M270" i="23"/>
  <c r="M302" i="23"/>
  <c r="M334" i="23"/>
  <c r="M372" i="23"/>
  <c r="M419" i="23"/>
  <c r="M483" i="23"/>
  <c r="M547" i="23"/>
  <c r="M611" i="23"/>
  <c r="M676" i="23"/>
  <c r="M776" i="23"/>
  <c r="M904" i="23"/>
  <c r="M1032" i="23"/>
  <c r="M1160" i="23"/>
  <c r="M1431" i="23"/>
  <c r="M29" i="23"/>
  <c r="M61" i="23"/>
  <c r="M125" i="23"/>
  <c r="M157" i="23"/>
  <c r="M189" i="23"/>
  <c r="M221" i="23"/>
  <c r="M253" i="23"/>
  <c r="M285" i="23"/>
  <c r="M317" i="23"/>
  <c r="M350" i="23"/>
  <c r="M392" i="23"/>
  <c r="M450" i="23"/>
  <c r="M514" i="23"/>
  <c r="M578" i="23"/>
  <c r="M642" i="23"/>
  <c r="M718" i="23"/>
  <c r="M839" i="23"/>
  <c r="M967" i="23"/>
  <c r="M1095" i="23"/>
  <c r="M1266" i="23"/>
  <c r="M1769" i="23"/>
  <c r="M1765" i="23"/>
  <c r="M1761" i="23"/>
  <c r="M1757" i="23"/>
  <c r="M1753" i="23"/>
  <c r="M1749" i="23"/>
  <c r="M1745" i="23"/>
  <c r="M1741" i="23"/>
  <c r="M1737" i="23"/>
  <c r="M1733" i="23"/>
  <c r="M1729" i="23"/>
  <c r="M1725" i="23"/>
  <c r="M1721" i="23"/>
  <c r="M1717" i="23"/>
  <c r="M1713" i="23"/>
  <c r="M1709" i="23"/>
  <c r="M1705" i="23"/>
  <c r="M1701" i="23"/>
  <c r="M1697" i="23"/>
  <c r="M1693" i="23"/>
  <c r="M1689" i="23"/>
  <c r="M1685" i="23"/>
  <c r="M1681" i="23"/>
  <c r="M1677" i="23"/>
  <c r="M1673" i="23"/>
  <c r="M1669" i="23"/>
  <c r="M1665" i="23"/>
  <c r="M1661" i="23"/>
  <c r="M1657" i="23"/>
  <c r="M1653" i="23"/>
  <c r="M1649" i="23"/>
  <c r="M1645" i="23"/>
  <c r="M1641" i="23"/>
  <c r="M1637" i="23"/>
  <c r="M1633" i="23"/>
  <c r="M1629" i="23"/>
  <c r="M1625" i="23"/>
  <c r="M1621" i="23"/>
  <c r="M1617" i="23"/>
  <c r="M1613" i="23"/>
  <c r="M1609" i="23"/>
  <c r="M1605" i="23"/>
  <c r="M1601" i="23"/>
  <c r="M1597" i="23"/>
  <c r="M1593" i="23"/>
  <c r="M1589" i="23"/>
  <c r="M1585" i="23"/>
  <c r="M1581" i="23"/>
  <c r="M1577" i="23"/>
  <c r="M1573" i="23"/>
  <c r="M1569" i="23"/>
  <c r="M1565" i="23"/>
  <c r="M1561" i="23"/>
  <c r="M1557" i="23"/>
  <c r="M1553" i="23"/>
  <c r="M1549" i="23"/>
  <c r="M1545" i="23"/>
  <c r="M1541" i="23"/>
  <c r="M1537" i="23"/>
  <c r="M1533" i="23"/>
  <c r="M1529" i="23"/>
  <c r="M1525" i="23"/>
  <c r="M1521" i="23"/>
  <c r="M1517" i="23"/>
  <c r="M1513" i="23"/>
  <c r="M1509" i="23"/>
  <c r="M1505" i="23"/>
  <c r="M1501" i="23"/>
  <c r="M1497" i="23"/>
  <c r="M1493" i="23"/>
  <c r="M1489" i="23"/>
  <c r="M1485" i="23"/>
  <c r="M1481" i="23"/>
  <c r="M1477" i="23"/>
  <c r="M1473" i="23"/>
  <c r="M1469" i="23"/>
  <c r="M1465" i="23"/>
  <c r="M1461" i="23"/>
  <c r="M1457" i="23"/>
  <c r="M1453" i="23"/>
  <c r="M1449" i="23"/>
  <c r="M1445" i="23"/>
  <c r="M1441" i="23"/>
  <c r="M1437" i="23"/>
  <c r="M1768" i="23"/>
  <c r="M1763" i="23"/>
  <c r="M1758" i="23"/>
  <c r="M1752" i="23"/>
  <c r="M1747" i="23"/>
  <c r="M1742" i="23"/>
  <c r="M1736" i="23"/>
  <c r="M1731" i="23"/>
  <c r="M1726" i="23"/>
  <c r="M1720" i="23"/>
  <c r="M1715" i="23"/>
  <c r="M1710" i="23"/>
  <c r="M1704" i="23"/>
  <c r="M1699" i="23"/>
  <c r="M1694" i="23"/>
  <c r="M1688" i="23"/>
  <c r="M1683" i="23"/>
  <c r="M1678" i="23"/>
  <c r="M1672" i="23"/>
  <c r="M1667" i="23"/>
  <c r="M1662" i="23"/>
  <c r="M1656" i="23"/>
  <c r="M1651" i="23"/>
  <c r="M1646" i="23"/>
  <c r="M1640" i="23"/>
  <c r="M1635" i="23"/>
  <c r="M1630" i="23"/>
  <c r="M1624" i="23"/>
  <c r="M1619" i="23"/>
  <c r="M1614" i="23"/>
  <c r="M1608" i="23"/>
  <c r="M1603" i="23"/>
  <c r="M1598" i="23"/>
  <c r="M1592" i="23"/>
  <c r="M1587" i="23"/>
  <c r="M1582" i="23"/>
  <c r="M1576" i="23"/>
  <c r="M1571" i="23"/>
  <c r="M1566" i="23"/>
  <c r="M1560" i="23"/>
  <c r="M1555" i="23"/>
  <c r="M1550" i="23"/>
  <c r="M1544" i="23"/>
  <c r="M1539" i="23"/>
  <c r="M1534" i="23"/>
  <c r="M1528" i="23"/>
  <c r="M1523" i="23"/>
  <c r="M1518" i="23"/>
  <c r="M1512" i="23"/>
  <c r="M1507" i="23"/>
  <c r="M1502" i="23"/>
  <c r="M1496" i="23"/>
  <c r="M1491" i="23"/>
  <c r="M1486" i="23"/>
  <c r="M1480" i="23"/>
  <c r="M1475" i="23"/>
  <c r="M1470" i="23"/>
  <c r="M1464" i="23"/>
  <c r="M1459" i="23"/>
  <c r="M1454" i="23"/>
  <c r="M1448" i="23"/>
  <c r="M1443" i="23"/>
  <c r="M1438" i="23"/>
  <c r="M1433" i="23"/>
  <c r="M1429" i="23"/>
  <c r="M1425" i="23"/>
  <c r="M1421" i="23"/>
  <c r="M1417" i="23"/>
  <c r="M1413" i="23"/>
  <c r="M1409" i="23"/>
  <c r="M1405" i="23"/>
  <c r="M1401" i="23"/>
  <c r="M1397" i="23"/>
  <c r="M1393" i="23"/>
  <c r="M1389" i="23"/>
  <c r="M1385" i="23"/>
  <c r="M1381" i="23"/>
  <c r="M1377" i="23"/>
  <c r="M1373" i="23"/>
  <c r="M1767" i="23"/>
  <c r="M1762" i="23"/>
  <c r="M1756" i="23"/>
  <c r="M1751" i="23"/>
  <c r="M1746" i="23"/>
  <c r="M1740" i="23"/>
  <c r="M1735" i="23"/>
  <c r="M1730" i="23"/>
  <c r="M1724" i="23"/>
  <c r="M1719" i="23"/>
  <c r="M1714" i="23"/>
  <c r="M1708" i="23"/>
  <c r="M1703" i="23"/>
  <c r="M1698" i="23"/>
  <c r="M1692" i="23"/>
  <c r="M1687" i="23"/>
  <c r="M1682" i="23"/>
  <c r="M1676" i="23"/>
  <c r="M1671" i="23"/>
  <c r="M1666" i="23"/>
  <c r="M1660" i="23"/>
  <c r="M1655" i="23"/>
  <c r="M1650" i="23"/>
  <c r="M1644" i="23"/>
  <c r="M1639" i="23"/>
  <c r="M1634" i="23"/>
  <c r="M1628" i="23"/>
  <c r="M1623" i="23"/>
  <c r="M1618" i="23"/>
  <c r="M1612" i="23"/>
  <c r="M1607" i="23"/>
  <c r="M1602" i="23"/>
  <c r="M1596" i="23"/>
  <c r="M1591" i="23"/>
  <c r="M1586" i="23"/>
  <c r="M1580" i="23"/>
  <c r="M1575" i="23"/>
  <c r="M1570" i="23"/>
  <c r="M1564" i="23"/>
  <c r="M1559" i="23"/>
  <c r="M1554" i="23"/>
  <c r="M1548" i="23"/>
  <c r="M1543" i="23"/>
  <c r="M1538" i="23"/>
  <c r="M1532" i="23"/>
  <c r="M1527" i="23"/>
  <c r="M1522" i="23"/>
  <c r="M1516" i="23"/>
  <c r="M1511" i="23"/>
  <c r="M1506" i="23"/>
  <c r="M1500" i="23"/>
  <c r="M1495" i="23"/>
  <c r="M1490" i="23"/>
  <c r="M1484" i="23"/>
  <c r="M1479" i="23"/>
  <c r="M1474" i="23"/>
  <c r="M1468" i="23"/>
  <c r="M1463" i="23"/>
  <c r="M1458" i="23"/>
  <c r="M1452" i="23"/>
  <c r="M1447" i="23"/>
  <c r="M1442" i="23"/>
  <c r="M1436" i="23"/>
  <c r="M1432" i="23"/>
  <c r="M1428" i="23"/>
  <c r="M1424" i="23"/>
  <c r="M1420" i="23"/>
  <c r="M1416" i="23"/>
  <c r="M1412" i="23"/>
  <c r="M1408" i="23"/>
  <c r="M1404" i="23"/>
  <c r="M1400" i="23"/>
  <c r="M1396" i="23"/>
  <c r="M1392" i="23"/>
  <c r="M1388" i="23"/>
  <c r="M1384" i="23"/>
  <c r="M1380" i="23"/>
  <c r="M1376" i="23"/>
  <c r="M1372" i="23"/>
  <c r="M1368" i="23"/>
  <c r="M1364" i="23"/>
  <c r="M1360" i="23"/>
  <c r="M1356" i="23"/>
  <c r="M1352" i="23"/>
  <c r="M1348" i="23"/>
  <c r="M1766" i="23"/>
  <c r="M1755" i="23"/>
  <c r="M1744" i="23"/>
  <c r="M1734" i="23"/>
  <c r="M1723" i="23"/>
  <c r="M1712" i="23"/>
  <c r="M1702" i="23"/>
  <c r="M1691" i="23"/>
  <c r="M1680" i="23"/>
  <c r="M1670" i="23"/>
  <c r="M1659" i="23"/>
  <c r="M1648" i="23"/>
  <c r="M1638" i="23"/>
  <c r="M1627" i="23"/>
  <c r="M1616" i="23"/>
  <c r="M1606" i="23"/>
  <c r="M1595" i="23"/>
  <c r="M1584" i="23"/>
  <c r="M1574" i="23"/>
  <c r="M1563" i="23"/>
  <c r="M1552" i="23"/>
  <c r="M1542" i="23"/>
  <c r="M1531" i="23"/>
  <c r="M1520" i="23"/>
  <c r="M1510" i="23"/>
  <c r="M1499" i="23"/>
  <c r="M1488" i="23"/>
  <c r="M1478" i="23"/>
  <c r="M1467" i="23"/>
  <c r="M1456" i="23"/>
  <c r="M1446" i="23"/>
  <c r="M1435" i="23"/>
  <c r="M1427" i="23"/>
  <c r="M1419" i="23"/>
  <c r="M1411" i="23"/>
  <c r="M1403" i="23"/>
  <c r="M1395" i="23"/>
  <c r="M1387" i="23"/>
  <c r="M1379" i="23"/>
  <c r="M1371" i="23"/>
  <c r="M1366" i="23"/>
  <c r="M1361" i="23"/>
  <c r="M1355" i="23"/>
  <c r="M1350" i="23"/>
  <c r="M1345" i="23"/>
  <c r="M1341" i="23"/>
  <c r="M1337" i="23"/>
  <c r="M1333" i="23"/>
  <c r="M1329" i="23"/>
  <c r="M1325" i="23"/>
  <c r="M1321" i="23"/>
  <c r="M1317" i="23"/>
  <c r="M1313" i="23"/>
  <c r="M1309" i="23"/>
  <c r="M1305" i="23"/>
  <c r="M1301" i="23"/>
  <c r="M1297" i="23"/>
  <c r="M1293" i="23"/>
  <c r="M1289" i="23"/>
  <c r="M1285" i="23"/>
  <c r="M1281" i="23"/>
  <c r="M1277" i="23"/>
  <c r="M1273" i="23"/>
  <c r="M1269" i="23"/>
  <c r="M1265" i="23"/>
  <c r="M1261" i="23"/>
  <c r="M1257" i="23"/>
  <c r="M1253" i="23"/>
  <c r="M1249" i="23"/>
  <c r="M1245" i="23"/>
  <c r="M1241" i="23"/>
  <c r="M1237" i="23"/>
  <c r="M1233" i="23"/>
  <c r="M1229" i="23"/>
  <c r="M1225" i="23"/>
  <c r="M1221" i="23"/>
  <c r="M1217" i="23"/>
  <c r="M1213" i="23"/>
  <c r="M1209" i="23"/>
  <c r="M1205" i="23"/>
  <c r="M1201" i="23"/>
  <c r="M1197" i="23"/>
  <c r="M1193" i="23"/>
  <c r="M1189" i="23"/>
  <c r="M1185" i="23"/>
  <c r="M1764" i="23"/>
  <c r="M1754" i="23"/>
  <c r="M1743" i="23"/>
  <c r="M1732" i="23"/>
  <c r="M1722" i="23"/>
  <c r="M1711" i="23"/>
  <c r="M1700" i="23"/>
  <c r="M1690" i="23"/>
  <c r="M1679" i="23"/>
  <c r="M1668" i="23"/>
  <c r="M1658" i="23"/>
  <c r="M1647" i="23"/>
  <c r="M1636" i="23"/>
  <c r="M1626" i="23"/>
  <c r="M1615" i="23"/>
  <c r="M1604" i="23"/>
  <c r="M1594" i="23"/>
  <c r="M1583" i="23"/>
  <c r="M1572" i="23"/>
  <c r="M1562" i="23"/>
  <c r="M1551" i="23"/>
  <c r="M1540" i="23"/>
  <c r="M1530" i="23"/>
  <c r="M1519" i="23"/>
  <c r="M1508" i="23"/>
  <c r="M1498" i="23"/>
  <c r="M1487" i="23"/>
  <c r="M1476" i="23"/>
  <c r="M1466" i="23"/>
  <c r="M1455" i="23"/>
  <c r="M1444" i="23"/>
  <c r="M1434" i="23"/>
  <c r="M1426" i="23"/>
  <c r="M1418" i="23"/>
  <c r="M1410" i="23"/>
  <c r="M1402" i="23"/>
  <c r="M1394" i="23"/>
  <c r="M1386" i="23"/>
  <c r="M1378" i="23"/>
  <c r="M1370" i="23"/>
  <c r="M1365" i="23"/>
  <c r="M1359" i="23"/>
  <c r="M1354" i="23"/>
  <c r="M1349" i="23"/>
  <c r="M1344" i="23"/>
  <c r="M1340" i="23"/>
  <c r="M1336" i="23"/>
  <c r="M1332" i="23"/>
  <c r="M1328" i="23"/>
  <c r="M1324" i="23"/>
  <c r="M1320" i="23"/>
  <c r="M1316" i="23"/>
  <c r="M1312" i="23"/>
  <c r="M1308" i="23"/>
  <c r="M1304" i="23"/>
  <c r="M1300" i="23"/>
  <c r="M1296" i="23"/>
  <c r="M1292" i="23"/>
  <c r="M1288" i="23"/>
  <c r="M1284" i="23"/>
  <c r="M1280" i="23"/>
  <c r="M1276" i="23"/>
  <c r="M1272" i="23"/>
  <c r="M1268" i="23"/>
  <c r="M1264" i="23"/>
  <c r="M1260" i="23"/>
  <c r="M1256" i="23"/>
  <c r="M1252" i="23"/>
  <c r="M1248" i="23"/>
  <c r="M1244" i="23"/>
  <c r="M1240" i="23"/>
  <c r="M1236" i="23"/>
  <c r="M1232" i="23"/>
  <c r="M1228" i="23"/>
  <c r="M1224" i="23"/>
  <c r="M1220" i="23"/>
  <c r="M1216" i="23"/>
  <c r="M1212" i="23"/>
  <c r="M1208" i="23"/>
  <c r="M1204" i="23"/>
  <c r="M1200" i="23"/>
  <c r="M1196" i="23"/>
  <c r="M1192" i="23"/>
  <c r="M1188" i="23"/>
  <c r="M1184" i="23"/>
  <c r="M1180" i="23"/>
  <c r="M1760" i="23"/>
  <c r="M1739" i="23"/>
  <c r="M1718" i="23"/>
  <c r="M1696" i="23"/>
  <c r="M1675" i="23"/>
  <c r="M1654" i="23"/>
  <c r="M1632" i="23"/>
  <c r="M1611" i="23"/>
  <c r="M1590" i="23"/>
  <c r="M1568" i="23"/>
  <c r="M1547" i="23"/>
  <c r="M1526" i="23"/>
  <c r="M1504" i="23"/>
  <c r="M1483" i="23"/>
  <c r="M1462" i="23"/>
  <c r="M1440" i="23"/>
  <c r="M1423" i="23"/>
  <c r="M1407" i="23"/>
  <c r="M1391" i="23"/>
  <c r="M1375" i="23"/>
  <c r="M1363" i="23"/>
  <c r="M1353" i="23"/>
  <c r="M1343" i="23"/>
  <c r="M1335" i="23"/>
  <c r="M1327" i="23"/>
  <c r="M1319" i="23"/>
  <c r="M1311" i="23"/>
  <c r="M1303" i="23"/>
  <c r="M1295" i="23"/>
  <c r="M1287" i="23"/>
  <c r="M1279" i="23"/>
  <c r="M1271" i="23"/>
  <c r="M1263" i="23"/>
  <c r="M1255" i="23"/>
  <c r="M1247" i="23"/>
  <c r="M1239" i="23"/>
  <c r="M1231" i="23"/>
  <c r="M1223" i="23"/>
  <c r="M1215" i="23"/>
  <c r="M1207" i="23"/>
  <c r="M1199" i="23"/>
  <c r="M1191" i="23"/>
  <c r="M1183" i="23"/>
  <c r="M1178" i="23"/>
  <c r="M1174" i="23"/>
  <c r="M1170" i="23"/>
  <c r="M1166" i="23"/>
  <c r="M1162" i="23"/>
  <c r="M1158" i="23"/>
  <c r="M1154" i="23"/>
  <c r="M1150" i="23"/>
  <c r="M1146" i="23"/>
  <c r="M1142" i="23"/>
  <c r="M1138" i="23"/>
  <c r="M1134" i="23"/>
  <c r="M1130" i="23"/>
  <c r="M1126" i="23"/>
  <c r="M1122" i="23"/>
  <c r="M1118" i="23"/>
  <c r="M1114" i="23"/>
  <c r="M1110" i="23"/>
  <c r="M1106" i="23"/>
  <c r="M1102" i="23"/>
  <c r="M1098" i="23"/>
  <c r="M1094" i="23"/>
  <c r="M1090" i="23"/>
  <c r="M1086" i="23"/>
  <c r="M1082" i="23"/>
  <c r="M1078" i="23"/>
  <c r="M1074" i="23"/>
  <c r="M1070" i="23"/>
  <c r="M1066" i="23"/>
  <c r="M1062" i="23"/>
  <c r="M1058" i="23"/>
  <c r="M1054" i="23"/>
  <c r="M1050" i="23"/>
  <c r="M1046" i="23"/>
  <c r="M1042" i="23"/>
  <c r="M1038" i="23"/>
  <c r="M1034" i="23"/>
  <c r="M1030" i="23"/>
  <c r="M1026" i="23"/>
  <c r="M1022" i="23"/>
  <c r="M1018" i="23"/>
  <c r="M1014" i="23"/>
  <c r="M1010" i="23"/>
  <c r="M1006" i="23"/>
  <c r="M1002" i="23"/>
  <c r="M998" i="23"/>
  <c r="M994" i="23"/>
  <c r="M990" i="23"/>
  <c r="M986" i="23"/>
  <c r="M982" i="23"/>
  <c r="M978" i="23"/>
  <c r="M974" i="23"/>
  <c r="M970" i="23"/>
  <c r="M966" i="23"/>
  <c r="M962" i="23"/>
  <c r="M958" i="23"/>
  <c r="M954" i="23"/>
  <c r="M950" i="23"/>
  <c r="M946" i="23"/>
  <c r="M942" i="23"/>
  <c r="M938" i="23"/>
  <c r="M934" i="23"/>
  <c r="M930" i="23"/>
  <c r="M926" i="23"/>
  <c r="M922" i="23"/>
  <c r="M918" i="23"/>
  <c r="M914" i="23"/>
  <c r="M910" i="23"/>
  <c r="M906" i="23"/>
  <c r="M902" i="23"/>
  <c r="M898" i="23"/>
  <c r="M894" i="23"/>
  <c r="M890" i="23"/>
  <c r="M886" i="23"/>
  <c r="M882" i="23"/>
  <c r="M878" i="23"/>
  <c r="M874" i="23"/>
  <c r="M870" i="23"/>
  <c r="M866" i="23"/>
  <c r="M862" i="23"/>
  <c r="M858" i="23"/>
  <c r="M854" i="23"/>
  <c r="M850" i="23"/>
  <c r="M846" i="23"/>
  <c r="M842" i="23"/>
  <c r="M838" i="23"/>
  <c r="M834" i="23"/>
  <c r="M830" i="23"/>
  <c r="M826" i="23"/>
  <c r="M822" i="23"/>
  <c r="M818" i="23"/>
  <c r="M814" i="23"/>
  <c r="M810" i="23"/>
  <c r="M806" i="23"/>
  <c r="M802" i="23"/>
  <c r="M798" i="23"/>
  <c r="M794" i="23"/>
  <c r="M790" i="23"/>
  <c r="M786" i="23"/>
  <c r="M782" i="23"/>
  <c r="M778" i="23"/>
  <c r="M774" i="23"/>
  <c r="M770" i="23"/>
  <c r="M766" i="23"/>
  <c r="M762" i="23"/>
  <c r="M758" i="23"/>
  <c r="M754" i="23"/>
  <c r="M750" i="23"/>
  <c r="M746" i="23"/>
  <c r="M742" i="23"/>
  <c r="M738" i="23"/>
  <c r="M734" i="23"/>
  <c r="M1759" i="23"/>
  <c r="M1738" i="23"/>
  <c r="M1716" i="23"/>
  <c r="M1695" i="23"/>
  <c r="M1674" i="23"/>
  <c r="M1652" i="23"/>
  <c r="M1631" i="23"/>
  <c r="M1610" i="23"/>
  <c r="M1588" i="23"/>
  <c r="M1567" i="23"/>
  <c r="M1546" i="23"/>
  <c r="M1524" i="23"/>
  <c r="M1503" i="23"/>
  <c r="M1482" i="23"/>
  <c r="M1460" i="23"/>
  <c r="M1439" i="23"/>
  <c r="M1422" i="23"/>
  <c r="M1406" i="23"/>
  <c r="M1390" i="23"/>
  <c r="M1374" i="23"/>
  <c r="M1362" i="23"/>
  <c r="M1351" i="23"/>
  <c r="M1342" i="23"/>
  <c r="M1334" i="23"/>
  <c r="M1326" i="23"/>
  <c r="M1318" i="23"/>
  <c r="M1310" i="23"/>
  <c r="M1302" i="23"/>
  <c r="M1294" i="23"/>
  <c r="M1286" i="23"/>
  <c r="M1278" i="23"/>
  <c r="M1270" i="23"/>
  <c r="M1262" i="23"/>
  <c r="M1254" i="23"/>
  <c r="M1246" i="23"/>
  <c r="M1238" i="23"/>
  <c r="M1230" i="23"/>
  <c r="M1222" i="23"/>
  <c r="M1214" i="23"/>
  <c r="M1206" i="23"/>
  <c r="M1198" i="23"/>
  <c r="M1190" i="23"/>
  <c r="M1182" i="23"/>
  <c r="M1177" i="23"/>
  <c r="M1173" i="23"/>
  <c r="M1169" i="23"/>
  <c r="M1165" i="23"/>
  <c r="M1161" i="23"/>
  <c r="M1157" i="23"/>
  <c r="M1153" i="23"/>
  <c r="M1149" i="23"/>
  <c r="M1145" i="23"/>
  <c r="M1141" i="23"/>
  <c r="M1137" i="23"/>
  <c r="M1133" i="23"/>
  <c r="M1129" i="23"/>
  <c r="M1125" i="23"/>
  <c r="M1121" i="23"/>
  <c r="M1117" i="23"/>
  <c r="M1113" i="23"/>
  <c r="M1109" i="23"/>
  <c r="M1105" i="23"/>
  <c r="M1101" i="23"/>
  <c r="M1097" i="23"/>
  <c r="M1093" i="23"/>
  <c r="M1089" i="23"/>
  <c r="M1085" i="23"/>
  <c r="M1081" i="23"/>
  <c r="M1077" i="23"/>
  <c r="M1073" i="23"/>
  <c r="M1069" i="23"/>
  <c r="M1065" i="23"/>
  <c r="M1061" i="23"/>
  <c r="M1057" i="23"/>
  <c r="M1053" i="23"/>
  <c r="M1049" i="23"/>
  <c r="M1045" i="23"/>
  <c r="M1041" i="23"/>
  <c r="M1037" i="23"/>
  <c r="M1033" i="23"/>
  <c r="M1029" i="23"/>
  <c r="M1025" i="23"/>
  <c r="M1021" i="23"/>
  <c r="M1017" i="23"/>
  <c r="M1013" i="23"/>
  <c r="M1009" i="23"/>
  <c r="M1005" i="23"/>
  <c r="M1001" i="23"/>
  <c r="M997" i="23"/>
  <c r="M993" i="23"/>
  <c r="M989" i="23"/>
  <c r="M985" i="23"/>
  <c r="M981" i="23"/>
  <c r="M977" i="23"/>
  <c r="M973" i="23"/>
  <c r="M969" i="23"/>
  <c r="M965" i="23"/>
  <c r="M961" i="23"/>
  <c r="M957" i="23"/>
  <c r="M953" i="23"/>
  <c r="M949" i="23"/>
  <c r="M945" i="23"/>
  <c r="M941" i="23"/>
  <c r="M937" i="23"/>
  <c r="M933" i="23"/>
  <c r="M929" i="23"/>
  <c r="M925" i="23"/>
  <c r="M921" i="23"/>
  <c r="M917" i="23"/>
  <c r="M913" i="23"/>
  <c r="M909" i="23"/>
  <c r="M905" i="23"/>
  <c r="M901" i="23"/>
  <c r="M897" i="23"/>
  <c r="M893" i="23"/>
  <c r="M889" i="23"/>
  <c r="M885" i="23"/>
  <c r="M881" i="23"/>
  <c r="M877" i="23"/>
  <c r="M873" i="23"/>
  <c r="M869" i="23"/>
  <c r="M865" i="23"/>
  <c r="M861" i="23"/>
  <c r="M857" i="23"/>
  <c r="M853" i="23"/>
  <c r="M849" i="23"/>
  <c r="M845" i="23"/>
  <c r="M841" i="23"/>
  <c r="M837" i="23"/>
  <c r="M833" i="23"/>
  <c r="M829" i="23"/>
  <c r="M825" i="23"/>
  <c r="M821" i="23"/>
  <c r="M817" i="23"/>
  <c r="M813" i="23"/>
  <c r="M809" i="23"/>
  <c r="M805" i="23"/>
  <c r="M801" i="23"/>
  <c r="M797" i="23"/>
  <c r="M793" i="23"/>
  <c r="M789" i="23"/>
  <c r="M785" i="23"/>
  <c r="M781" i="23"/>
  <c r="M777" i="23"/>
  <c r="M773" i="23"/>
  <c r="M769" i="23"/>
  <c r="M765" i="23"/>
  <c r="M761" i="23"/>
  <c r="M757" i="23"/>
  <c r="M753" i="23"/>
  <c r="M749" i="23"/>
  <c r="M745" i="23"/>
  <c r="M741" i="23"/>
  <c r="M737" i="23"/>
  <c r="M733" i="23"/>
  <c r="M729" i="23"/>
  <c r="M725" i="23"/>
  <c r="M721" i="23"/>
  <c r="M717" i="23"/>
  <c r="M713" i="23"/>
  <c r="M709" i="23"/>
  <c r="M705" i="23"/>
  <c r="M701" i="23"/>
  <c r="M697" i="23"/>
  <c r="M693" i="23"/>
  <c r="M689" i="23"/>
  <c r="M685" i="23"/>
  <c r="M681" i="23"/>
  <c r="M677" i="23"/>
  <c r="M673" i="23"/>
  <c r="M1750" i="23"/>
  <c r="M1707" i="23"/>
  <c r="M1664" i="23"/>
  <c r="M1622" i="23"/>
  <c r="M1579" i="23"/>
  <c r="M1536" i="23"/>
  <c r="M1494" i="23"/>
  <c r="M1451" i="23"/>
  <c r="M1415" i="23"/>
  <c r="M1383" i="23"/>
  <c r="M1358" i="23"/>
  <c r="M1339" i="23"/>
  <c r="M1323" i="23"/>
  <c r="M1307" i="23"/>
  <c r="M1291" i="23"/>
  <c r="M1275" i="23"/>
  <c r="M1259" i="23"/>
  <c r="M1243" i="23"/>
  <c r="M1227" i="23"/>
  <c r="M1211" i="23"/>
  <c r="M1195" i="23"/>
  <c r="M1181" i="23"/>
  <c r="M1172" i="23"/>
  <c r="M1164" i="23"/>
  <c r="M1156" i="23"/>
  <c r="M1148" i="23"/>
  <c r="M1140" i="23"/>
  <c r="M1132" i="23"/>
  <c r="M1124" i="23"/>
  <c r="M1116" i="23"/>
  <c r="M1108" i="23"/>
  <c r="M1100" i="23"/>
  <c r="M1092" i="23"/>
  <c r="M1084" i="23"/>
  <c r="M1076" i="23"/>
  <c r="M1068" i="23"/>
  <c r="M1060" i="23"/>
  <c r="M1052" i="23"/>
  <c r="M1044" i="23"/>
  <c r="M1036" i="23"/>
  <c r="M1028" i="23"/>
  <c r="M1020" i="23"/>
  <c r="M1012" i="23"/>
  <c r="M1004" i="23"/>
  <c r="M996" i="23"/>
  <c r="M988" i="23"/>
  <c r="M980" i="23"/>
  <c r="M972" i="23"/>
  <c r="M964" i="23"/>
  <c r="M956" i="23"/>
  <c r="M948" i="23"/>
  <c r="M940" i="23"/>
  <c r="M932" i="23"/>
  <c r="M924" i="23"/>
  <c r="M916" i="23"/>
  <c r="M908" i="23"/>
  <c r="M900" i="23"/>
  <c r="M892" i="23"/>
  <c r="M884" i="23"/>
  <c r="M876" i="23"/>
  <c r="M868" i="23"/>
  <c r="M860" i="23"/>
  <c r="M852" i="23"/>
  <c r="M844" i="23"/>
  <c r="M836" i="23"/>
  <c r="M828" i="23"/>
  <c r="M820" i="23"/>
  <c r="M812" i="23"/>
  <c r="M804" i="23"/>
  <c r="M796" i="23"/>
  <c r="M788" i="23"/>
  <c r="M780" i="23"/>
  <c r="M772" i="23"/>
  <c r="M764" i="23"/>
  <c r="M756" i="23"/>
  <c r="M748" i="23"/>
  <c r="M740" i="23"/>
  <c r="M732" i="23"/>
  <c r="M727" i="23"/>
  <c r="M722" i="23"/>
  <c r="M716" i="23"/>
  <c r="M711" i="23"/>
  <c r="M706" i="23"/>
  <c r="M700" i="23"/>
  <c r="M695" i="23"/>
  <c r="M690" i="23"/>
  <c r="M684" i="23"/>
  <c r="M679" i="23"/>
  <c r="M674" i="23"/>
  <c r="M669" i="23"/>
  <c r="M665" i="23"/>
  <c r="M661" i="23"/>
  <c r="M657" i="23"/>
  <c r="M653" i="23"/>
  <c r="M649" i="23"/>
  <c r="M645" i="23"/>
  <c r="M641" i="23"/>
  <c r="M637" i="23"/>
  <c r="M633" i="23"/>
  <c r="M629" i="23"/>
  <c r="M625" i="23"/>
  <c r="M621" i="23"/>
  <c r="M617" i="23"/>
  <c r="M613" i="23"/>
  <c r="M609" i="23"/>
  <c r="M605" i="23"/>
  <c r="M601" i="23"/>
  <c r="M597" i="23"/>
  <c r="M593" i="23"/>
  <c r="M589" i="23"/>
  <c r="M585" i="23"/>
  <c r="M581" i="23"/>
  <c r="M577" i="23"/>
  <c r="M573" i="23"/>
  <c r="M569" i="23"/>
  <c r="M565" i="23"/>
  <c r="M561" i="23"/>
  <c r="M557" i="23"/>
  <c r="M553" i="23"/>
  <c r="M549" i="23"/>
  <c r="M545" i="23"/>
  <c r="M541" i="23"/>
  <c r="M537" i="23"/>
  <c r="M533" i="23"/>
  <c r="M529" i="23"/>
  <c r="M525" i="23"/>
  <c r="M521" i="23"/>
  <c r="M517" i="23"/>
  <c r="M513" i="23"/>
  <c r="M509" i="23"/>
  <c r="M505" i="23"/>
  <c r="M501" i="23"/>
  <c r="M497" i="23"/>
  <c r="M493" i="23"/>
  <c r="M489" i="23"/>
  <c r="M485" i="23"/>
  <c r="M481" i="23"/>
  <c r="M477" i="23"/>
  <c r="M473" i="23"/>
  <c r="M469" i="23"/>
  <c r="M465" i="23"/>
  <c r="M461" i="23"/>
  <c r="M457" i="23"/>
  <c r="M453" i="23"/>
  <c r="M449" i="23"/>
  <c r="M445" i="23"/>
  <c r="M441" i="23"/>
  <c r="M437" i="23"/>
  <c r="M433" i="23"/>
  <c r="M429" i="23"/>
  <c r="M425" i="23"/>
  <c r="M421" i="23"/>
  <c r="M417" i="23"/>
  <c r="M413" i="23"/>
  <c r="M409" i="23"/>
  <c r="M405" i="23"/>
  <c r="M401" i="23"/>
  <c r="M397" i="23"/>
  <c r="M393" i="23"/>
  <c r="M389" i="23"/>
  <c r="M385" i="23"/>
  <c r="M381" i="23"/>
  <c r="M377" i="23"/>
  <c r="M373" i="23"/>
  <c r="M369" i="23"/>
  <c r="M365" i="23"/>
  <c r="M361" i="23"/>
  <c r="M357" i="23"/>
  <c r="M353" i="23"/>
  <c r="M349" i="23"/>
  <c r="M1748" i="23"/>
  <c r="M1706" i="23"/>
  <c r="M1663" i="23"/>
  <c r="M1620" i="23"/>
  <c r="M1578" i="23"/>
  <c r="M1535" i="23"/>
  <c r="M1492" i="23"/>
  <c r="M1450" i="23"/>
  <c r="M1414" i="23"/>
  <c r="M1382" i="23"/>
  <c r="M1357" i="23"/>
  <c r="M1338" i="23"/>
  <c r="M1322" i="23"/>
  <c r="M1306" i="23"/>
  <c r="M1290" i="23"/>
  <c r="M1274" i="23"/>
  <c r="M1258" i="23"/>
  <c r="M1242" i="23"/>
  <c r="M1226" i="23"/>
  <c r="M1210" i="23"/>
  <c r="M1194" i="23"/>
  <c r="M1179" i="23"/>
  <c r="M1171" i="23"/>
  <c r="M1163" i="23"/>
  <c r="M1155" i="23"/>
  <c r="M1147" i="23"/>
  <c r="M1139" i="23"/>
  <c r="M1131" i="23"/>
  <c r="M1123" i="23"/>
  <c r="M1115" i="23"/>
  <c r="M1107" i="23"/>
  <c r="M1099" i="23"/>
  <c r="M1091" i="23"/>
  <c r="M1083" i="23"/>
  <c r="M1075" i="23"/>
  <c r="M1067" i="23"/>
  <c r="M1059" i="23"/>
  <c r="M1051" i="23"/>
  <c r="M1043" i="23"/>
  <c r="M1035" i="23"/>
  <c r="M1027" i="23"/>
  <c r="M1019" i="23"/>
  <c r="M1011" i="23"/>
  <c r="M1003" i="23"/>
  <c r="M995" i="23"/>
  <c r="M987" i="23"/>
  <c r="M979" i="23"/>
  <c r="M971" i="23"/>
  <c r="M963" i="23"/>
  <c r="M955" i="23"/>
  <c r="M947" i="23"/>
  <c r="M939" i="23"/>
  <c r="M931" i="23"/>
  <c r="M923" i="23"/>
  <c r="M915" i="23"/>
  <c r="M907" i="23"/>
  <c r="M899" i="23"/>
  <c r="M891" i="23"/>
  <c r="M883" i="23"/>
  <c r="M875" i="23"/>
  <c r="M867" i="23"/>
  <c r="M859" i="23"/>
  <c r="M851" i="23"/>
  <c r="M843" i="23"/>
  <c r="M835" i="23"/>
  <c r="M827" i="23"/>
  <c r="M819" i="23"/>
  <c r="M811" i="23"/>
  <c r="M803" i="23"/>
  <c r="M795" i="23"/>
  <c r="M787" i="23"/>
  <c r="M779" i="23"/>
  <c r="M771" i="23"/>
  <c r="M763" i="23"/>
  <c r="M755" i="23"/>
  <c r="M747" i="23"/>
  <c r="M739" i="23"/>
  <c r="M731" i="23"/>
  <c r="M726" i="23"/>
  <c r="M720" i="23"/>
  <c r="M715" i="23"/>
  <c r="M710" i="23"/>
  <c r="M704" i="23"/>
  <c r="M699" i="23"/>
  <c r="M694" i="23"/>
  <c r="M688" i="23"/>
  <c r="M683" i="23"/>
  <c r="M678" i="23"/>
  <c r="M672" i="23"/>
  <c r="M668" i="23"/>
  <c r="M664" i="23"/>
  <c r="M660" i="23"/>
  <c r="M656" i="23"/>
  <c r="M652" i="23"/>
  <c r="M648" i="23"/>
  <c r="M644" i="23"/>
  <c r="M640" i="23"/>
  <c r="M636" i="23"/>
  <c r="M632" i="23"/>
  <c r="M628" i="23"/>
  <c r="M624" i="23"/>
  <c r="M620" i="23"/>
  <c r="M616" i="23"/>
  <c r="M612" i="23"/>
  <c r="M608" i="23"/>
  <c r="M604" i="23"/>
  <c r="M600" i="23"/>
  <c r="M596" i="23"/>
  <c r="M592" i="23"/>
  <c r="M588" i="23"/>
  <c r="M584" i="23"/>
  <c r="M580" i="23"/>
  <c r="M576" i="23"/>
  <c r="M572" i="23"/>
  <c r="M568" i="23"/>
  <c r="M564" i="23"/>
  <c r="M560" i="23"/>
  <c r="M556" i="23"/>
  <c r="M552" i="23"/>
  <c r="M548" i="23"/>
  <c r="M544" i="23"/>
  <c r="M540" i="23"/>
  <c r="M536" i="23"/>
  <c r="M532" i="23"/>
  <c r="M528" i="23"/>
  <c r="M524" i="23"/>
  <c r="M520" i="23"/>
  <c r="M516" i="23"/>
  <c r="M512" i="23"/>
  <c r="M508" i="23"/>
  <c r="M504" i="23"/>
  <c r="M500" i="23"/>
  <c r="M496" i="23"/>
  <c r="M492" i="23"/>
  <c r="M488" i="23"/>
  <c r="M484" i="23"/>
  <c r="M480" i="23"/>
  <c r="M476" i="23"/>
  <c r="M472" i="23"/>
  <c r="M468" i="23"/>
  <c r="M464" i="23"/>
  <c r="M460" i="23"/>
  <c r="M456" i="23"/>
  <c r="M452" i="23"/>
  <c r="M448" i="23"/>
  <c r="M444" i="23"/>
  <c r="M440" i="23"/>
  <c r="M436" i="23"/>
  <c r="M432" i="23"/>
  <c r="M428" i="23"/>
  <c r="M424" i="23"/>
  <c r="M420" i="23"/>
  <c r="M416" i="23"/>
  <c r="M412" i="23"/>
  <c r="M408" i="23"/>
  <c r="M1728" i="23"/>
  <c r="M1643" i="23"/>
  <c r="M1558" i="23"/>
  <c r="M1472" i="23"/>
  <c r="M1399" i="23"/>
  <c r="M1347" i="23"/>
  <c r="M1315" i="23"/>
  <c r="M1283" i="23"/>
  <c r="M1251" i="23"/>
  <c r="M1219" i="23"/>
  <c r="M1187" i="23"/>
  <c r="M1168" i="23"/>
  <c r="M1152" i="23"/>
  <c r="M1136" i="23"/>
  <c r="M1120" i="23"/>
  <c r="M1104" i="23"/>
  <c r="M1088" i="23"/>
  <c r="M1072" i="23"/>
  <c r="M1056" i="23"/>
  <c r="M1040" i="23"/>
  <c r="M1024" i="23"/>
  <c r="M1008" i="23"/>
  <c r="M992" i="23"/>
  <c r="M976" i="23"/>
  <c r="M960" i="23"/>
  <c r="M944" i="23"/>
  <c r="M928" i="23"/>
  <c r="M912" i="23"/>
  <c r="M896" i="23"/>
  <c r="M880" i="23"/>
  <c r="M864" i="23"/>
  <c r="M848" i="23"/>
  <c r="M832" i="23"/>
  <c r="M816" i="23"/>
  <c r="M800" i="23"/>
  <c r="M784" i="23"/>
  <c r="M768" i="23"/>
  <c r="M752" i="23"/>
  <c r="M736" i="23"/>
  <c r="M724" i="23"/>
  <c r="M714" i="23"/>
  <c r="M703" i="23"/>
  <c r="M692" i="23"/>
  <c r="M682" i="23"/>
  <c r="M671" i="23"/>
  <c r="M663" i="23"/>
  <c r="M655" i="23"/>
  <c r="M647" i="23"/>
  <c r="M639" i="23"/>
  <c r="M631" i="23"/>
  <c r="M623" i="23"/>
  <c r="M615" i="23"/>
  <c r="M607" i="23"/>
  <c r="M599" i="23"/>
  <c r="M591" i="23"/>
  <c r="M583" i="23"/>
  <c r="M575" i="23"/>
  <c r="M567" i="23"/>
  <c r="M559" i="23"/>
  <c r="M551" i="23"/>
  <c r="M543" i="23"/>
  <c r="M535" i="23"/>
  <c r="M527" i="23"/>
  <c r="M519" i="23"/>
  <c r="M511" i="23"/>
  <c r="M503" i="23"/>
  <c r="M495" i="23"/>
  <c r="M487" i="23"/>
  <c r="M479" i="23"/>
  <c r="M471" i="23"/>
  <c r="M463" i="23"/>
  <c r="M455" i="23"/>
  <c r="M447" i="23"/>
  <c r="M439" i="23"/>
  <c r="M431" i="23"/>
  <c r="M423" i="23"/>
  <c r="M415" i="23"/>
  <c r="M407" i="23"/>
  <c r="M402" i="23"/>
  <c r="M396" i="23"/>
  <c r="M391" i="23"/>
  <c r="M386" i="23"/>
  <c r="M380" i="23"/>
  <c r="M375" i="23"/>
  <c r="M370" i="23"/>
  <c r="M364" i="23"/>
  <c r="M359" i="23"/>
  <c r="M354" i="23"/>
  <c r="M348" i="23"/>
  <c r="M344" i="23"/>
  <c r="M340" i="23"/>
  <c r="M336" i="23"/>
  <c r="M332" i="23"/>
  <c r="M328" i="23"/>
  <c r="M324" i="23"/>
  <c r="M320" i="23"/>
  <c r="M316" i="23"/>
  <c r="M312" i="23"/>
  <c r="M308" i="23"/>
  <c r="M304" i="23"/>
  <c r="M300" i="23"/>
  <c r="M296" i="23"/>
  <c r="M292" i="23"/>
  <c r="M288" i="23"/>
  <c r="M284" i="23"/>
  <c r="M280" i="23"/>
  <c r="M276" i="23"/>
  <c r="M272" i="23"/>
  <c r="M268" i="23"/>
  <c r="M264" i="23"/>
  <c r="M260" i="23"/>
  <c r="M256" i="23"/>
  <c r="M252" i="23"/>
  <c r="M248" i="23"/>
  <c r="M244" i="23"/>
  <c r="M240" i="23"/>
  <c r="M236" i="23"/>
  <c r="M232" i="23"/>
  <c r="M228" i="23"/>
  <c r="M224" i="23"/>
  <c r="M220" i="23"/>
  <c r="M216" i="23"/>
  <c r="M212" i="23"/>
  <c r="M208" i="23"/>
  <c r="M204" i="23"/>
  <c r="M200" i="23"/>
  <c r="M196" i="23"/>
  <c r="M192" i="23"/>
  <c r="M188" i="23"/>
  <c r="M184" i="23"/>
  <c r="M180" i="23"/>
  <c r="M176" i="23"/>
  <c r="M172" i="23"/>
  <c r="M168" i="23"/>
  <c r="M164" i="23"/>
  <c r="M160" i="23"/>
  <c r="M156" i="23"/>
  <c r="M152" i="23"/>
  <c r="M148" i="23"/>
  <c r="M144" i="23"/>
  <c r="M140" i="23"/>
  <c r="M136" i="23"/>
  <c r="M132" i="23"/>
  <c r="M128" i="23"/>
  <c r="M124" i="23"/>
  <c r="M120" i="23"/>
  <c r="M116" i="23"/>
  <c r="M112" i="23"/>
  <c r="M108" i="23"/>
  <c r="M104" i="23"/>
  <c r="M100" i="23"/>
  <c r="M96" i="23"/>
  <c r="M92" i="23"/>
  <c r="M88" i="23"/>
  <c r="M84" i="23"/>
  <c r="M80" i="23"/>
  <c r="M76" i="23"/>
  <c r="M72" i="23"/>
  <c r="M68" i="23"/>
  <c r="M64" i="23"/>
  <c r="M60" i="23"/>
  <c r="M56" i="23"/>
  <c r="M52" i="23"/>
  <c r="M48" i="23"/>
  <c r="M44" i="23"/>
  <c r="M40" i="23"/>
  <c r="M36" i="23"/>
  <c r="M32" i="23"/>
  <c r="M28" i="23"/>
  <c r="M24" i="23"/>
  <c r="M20" i="23"/>
  <c r="M16" i="23"/>
  <c r="M12" i="23"/>
  <c r="M8" i="23"/>
  <c r="M4" i="23"/>
  <c r="M1727" i="23"/>
  <c r="M1642" i="23"/>
  <c r="M1556" i="23"/>
  <c r="M1471" i="23"/>
  <c r="M1398" i="23"/>
  <c r="M1346" i="23"/>
  <c r="M1314" i="23"/>
  <c r="M1282" i="23"/>
  <c r="M1250" i="23"/>
  <c r="M1218" i="23"/>
  <c r="M1186" i="23"/>
  <c r="M1167" i="23"/>
  <c r="M1151" i="23"/>
  <c r="M1135" i="23"/>
  <c r="M1119" i="23"/>
  <c r="M1103" i="23"/>
  <c r="M1087" i="23"/>
  <c r="M1071" i="23"/>
  <c r="M1055" i="23"/>
  <c r="M1039" i="23"/>
  <c r="M1023" i="23"/>
  <c r="M1007" i="23"/>
  <c r="M991" i="23"/>
  <c r="M975" i="23"/>
  <c r="M959" i="23"/>
  <c r="M943" i="23"/>
  <c r="M927" i="23"/>
  <c r="M911" i="23"/>
  <c r="M895" i="23"/>
  <c r="M879" i="23"/>
  <c r="M863" i="23"/>
  <c r="M847" i="23"/>
  <c r="M831" i="23"/>
  <c r="M815" i="23"/>
  <c r="M799" i="23"/>
  <c r="M783" i="23"/>
  <c r="M767" i="23"/>
  <c r="M751" i="23"/>
  <c r="M735" i="23"/>
  <c r="M723" i="23"/>
  <c r="M712" i="23"/>
  <c r="M702" i="23"/>
  <c r="M691" i="23"/>
  <c r="M680" i="23"/>
  <c r="M670" i="23"/>
  <c r="M662" i="23"/>
  <c r="M654" i="23"/>
  <c r="M646" i="23"/>
  <c r="M638" i="23"/>
  <c r="M630" i="23"/>
  <c r="M622" i="23"/>
  <c r="M614" i="23"/>
  <c r="M606" i="23"/>
  <c r="M598" i="23"/>
  <c r="M590" i="23"/>
  <c r="M582" i="23"/>
  <c r="M574" i="23"/>
  <c r="M566" i="23"/>
  <c r="M558" i="23"/>
  <c r="M550" i="23"/>
  <c r="M542" i="23"/>
  <c r="M534" i="23"/>
  <c r="M526" i="23"/>
  <c r="M518" i="23"/>
  <c r="M510" i="23"/>
  <c r="M502" i="23"/>
  <c r="M494" i="23"/>
  <c r="M486" i="23"/>
  <c r="M478" i="23"/>
  <c r="M470" i="23"/>
  <c r="M462" i="23"/>
  <c r="M454" i="23"/>
  <c r="M446" i="23"/>
  <c r="M438" i="23"/>
  <c r="M430" i="23"/>
  <c r="M422" i="23"/>
  <c r="M414" i="23"/>
  <c r="M406" i="23"/>
  <c r="M400" i="23"/>
  <c r="M395" i="23"/>
  <c r="M390" i="23"/>
  <c r="M384" i="23"/>
  <c r="M379" i="23"/>
  <c r="M374" i="23"/>
  <c r="M368" i="23"/>
  <c r="M363" i="23"/>
  <c r="M358" i="23"/>
  <c r="M352" i="23"/>
  <c r="M347" i="23"/>
  <c r="M343" i="23"/>
  <c r="M339" i="23"/>
  <c r="M335" i="23"/>
  <c r="M331" i="23"/>
  <c r="M327" i="23"/>
  <c r="M323" i="23"/>
  <c r="M319" i="23"/>
  <c r="M315" i="23"/>
  <c r="M311" i="23"/>
  <c r="M307" i="23"/>
  <c r="M303" i="23"/>
  <c r="M299" i="23"/>
  <c r="M295" i="23"/>
  <c r="M291" i="23"/>
  <c r="M287" i="23"/>
  <c r="M283" i="23"/>
  <c r="M279" i="23"/>
  <c r="M275" i="23"/>
  <c r="M271" i="23"/>
  <c r="M267" i="23"/>
  <c r="M263" i="23"/>
  <c r="M259" i="23"/>
  <c r="M255" i="23"/>
  <c r="M251" i="23"/>
  <c r="M247" i="23"/>
  <c r="M243" i="23"/>
  <c r="M239" i="23"/>
  <c r="M235" i="23"/>
  <c r="M231" i="23"/>
  <c r="M227" i="23"/>
  <c r="M223" i="23"/>
  <c r="M219" i="23"/>
  <c r="M215" i="23"/>
  <c r="M211" i="23"/>
  <c r="M207" i="23"/>
  <c r="M203" i="23"/>
  <c r="M199" i="23"/>
  <c r="M195" i="23"/>
  <c r="M191" i="23"/>
  <c r="M187" i="23"/>
  <c r="M183" i="23"/>
  <c r="M179" i="23"/>
  <c r="M175" i="23"/>
  <c r="M171" i="23"/>
  <c r="M167" i="23"/>
  <c r="M163" i="23"/>
  <c r="M159" i="23"/>
  <c r="M155" i="23"/>
  <c r="M151" i="23"/>
  <c r="M147" i="23"/>
  <c r="M143" i="23"/>
  <c r="M139" i="23"/>
  <c r="M135" i="23"/>
  <c r="M131" i="23"/>
  <c r="M127" i="23"/>
  <c r="M123" i="23"/>
  <c r="M119" i="23"/>
  <c r="M115" i="23"/>
  <c r="M111" i="23"/>
  <c r="M107" i="23"/>
  <c r="M103" i="23"/>
  <c r="M99" i="23"/>
  <c r="M95" i="23"/>
  <c r="M91" i="23"/>
  <c r="M87" i="23"/>
  <c r="M83" i="23"/>
  <c r="M79" i="23"/>
  <c r="M75" i="23"/>
  <c r="M71" i="23"/>
  <c r="M67" i="23"/>
  <c r="M63" i="23"/>
  <c r="M59" i="23"/>
  <c r="M55" i="23"/>
  <c r="M51" i="23"/>
  <c r="M47" i="23"/>
  <c r="M43" i="23"/>
  <c r="M39" i="23"/>
  <c r="M35" i="23"/>
  <c r="M31" i="23"/>
  <c r="M27" i="23"/>
  <c r="M23" i="23"/>
  <c r="M19" i="23"/>
  <c r="M15" i="23"/>
  <c r="M11" i="23"/>
  <c r="M7" i="23"/>
  <c r="M1686" i="23"/>
  <c r="M1515" i="23"/>
  <c r="M1369" i="23"/>
  <c r="M1299" i="23"/>
  <c r="M1235" i="23"/>
  <c r="M1176" i="23"/>
  <c r="M1144" i="23"/>
  <c r="M1112" i="23"/>
  <c r="M1080" i="23"/>
  <c r="M1048" i="23"/>
  <c r="M1016" i="23"/>
  <c r="M984" i="23"/>
  <c r="M952" i="23"/>
  <c r="M920" i="23"/>
  <c r="M888" i="23"/>
  <c r="M856" i="23"/>
  <c r="M824" i="23"/>
  <c r="M792" i="23"/>
  <c r="M760" i="23"/>
  <c r="M730" i="23"/>
  <c r="M708" i="23"/>
  <c r="M687" i="23"/>
  <c r="M667" i="23"/>
  <c r="M651" i="23"/>
  <c r="M635" i="23"/>
  <c r="M619" i="23"/>
  <c r="M603" i="23"/>
  <c r="M587" i="23"/>
  <c r="M571" i="23"/>
  <c r="M555" i="23"/>
  <c r="M539" i="23"/>
  <c r="M523" i="23"/>
  <c r="M507" i="23"/>
  <c r="M491" i="23"/>
  <c r="M475" i="23"/>
  <c r="M459" i="23"/>
  <c r="M443" i="23"/>
  <c r="M427" i="23"/>
  <c r="M411" i="23"/>
  <c r="M399" i="23"/>
  <c r="M388" i="23"/>
  <c r="M378" i="23"/>
  <c r="M367" i="23"/>
  <c r="M356" i="23"/>
  <c r="M346" i="23"/>
  <c r="M338" i="23"/>
  <c r="M330" i="23"/>
  <c r="M322" i="23"/>
  <c r="M314" i="23"/>
  <c r="M306" i="23"/>
  <c r="M298" i="23"/>
  <c r="M290" i="23"/>
  <c r="M282" i="23"/>
  <c r="M274" i="23"/>
  <c r="M266" i="23"/>
  <c r="M258" i="23"/>
  <c r="M250" i="23"/>
  <c r="M242" i="23"/>
  <c r="M234" i="23"/>
  <c r="M226" i="23"/>
  <c r="M218" i="23"/>
  <c r="M210" i="23"/>
  <c r="M202" i="23"/>
  <c r="M194" i="23"/>
  <c r="M186" i="23"/>
  <c r="M178" i="23"/>
  <c r="M170" i="23"/>
  <c r="M162" i="23"/>
  <c r="M154" i="23"/>
  <c r="M146" i="23"/>
  <c r="M138" i="23"/>
  <c r="M130" i="23"/>
  <c r="M122" i="23"/>
  <c r="M114" i="23"/>
  <c r="M106" i="23"/>
  <c r="M98" i="23"/>
  <c r="M90" i="23"/>
  <c r="M82" i="23"/>
  <c r="M74" i="23"/>
  <c r="M66" i="23"/>
  <c r="M58" i="23"/>
  <c r="M50" i="23"/>
  <c r="M42" i="23"/>
  <c r="M34" i="23"/>
  <c r="M26" i="23"/>
  <c r="M18" i="23"/>
  <c r="M10" i="23"/>
  <c r="M1684" i="23"/>
  <c r="M1514" i="23"/>
  <c r="M1367" i="23"/>
  <c r="M1298" i="23"/>
  <c r="M1234" i="23"/>
  <c r="M1175" i="23"/>
  <c r="M1143" i="23"/>
  <c r="M1111" i="23"/>
  <c r="M1079" i="23"/>
  <c r="M1047" i="23"/>
  <c r="M1015" i="23"/>
  <c r="M983" i="23"/>
  <c r="M951" i="23"/>
  <c r="M919" i="23"/>
  <c r="M887" i="23"/>
  <c r="M855" i="23"/>
  <c r="M823" i="23"/>
  <c r="M791" i="23"/>
  <c r="M759" i="23"/>
  <c r="M728" i="23"/>
  <c r="M707" i="23"/>
  <c r="M686" i="23"/>
  <c r="M666" i="23"/>
  <c r="M650" i="23"/>
  <c r="M634" i="23"/>
  <c r="M618" i="23"/>
  <c r="M602" i="23"/>
  <c r="M586" i="23"/>
  <c r="M570" i="23"/>
  <c r="M554" i="23"/>
  <c r="M538" i="23"/>
  <c r="M522" i="23"/>
  <c r="M506" i="23"/>
  <c r="M490" i="23"/>
  <c r="M474" i="23"/>
  <c r="M458" i="23"/>
  <c r="M442" i="23"/>
  <c r="M426" i="23"/>
  <c r="M410" i="23"/>
  <c r="M398" i="23"/>
  <c r="M387" i="23"/>
  <c r="M376" i="23"/>
  <c r="M366" i="23"/>
  <c r="M355" i="23"/>
  <c r="M345" i="23"/>
  <c r="M337" i="23"/>
  <c r="M329" i="23"/>
  <c r="M321" i="23"/>
  <c r="M313" i="23"/>
  <c r="M305" i="23"/>
  <c r="M297" i="23"/>
  <c r="M289" i="23"/>
  <c r="M281" i="23"/>
  <c r="M273" i="23"/>
  <c r="M265" i="23"/>
  <c r="M257" i="23"/>
  <c r="M249" i="23"/>
  <c r="M241" i="23"/>
  <c r="M233" i="23"/>
  <c r="M225" i="23"/>
  <c r="M217" i="23"/>
  <c r="M209" i="23"/>
  <c r="M201" i="23"/>
  <c r="M193" i="23"/>
  <c r="M185" i="23"/>
  <c r="M177" i="23"/>
  <c r="M169" i="23"/>
  <c r="M161" i="23"/>
  <c r="M153" i="23"/>
  <c r="M145" i="23"/>
  <c r="M137" i="23"/>
  <c r="M129" i="23"/>
  <c r="M121" i="23"/>
  <c r="M113" i="23"/>
  <c r="M105" i="23"/>
  <c r="M97" i="23"/>
  <c r="M89" i="23"/>
  <c r="M81" i="23"/>
  <c r="M73" i="23"/>
  <c r="M65" i="23"/>
  <c r="M57" i="23"/>
  <c r="M49" i="23"/>
  <c r="M41" i="23"/>
  <c r="M33" i="23"/>
  <c r="M25" i="23"/>
  <c r="M17" i="23"/>
  <c r="M9" i="23"/>
  <c r="M5" i="23"/>
  <c r="M21" i="23"/>
  <c r="M37" i="23"/>
  <c r="M53" i="23"/>
  <c r="M69" i="23"/>
  <c r="M85" i="23"/>
  <c r="M101" i="23"/>
  <c r="M117" i="23"/>
  <c r="M133" i="23"/>
  <c r="M149" i="23"/>
  <c r="M165" i="23"/>
  <c r="M181" i="23"/>
  <c r="M197" i="23"/>
  <c r="M213" i="23"/>
  <c r="M229" i="23"/>
  <c r="M245" i="23"/>
  <c r="M261" i="23"/>
  <c r="M277" i="23"/>
  <c r="M293" i="23"/>
  <c r="M309" i="23"/>
  <c r="M325" i="23"/>
  <c r="M341" i="23"/>
  <c r="M360" i="23"/>
  <c r="M382" i="23"/>
  <c r="M403" i="23"/>
  <c r="M434" i="23"/>
  <c r="M466" i="23"/>
  <c r="M498" i="23"/>
  <c r="M530" i="23"/>
  <c r="M562" i="23"/>
  <c r="M594" i="23"/>
  <c r="M626" i="23"/>
  <c r="M658" i="23"/>
  <c r="M696" i="23"/>
  <c r="M743" i="23"/>
  <c r="M807" i="23"/>
  <c r="M871" i="23"/>
  <c r="M935" i="23"/>
  <c r="M999" i="23"/>
  <c r="M1063" i="23"/>
  <c r="M1127" i="23"/>
  <c r="M1202" i="23"/>
  <c r="M1330" i="23"/>
  <c r="M1599" i="23"/>
  <c r="M6" i="23"/>
  <c r="M22" i="23"/>
  <c r="M38" i="23"/>
  <c r="M54" i="23"/>
  <c r="M70" i="23"/>
  <c r="M86" i="23"/>
  <c r="M102" i="23"/>
  <c r="M118" i="23"/>
  <c r="M134" i="23"/>
  <c r="M150" i="23"/>
  <c r="M166" i="23"/>
  <c r="M182" i="23"/>
  <c r="M198" i="23"/>
  <c r="M214" i="23"/>
  <c r="M230" i="23"/>
  <c r="M246" i="23"/>
  <c r="M262" i="23"/>
  <c r="M278" i="23"/>
  <c r="M294" i="23"/>
  <c r="M310" i="23"/>
  <c r="M326" i="23"/>
  <c r="M342" i="23"/>
  <c r="M362" i="23"/>
  <c r="M383" i="23"/>
  <c r="M404" i="23"/>
  <c r="M435" i="23"/>
  <c r="M467" i="23"/>
  <c r="M499" i="23"/>
  <c r="M531" i="23"/>
  <c r="M563" i="23"/>
  <c r="M595" i="23"/>
  <c r="M627" i="23"/>
  <c r="M659" i="23"/>
  <c r="M698" i="23"/>
  <c r="M744" i="23"/>
  <c r="M808" i="23"/>
  <c r="M872" i="23"/>
  <c r="M936" i="23"/>
  <c r="M1000" i="23"/>
  <c r="M1064" i="23"/>
  <c r="M1128" i="23"/>
  <c r="M1203" i="23"/>
  <c r="M1331" i="23"/>
  <c r="M1600" i="23"/>
  <c r="L96" i="22"/>
  <c r="L95" i="22"/>
  <c r="D101" i="22"/>
  <c r="E101" i="22"/>
  <c r="F101" i="22"/>
  <c r="G101" i="22"/>
  <c r="H101" i="22"/>
  <c r="I101" i="22"/>
  <c r="J101" i="22"/>
  <c r="K101" i="22"/>
  <c r="L101" i="22"/>
  <c r="M101" i="22"/>
  <c r="E17" i="27"/>
  <c r="E13" i="27"/>
  <c r="E16" i="27" s="1"/>
  <c r="F13" i="27"/>
  <c r="F14" i="27" s="1"/>
  <c r="G13" i="27"/>
  <c r="H13" i="27" s="1"/>
  <c r="I13" i="27"/>
  <c r="AD13" i="27" s="1"/>
  <c r="J13" i="27"/>
  <c r="K13" i="27"/>
  <c r="K14" i="27" s="1"/>
  <c r="L13" i="27"/>
  <c r="M13" i="27"/>
  <c r="N13" i="27"/>
  <c r="O13" i="27"/>
  <c r="O14" i="27" s="1"/>
  <c r="P13" i="27"/>
  <c r="Q13" i="27"/>
  <c r="R13" i="27"/>
  <c r="F10" i="27"/>
  <c r="G10" i="27"/>
  <c r="I10" i="27"/>
  <c r="J10" i="27"/>
  <c r="L10" i="27"/>
  <c r="M10" i="27"/>
  <c r="N10" i="27"/>
  <c r="O10" i="27"/>
  <c r="P10" i="27"/>
  <c r="R10" i="27"/>
  <c r="E10" i="27"/>
  <c r="D22" i="27"/>
  <c r="Q5" i="4"/>
  <c r="R5" i="4"/>
  <c r="S5" i="4"/>
  <c r="T5" i="4"/>
  <c r="U5" i="4"/>
  <c r="V5" i="4"/>
  <c r="W5" i="4"/>
  <c r="X5" i="4"/>
  <c r="Y5" i="4"/>
  <c r="Z5" i="4"/>
  <c r="AA5" i="4"/>
  <c r="AB5" i="4"/>
  <c r="AC5" i="4"/>
  <c r="AD5" i="4"/>
  <c r="AE5" i="4"/>
  <c r="AF5" i="4"/>
  <c r="S47" i="22"/>
  <c r="D111" i="22"/>
  <c r="F37" i="22"/>
  <c r="I40" i="10"/>
  <c r="D47" i="10"/>
  <c r="E47" i="10"/>
  <c r="F47" i="10"/>
  <c r="G47" i="10"/>
  <c r="R16" i="27" l="1"/>
  <c r="R20" i="27" s="1"/>
  <c r="R14" i="27"/>
  <c r="Q16" i="27"/>
  <c r="Q20" i="27" s="1"/>
  <c r="Q14" i="27"/>
  <c r="P14" i="27"/>
  <c r="P16" i="27"/>
  <c r="P20" i="27" s="1"/>
  <c r="N16" i="27"/>
  <c r="N20" i="27" s="1"/>
  <c r="N14" i="27"/>
  <c r="M16" i="27"/>
  <c r="M20" i="27" s="1"/>
  <c r="M14" i="27"/>
  <c r="L14" i="27"/>
  <c r="L16" i="27"/>
  <c r="L20" i="27" s="1"/>
  <c r="J16" i="27"/>
  <c r="J20" i="27" s="1"/>
  <c r="J14" i="27"/>
  <c r="G16" i="27"/>
  <c r="H16" i="27" s="1"/>
  <c r="G14" i="27"/>
  <c r="F16" i="27"/>
  <c r="I14" i="27"/>
  <c r="E14" i="27"/>
  <c r="L30" i="27"/>
  <c r="O16" i="27"/>
  <c r="O20" i="27" s="1"/>
  <c r="K16" i="27"/>
  <c r="K20" i="27" s="1"/>
  <c r="I16" i="27"/>
  <c r="I20" i="27" s="1"/>
  <c r="I23" i="27"/>
  <c r="L31" i="27"/>
  <c r="M23" i="22"/>
  <c r="L32" i="27" l="1"/>
  <c r="E35" i="27" s="1"/>
  <c r="AD16" i="27"/>
  <c r="I25" i="27"/>
  <c r="J23" i="27"/>
  <c r="W43" i="22"/>
  <c r="L37" i="27" l="1"/>
  <c r="E34" i="27" s="1"/>
  <c r="K23" i="27"/>
  <c r="J25" i="27"/>
  <c r="G29" i="4"/>
  <c r="I97" i="22"/>
  <c r="H7" i="4"/>
  <c r="D85" i="10"/>
  <c r="D86" i="10" s="1"/>
  <c r="E85" i="10"/>
  <c r="E86" i="10" s="1"/>
  <c r="F85" i="10"/>
  <c r="F86" i="10" s="1"/>
  <c r="G85" i="10"/>
  <c r="H85" i="10"/>
  <c r="H86" i="10" s="1"/>
  <c r="E68" i="4"/>
  <c r="D68" i="4"/>
  <c r="C87" i="10" l="1"/>
  <c r="H29" i="4"/>
  <c r="E93" i="22"/>
  <c r="L23" i="27"/>
  <c r="M23" i="27" s="1"/>
  <c r="K25" i="27"/>
  <c r="B62" i="17"/>
  <c r="C62" i="17"/>
  <c r="N62" i="17"/>
  <c r="M62" i="17"/>
  <c r="L62" i="17"/>
  <c r="K62" i="17"/>
  <c r="J62" i="17"/>
  <c r="I62" i="17"/>
  <c r="H62" i="17"/>
  <c r="G62" i="17"/>
  <c r="F62" i="17"/>
  <c r="E62" i="17"/>
  <c r="D21" i="4" s="1"/>
  <c r="D19" i="4" s="1"/>
  <c r="D62" i="17"/>
  <c r="O76" i="22"/>
  <c r="N76" i="22"/>
  <c r="M76" i="22"/>
  <c r="L76" i="22"/>
  <c r="J76" i="22"/>
  <c r="K76" i="22"/>
  <c r="I76" i="22"/>
  <c r="H76" i="22"/>
  <c r="F76" i="22"/>
  <c r="E76" i="22"/>
  <c r="AB25" i="17"/>
  <c r="AA31" i="17"/>
  <c r="AA39" i="17" s="1"/>
  <c r="AB31" i="17"/>
  <c r="AB39" i="17" s="1"/>
  <c r="AC31" i="17"/>
  <c r="AC38" i="17"/>
  <c r="AA48" i="17"/>
  <c r="AB48" i="17"/>
  <c r="AC48" i="17"/>
  <c r="AA49" i="17"/>
  <c r="AA53" i="17" s="1"/>
  <c r="AB49" i="17"/>
  <c r="AB53" i="17" s="1"/>
  <c r="AC49" i="17"/>
  <c r="AC52" i="17" s="1"/>
  <c r="D28" i="4"/>
  <c r="I7" i="4"/>
  <c r="J7" i="4"/>
  <c r="K7" i="4"/>
  <c r="L7" i="4"/>
  <c r="G7" i="4"/>
  <c r="V85" i="22"/>
  <c r="T90" i="22" s="1"/>
  <c r="U90" i="22" s="1"/>
  <c r="E66" i="4"/>
  <c r="D66" i="4"/>
  <c r="E64" i="4"/>
  <c r="D64" i="4"/>
  <c r="E62" i="4"/>
  <c r="E54" i="4"/>
  <c r="E55" i="4"/>
  <c r="D54" i="4"/>
  <c r="G10" i="4" s="1"/>
  <c r="D55" i="4"/>
  <c r="E53" i="4"/>
  <c r="D53" i="4"/>
  <c r="E82" i="22"/>
  <c r="D22" i="22" s="1"/>
  <c r="F82" i="22"/>
  <c r="G82" i="22"/>
  <c r="F22" i="22" s="1"/>
  <c r="H82" i="22"/>
  <c r="G22" i="22" s="1"/>
  <c r="I82" i="22"/>
  <c r="J82" i="22"/>
  <c r="K82" i="22"/>
  <c r="L82" i="22"/>
  <c r="M82" i="22"/>
  <c r="N82" i="22"/>
  <c r="O82" i="22"/>
  <c r="D82" i="22"/>
  <c r="C22" i="22" s="1"/>
  <c r="V84" i="22"/>
  <c r="T91" i="22" s="1"/>
  <c r="U91" i="22" s="1"/>
  <c r="V86" i="22"/>
  <c r="T89" i="22" s="1"/>
  <c r="U89" i="22" s="1"/>
  <c r="B1" i="17"/>
  <c r="B31" i="17"/>
  <c r="S48" i="22"/>
  <c r="S96" i="22"/>
  <c r="D85" i="22" s="1"/>
  <c r="T76" i="22"/>
  <c r="W57" i="22"/>
  <c r="W58" i="22"/>
  <c r="W56" i="22"/>
  <c r="U56" i="22"/>
  <c r="AC53" i="17" l="1"/>
  <c r="AA52" i="17"/>
  <c r="AC39" i="17"/>
  <c r="AB52" i="17"/>
  <c r="K22" i="22"/>
  <c r="E21" i="4"/>
  <c r="E19" i="4" s="1"/>
  <c r="E22" i="4" s="1"/>
  <c r="AH11" i="4"/>
  <c r="G11" i="4"/>
  <c r="G20" i="4" s="1"/>
  <c r="L25" i="27"/>
  <c r="L22" i="22"/>
  <c r="D62" i="4" s="1"/>
  <c r="G23" i="4"/>
  <c r="E22" i="22"/>
  <c r="AG11" i="4"/>
  <c r="U92" i="22"/>
  <c r="T92" i="22"/>
  <c r="W59" i="22"/>
  <c r="T75" i="22" s="1"/>
  <c r="T77" i="22" l="1"/>
  <c r="K9" i="22" s="1"/>
  <c r="L9" i="22"/>
  <c r="AA95" i="22"/>
  <c r="O5" i="4" s="1"/>
  <c r="AB95" i="22"/>
  <c r="P5" i="4" s="1"/>
  <c r="N23" i="27"/>
  <c r="M25" i="27"/>
  <c r="Z95" i="22"/>
  <c r="X95" i="22"/>
  <c r="Y95" i="22"/>
  <c r="V59" i="22"/>
  <c r="T59" i="22"/>
  <c r="U58" i="22"/>
  <c r="U57" i="22"/>
  <c r="C72" i="10"/>
  <c r="C71" i="10"/>
  <c r="C68" i="10"/>
  <c r="K7" i="3"/>
  <c r="K8" i="3"/>
  <c r="K9" i="3"/>
  <c r="K10" i="3"/>
  <c r="K6" i="3"/>
  <c r="K5" i="3"/>
  <c r="L5" i="3"/>
  <c r="E122" i="22"/>
  <c r="E121" i="22"/>
  <c r="G55" i="10"/>
  <c r="G54" i="10"/>
  <c r="G56" i="10"/>
  <c r="C125" i="22"/>
  <c r="E124" i="22"/>
  <c r="U95" i="22" l="1"/>
  <c r="V95" i="22"/>
  <c r="W95" i="22"/>
  <c r="T95" i="22"/>
  <c r="T96" i="22" s="1"/>
  <c r="H6" i="4" s="1"/>
  <c r="H11" i="4" s="1"/>
  <c r="G11" i="10"/>
  <c r="G86" i="10"/>
  <c r="O23" i="27"/>
  <c r="N25" i="27"/>
  <c r="U59" i="22"/>
  <c r="E123" i="22"/>
  <c r="D58" i="4"/>
  <c r="C50" i="4"/>
  <c r="M5" i="3"/>
  <c r="D40" i="3"/>
  <c r="F29" i="10"/>
  <c r="F25" i="10"/>
  <c r="F24" i="10"/>
  <c r="F21" i="10"/>
  <c r="F20" i="10"/>
  <c r="F18" i="10"/>
  <c r="F17" i="10"/>
  <c r="E28" i="4"/>
  <c r="C32" i="17"/>
  <c r="C36" i="17" s="1"/>
  <c r="E111" i="22"/>
  <c r="E113" i="22" s="1"/>
  <c r="D23" i="22" s="1"/>
  <c r="F111" i="22"/>
  <c r="F113" i="22" s="1"/>
  <c r="E23" i="22" s="1"/>
  <c r="G111" i="22"/>
  <c r="G113" i="22" s="1"/>
  <c r="F23" i="22" s="1"/>
  <c r="H111" i="22"/>
  <c r="H113" i="22" s="1"/>
  <c r="G23" i="22" s="1"/>
  <c r="I111" i="22"/>
  <c r="I113" i="22" s="1"/>
  <c r="J111" i="22"/>
  <c r="J113" i="22" s="1"/>
  <c r="K111" i="22"/>
  <c r="K113" i="22" s="1"/>
  <c r="L111" i="22"/>
  <c r="L113" i="22" s="1"/>
  <c r="M111" i="22"/>
  <c r="M113" i="22" s="1"/>
  <c r="N111" i="22"/>
  <c r="N113" i="22" s="1"/>
  <c r="O111" i="22"/>
  <c r="O113" i="22" s="1"/>
  <c r="D113" i="22"/>
  <c r="I11" i="16"/>
  <c r="E91" i="22"/>
  <c r="D25" i="22" s="1"/>
  <c r="F91" i="22"/>
  <c r="E25" i="22" s="1"/>
  <c r="G91" i="22"/>
  <c r="F25" i="22" s="1"/>
  <c r="H91" i="22"/>
  <c r="G25" i="22" s="1"/>
  <c r="I91" i="22"/>
  <c r="J91" i="22"/>
  <c r="K91" i="22"/>
  <c r="L91" i="22"/>
  <c r="M91" i="22"/>
  <c r="N91" i="22"/>
  <c r="O91" i="22"/>
  <c r="D91" i="22"/>
  <c r="C25" i="22" s="1"/>
  <c r="C13" i="17"/>
  <c r="C14" i="17" s="1"/>
  <c r="B13" i="17"/>
  <c r="U96" i="22" l="1"/>
  <c r="V96" i="22" s="1"/>
  <c r="W96" i="22" s="1"/>
  <c r="H23" i="4"/>
  <c r="H5" i="4"/>
  <c r="P23" i="27"/>
  <c r="O25" i="27"/>
  <c r="D125" i="22"/>
  <c r="E125" i="22"/>
  <c r="D50" i="4" s="1"/>
  <c r="F50" i="4" s="1"/>
  <c r="K25" i="22"/>
  <c r="C23" i="22"/>
  <c r="D115" i="22"/>
  <c r="D114" i="22"/>
  <c r="J6" i="4" l="1"/>
  <c r="J23" i="4" s="1"/>
  <c r="I6" i="4"/>
  <c r="I23" i="4" s="1"/>
  <c r="Q23" i="27"/>
  <c r="P25" i="27"/>
  <c r="K6" i="4"/>
  <c r="K11" i="4" s="1"/>
  <c r="X96" i="22"/>
  <c r="E63" i="4"/>
  <c r="K23" i="22"/>
  <c r="J11" i="4" l="1"/>
  <c r="I5" i="4"/>
  <c r="I8" i="4"/>
  <c r="J5" i="4"/>
  <c r="I11" i="4"/>
  <c r="R23" i="27"/>
  <c r="S23" i="27" s="1"/>
  <c r="Q25" i="27"/>
  <c r="Y96" i="22"/>
  <c r="Z96" i="22" s="1"/>
  <c r="AA96" i="22" s="1"/>
  <c r="AB96" i="22" s="1"/>
  <c r="AC96" i="22" s="1"/>
  <c r="AD96" i="22" s="1"/>
  <c r="AE96" i="22" s="1"/>
  <c r="AF96" i="22" s="1"/>
  <c r="AG96" i="22" s="1"/>
  <c r="AH96" i="22" s="1"/>
  <c r="AI96" i="22" s="1"/>
  <c r="AJ96" i="22" s="1"/>
  <c r="AK96" i="22" s="1"/>
  <c r="AL96" i="22" s="1"/>
  <c r="AM96" i="22" s="1"/>
  <c r="AN96" i="22" s="1"/>
  <c r="AO96" i="22" s="1"/>
  <c r="AP96" i="22" s="1"/>
  <c r="AQ96" i="22" s="1"/>
  <c r="AR96" i="22" s="1"/>
  <c r="L6" i="4"/>
  <c r="L11" i="4" s="1"/>
  <c r="O75" i="22"/>
  <c r="N75" i="22"/>
  <c r="M75" i="22"/>
  <c r="L75" i="22"/>
  <c r="K75" i="22"/>
  <c r="J75" i="22"/>
  <c r="I75" i="22"/>
  <c r="H75" i="22"/>
  <c r="G75" i="22"/>
  <c r="F75" i="22"/>
  <c r="E75" i="22"/>
  <c r="D75" i="22"/>
  <c r="E70" i="22"/>
  <c r="D19" i="22" s="1"/>
  <c r="F70" i="22"/>
  <c r="E19" i="22" s="1"/>
  <c r="G70" i="22"/>
  <c r="F19" i="22" s="1"/>
  <c r="H70" i="22"/>
  <c r="G19" i="22" s="1"/>
  <c r="I70" i="22"/>
  <c r="J70" i="22"/>
  <c r="K70" i="22"/>
  <c r="L70" i="22"/>
  <c r="M70" i="22"/>
  <c r="N70" i="22"/>
  <c r="O70" i="22"/>
  <c r="D70" i="22"/>
  <c r="E64" i="22"/>
  <c r="D18" i="22" s="1"/>
  <c r="F64" i="22"/>
  <c r="E18" i="22" s="1"/>
  <c r="G64" i="22"/>
  <c r="F18" i="22" s="1"/>
  <c r="H64" i="22"/>
  <c r="G18" i="22" s="1"/>
  <c r="I64" i="22"/>
  <c r="J64" i="22"/>
  <c r="K64" i="22"/>
  <c r="L64" i="22"/>
  <c r="M64" i="22"/>
  <c r="N64" i="22"/>
  <c r="D64" i="22"/>
  <c r="E58" i="22"/>
  <c r="D17" i="22" s="1"/>
  <c r="F58" i="22"/>
  <c r="E17" i="22" s="1"/>
  <c r="G58" i="22"/>
  <c r="F17" i="22" s="1"/>
  <c r="H58" i="22"/>
  <c r="G17" i="22" s="1"/>
  <c r="I58" i="22"/>
  <c r="J58" i="22"/>
  <c r="K58" i="22"/>
  <c r="L58" i="22"/>
  <c r="M58" i="22"/>
  <c r="N58" i="22"/>
  <c r="O58" i="22"/>
  <c r="D58" i="22"/>
  <c r="E57" i="4"/>
  <c r="F36" i="22"/>
  <c r="D57" i="4" s="1"/>
  <c r="F27" i="4"/>
  <c r="C1" i="17"/>
  <c r="D1" i="17"/>
  <c r="E1" i="17"/>
  <c r="F1" i="17"/>
  <c r="G1" i="17"/>
  <c r="H1" i="17"/>
  <c r="I1" i="17"/>
  <c r="J1" i="17"/>
  <c r="K1" i="17"/>
  <c r="L1" i="17"/>
  <c r="M1" i="17"/>
  <c r="D77" i="22" l="1"/>
  <c r="C21" i="22" s="1"/>
  <c r="D102" i="22"/>
  <c r="D103" i="22" s="1"/>
  <c r="H77" i="22"/>
  <c r="G21" i="22" s="1"/>
  <c r="H102" i="22"/>
  <c r="H103" i="22" s="1"/>
  <c r="L77" i="22"/>
  <c r="L102" i="22"/>
  <c r="L103" i="22" s="1"/>
  <c r="S46" i="22"/>
  <c r="F77" i="22"/>
  <c r="E21" i="22" s="1"/>
  <c r="F102" i="22"/>
  <c r="F103" i="22" s="1"/>
  <c r="J77" i="22"/>
  <c r="J102" i="22"/>
  <c r="J103" i="22" s="1"/>
  <c r="N77" i="22"/>
  <c r="N102" i="22"/>
  <c r="N103" i="22" s="1"/>
  <c r="S43" i="22"/>
  <c r="E77" i="22"/>
  <c r="D21" i="22" s="1"/>
  <c r="E102" i="22"/>
  <c r="E103" i="22" s="1"/>
  <c r="I77" i="22"/>
  <c r="I102" i="22"/>
  <c r="I103" i="22" s="1"/>
  <c r="M77" i="22"/>
  <c r="M102" i="22"/>
  <c r="M103" i="22" s="1"/>
  <c r="G77" i="22"/>
  <c r="F21" i="22" s="1"/>
  <c r="G102" i="22"/>
  <c r="G103" i="22" s="1"/>
  <c r="K77" i="22"/>
  <c r="K102" i="22"/>
  <c r="K103" i="22" s="1"/>
  <c r="O77" i="22"/>
  <c r="O102" i="22"/>
  <c r="O103" i="22" s="1"/>
  <c r="S25" i="27"/>
  <c r="T23" i="27"/>
  <c r="R25" i="27"/>
  <c r="K19" i="22"/>
  <c r="C19" i="22"/>
  <c r="I19" i="22" s="1"/>
  <c r="K17" i="22"/>
  <c r="C17" i="22"/>
  <c r="K18" i="22"/>
  <c r="C18" i="22"/>
  <c r="N6" i="4"/>
  <c r="O6" i="4" s="1"/>
  <c r="M6" i="4"/>
  <c r="M11" i="4" s="1"/>
  <c r="C79" i="16"/>
  <c r="B68" i="16"/>
  <c r="B69" i="16"/>
  <c r="B71" i="16"/>
  <c r="B72" i="16"/>
  <c r="B64" i="16"/>
  <c r="C74" i="10" s="1"/>
  <c r="C35" i="10" s="1"/>
  <c r="B62" i="16"/>
  <c r="B48" i="16"/>
  <c r="B49" i="16"/>
  <c r="B50" i="16"/>
  <c r="B53" i="16"/>
  <c r="B54" i="16"/>
  <c r="B56" i="16"/>
  <c r="B39" i="16"/>
  <c r="C65" i="10" s="1"/>
  <c r="B40" i="16"/>
  <c r="C66" i="10" s="1"/>
  <c r="B41" i="16"/>
  <c r="C67" i="10" s="1"/>
  <c r="B42" i="16"/>
  <c r="C69" i="10" s="1"/>
  <c r="B44" i="16"/>
  <c r="C70" i="10" s="1"/>
  <c r="B7" i="16"/>
  <c r="B11" i="16"/>
  <c r="C59" i="10" s="1"/>
  <c r="B14" i="16"/>
  <c r="C60" i="10" s="1"/>
  <c r="B15" i="16"/>
  <c r="B17" i="16"/>
  <c r="B21" i="16"/>
  <c r="C61" i="10" s="1"/>
  <c r="B23" i="16"/>
  <c r="C62" i="10" s="1"/>
  <c r="B27" i="16"/>
  <c r="B32" i="16"/>
  <c r="B5" i="16"/>
  <c r="C56" i="10" s="1"/>
  <c r="C34" i="10" s="1"/>
  <c r="B46" i="17"/>
  <c r="B51" i="16" s="1"/>
  <c r="B75" i="17"/>
  <c r="B28" i="16" s="1"/>
  <c r="C8" i="19"/>
  <c r="D4" i="3"/>
  <c r="E4" i="3" s="1"/>
  <c r="F4" i="3" s="1"/>
  <c r="G4" i="3" s="1"/>
  <c r="H4" i="3" s="1"/>
  <c r="I4" i="3" s="1"/>
  <c r="D11" i="3"/>
  <c r="D15" i="3"/>
  <c r="E15" i="3" s="1"/>
  <c r="F15" i="3" s="1"/>
  <c r="G15" i="3" s="1"/>
  <c r="H15" i="3" s="1"/>
  <c r="I15" i="3" s="1"/>
  <c r="D19" i="3"/>
  <c r="B2" i="3"/>
  <c r="K4" i="3"/>
  <c r="L4" i="3" s="1"/>
  <c r="M4" i="3" s="1"/>
  <c r="N4" i="3" s="1"/>
  <c r="O4" i="3" s="1"/>
  <c r="N5" i="3"/>
  <c r="O5" i="3"/>
  <c r="L6" i="3"/>
  <c r="M6" i="3"/>
  <c r="N6" i="3"/>
  <c r="O6" i="3"/>
  <c r="L7" i="3"/>
  <c r="M7" i="3"/>
  <c r="N7" i="3"/>
  <c r="O7" i="3"/>
  <c r="L8" i="3"/>
  <c r="M8" i="3"/>
  <c r="N8" i="3"/>
  <c r="O8" i="3"/>
  <c r="E11" i="3"/>
  <c r="F11" i="3"/>
  <c r="G11" i="3"/>
  <c r="H11" i="3"/>
  <c r="I11" i="3"/>
  <c r="B13" i="3"/>
  <c r="K15" i="3"/>
  <c r="L15" i="3" s="1"/>
  <c r="M15" i="3" s="1"/>
  <c r="N15" i="3" s="1"/>
  <c r="O15" i="3" s="1"/>
  <c r="K16" i="3"/>
  <c r="L16" i="3"/>
  <c r="M16" i="3"/>
  <c r="N16" i="3"/>
  <c r="O16" i="3"/>
  <c r="K17" i="3"/>
  <c r="L17" i="3"/>
  <c r="M17" i="3"/>
  <c r="N17" i="3"/>
  <c r="O17" i="3"/>
  <c r="K18" i="3"/>
  <c r="L18" i="3"/>
  <c r="M18" i="3"/>
  <c r="N18" i="3"/>
  <c r="O18" i="3"/>
  <c r="E19" i="3"/>
  <c r="F19" i="3"/>
  <c r="G19" i="3"/>
  <c r="H19" i="3"/>
  <c r="I19" i="3"/>
  <c r="D13" i="17"/>
  <c r="D14" i="17" s="1"/>
  <c r="E13" i="17"/>
  <c r="E14" i="17" s="1"/>
  <c r="F13" i="17"/>
  <c r="F14" i="17" s="1"/>
  <c r="G13" i="17"/>
  <c r="G14" i="17" s="1"/>
  <c r="H13" i="17"/>
  <c r="H14" i="17" s="1"/>
  <c r="I13" i="17"/>
  <c r="I14" i="17" s="1"/>
  <c r="J13" i="17"/>
  <c r="J14" i="17" s="1"/>
  <c r="K13" i="17"/>
  <c r="K14" i="17" s="1"/>
  <c r="L13" i="17"/>
  <c r="L14" i="17" s="1"/>
  <c r="M13" i="17"/>
  <c r="M14" i="17" s="1"/>
  <c r="N13" i="17"/>
  <c r="N14" i="17" s="1"/>
  <c r="B14" i="17"/>
  <c r="K21" i="22" l="1"/>
  <c r="C33" i="10"/>
  <c r="I21" i="22"/>
  <c r="U23" i="27"/>
  <c r="T25" i="27"/>
  <c r="N11" i="4"/>
  <c r="C85" i="10"/>
  <c r="C86" i="10" s="1"/>
  <c r="B73" i="16"/>
  <c r="B58" i="16"/>
  <c r="C73" i="10" s="1"/>
  <c r="C77" i="10" s="1"/>
  <c r="N11" i="3"/>
  <c r="L11" i="3"/>
  <c r="K11" i="3"/>
  <c r="B5" i="3"/>
  <c r="B16" i="16"/>
  <c r="N19" i="3"/>
  <c r="L19" i="3"/>
  <c r="O19" i="3"/>
  <c r="O11" i="3"/>
  <c r="K19" i="3"/>
  <c r="M11" i="3"/>
  <c r="M19" i="3"/>
  <c r="B19" i="16"/>
  <c r="B35" i="16"/>
  <c r="B36" i="16" s="1"/>
  <c r="B12" i="16"/>
  <c r="B8" i="16"/>
  <c r="B24" i="16"/>
  <c r="B22" i="16"/>
  <c r="B9" i="16"/>
  <c r="B10" i="16" s="1"/>
  <c r="B8" i="3"/>
  <c r="B7" i="3"/>
  <c r="B6" i="3"/>
  <c r="B16" i="3"/>
  <c r="B17" i="3"/>
  <c r="H29" i="1" s="1"/>
  <c r="B18" i="3"/>
  <c r="B9" i="3"/>
  <c r="B10" i="3"/>
  <c r="B77" i="17"/>
  <c r="B67" i="17"/>
  <c r="B23" i="17"/>
  <c r="C18" i="10" l="1"/>
  <c r="V23" i="27"/>
  <c r="U25" i="27"/>
  <c r="P6" i="4"/>
  <c r="O11" i="4"/>
  <c r="B74" i="16"/>
  <c r="B75" i="16"/>
  <c r="B70" i="16"/>
  <c r="B33" i="16"/>
  <c r="B34" i="16" s="1"/>
  <c r="B60" i="16"/>
  <c r="B20" i="16"/>
  <c r="C58" i="10"/>
  <c r="C21" i="10" s="1"/>
  <c r="B59" i="16"/>
  <c r="B11" i="3"/>
  <c r="B19" i="3"/>
  <c r="C21" i="16"/>
  <c r="D27" i="10"/>
  <c r="E27" i="4"/>
  <c r="G40" i="4"/>
  <c r="H9" i="4" s="1"/>
  <c r="C32" i="16"/>
  <c r="I18" i="22"/>
  <c r="C46" i="17"/>
  <c r="B47" i="17"/>
  <c r="B52" i="16" s="1"/>
  <c r="B32" i="17"/>
  <c r="B36" i="17" s="1"/>
  <c r="C31" i="17"/>
  <c r="C37" i="17" s="1"/>
  <c r="B60" i="17"/>
  <c r="B67" i="16" s="1"/>
  <c r="M60" i="17"/>
  <c r="M56" i="17"/>
  <c r="E27" i="10"/>
  <c r="F27" i="10"/>
  <c r="H27" i="10"/>
  <c r="B54" i="1"/>
  <c r="B50" i="17" l="1"/>
  <c r="B55" i="16" s="1"/>
  <c r="W23" i="27"/>
  <c r="V25" i="27"/>
  <c r="C37" i="10"/>
  <c r="Q6" i="4"/>
  <c r="Q24" i="4" s="1"/>
  <c r="P11" i="4"/>
  <c r="D22" i="4"/>
  <c r="B37" i="17"/>
  <c r="B43" i="16" s="1"/>
  <c r="C77" i="17"/>
  <c r="X23" i="27" l="1"/>
  <c r="W25" i="27"/>
  <c r="R6" i="4"/>
  <c r="Q11" i="4"/>
  <c r="D24" i="4"/>
  <c r="F75" i="17"/>
  <c r="Y23" i="27" l="1"/>
  <c r="X25" i="27"/>
  <c r="S6" i="4"/>
  <c r="R11" i="4"/>
  <c r="G38" i="4"/>
  <c r="C75" i="17"/>
  <c r="Z23" i="27" l="1"/>
  <c r="Y25" i="27"/>
  <c r="T6" i="4"/>
  <c r="T23" i="4" s="1"/>
  <c r="S11" i="4"/>
  <c r="S20" i="4" s="1"/>
  <c r="C5" i="16"/>
  <c r="C22" i="16" s="1"/>
  <c r="D4" i="1" a="1"/>
  <c r="D4" i="1" s="1"/>
  <c r="D23" i="17"/>
  <c r="C23" i="17"/>
  <c r="E23" i="17"/>
  <c r="F56" i="17"/>
  <c r="F64" i="16" s="1"/>
  <c r="C56" i="17"/>
  <c r="D47" i="17"/>
  <c r="D50" i="17" s="1"/>
  <c r="D55" i="16" s="1"/>
  <c r="C47" i="17"/>
  <c r="C50" i="17" s="1"/>
  <c r="C55" i="16" s="1"/>
  <c r="D46" i="17"/>
  <c r="D51" i="16" s="1"/>
  <c r="D31" i="17"/>
  <c r="E31" i="17"/>
  <c r="F31" i="17"/>
  <c r="G31" i="17"/>
  <c r="H31" i="17"/>
  <c r="I31" i="17"/>
  <c r="J31" i="17"/>
  <c r="K31" i="17"/>
  <c r="L31" i="17"/>
  <c r="M31" i="17"/>
  <c r="N31" i="17"/>
  <c r="D32" i="17"/>
  <c r="D36" i="17" s="1"/>
  <c r="E32" i="17"/>
  <c r="E36" i="17" s="1"/>
  <c r="F32" i="17"/>
  <c r="F36" i="17" s="1"/>
  <c r="G32" i="17"/>
  <c r="G36" i="17" s="1"/>
  <c r="H32" i="17"/>
  <c r="H36" i="17" s="1"/>
  <c r="I32" i="17"/>
  <c r="I36" i="17" s="1"/>
  <c r="J32" i="17"/>
  <c r="J36" i="17" s="1"/>
  <c r="K32" i="17"/>
  <c r="K36" i="17" s="1"/>
  <c r="L32" i="17"/>
  <c r="L36" i="17" s="1"/>
  <c r="M32" i="17"/>
  <c r="M36" i="17" s="1"/>
  <c r="N32" i="17"/>
  <c r="N36" i="17" s="1"/>
  <c r="E46" i="17"/>
  <c r="E51" i="16" s="1"/>
  <c r="F46" i="17"/>
  <c r="F51" i="16" s="1"/>
  <c r="G46" i="17"/>
  <c r="H46" i="17"/>
  <c r="H51" i="16" s="1"/>
  <c r="I46" i="17"/>
  <c r="I51" i="16" s="1"/>
  <c r="J46" i="17"/>
  <c r="K46" i="17"/>
  <c r="L46" i="17"/>
  <c r="L51" i="16" s="1"/>
  <c r="M46" i="17"/>
  <c r="M51" i="16" s="1"/>
  <c r="N46" i="17"/>
  <c r="N51" i="16" s="1"/>
  <c r="E47" i="17"/>
  <c r="E50" i="17" s="1"/>
  <c r="F47" i="17"/>
  <c r="F50" i="17" s="1"/>
  <c r="F55" i="16" s="1"/>
  <c r="G47" i="17"/>
  <c r="G50" i="17" s="1"/>
  <c r="G55" i="16" s="1"/>
  <c r="H47" i="17"/>
  <c r="H52" i="16" s="1"/>
  <c r="I47" i="17"/>
  <c r="I50" i="17" s="1"/>
  <c r="I55" i="16" s="1"/>
  <c r="J47" i="17"/>
  <c r="J50" i="17" s="1"/>
  <c r="J55" i="16" s="1"/>
  <c r="K47" i="17"/>
  <c r="K50" i="17" s="1"/>
  <c r="K55" i="16" s="1"/>
  <c r="L47" i="17"/>
  <c r="L50" i="17" s="1"/>
  <c r="L55" i="16" s="1"/>
  <c r="M47" i="17"/>
  <c r="M50" i="17" s="1"/>
  <c r="M55" i="16" s="1"/>
  <c r="N47" i="17"/>
  <c r="N50" i="17" s="1"/>
  <c r="N55" i="16" s="1"/>
  <c r="D56" i="17"/>
  <c r="D64" i="16" s="1"/>
  <c r="E56" i="17"/>
  <c r="G56" i="17"/>
  <c r="G64" i="16" s="1"/>
  <c r="H56" i="17"/>
  <c r="H64" i="16" s="1"/>
  <c r="I56" i="17"/>
  <c r="I64" i="16" s="1"/>
  <c r="J56" i="17"/>
  <c r="J64" i="16" s="1"/>
  <c r="K56" i="17"/>
  <c r="K64" i="16" s="1"/>
  <c r="L56" i="17"/>
  <c r="L64" i="16" s="1"/>
  <c r="N56" i="17"/>
  <c r="N64" i="16" s="1"/>
  <c r="C7" i="19"/>
  <c r="C6" i="19"/>
  <c r="J3" i="17" a="1"/>
  <c r="J3" i="17" s="1"/>
  <c r="H10" i="4"/>
  <c r="C87" i="17"/>
  <c r="AD1" i="23"/>
  <c r="I48" i="10"/>
  <c r="H22" i="1"/>
  <c r="H23" i="1"/>
  <c r="D6" i="4"/>
  <c r="E6" i="4"/>
  <c r="F6" i="4"/>
  <c r="G5" i="4" s="1"/>
  <c r="C16" i="22"/>
  <c r="H8" i="10"/>
  <c r="Q4" i="19" s="1"/>
  <c r="G8" i="10"/>
  <c r="G10" i="10" s="1" a="1"/>
  <c r="G10" i="10" s="1"/>
  <c r="F10" i="10" a="1"/>
  <c r="F10" i="10" s="1"/>
  <c r="E8" i="10"/>
  <c r="D8" i="10"/>
  <c r="D60" i="17"/>
  <c r="D63" i="17" s="1"/>
  <c r="E60" i="17"/>
  <c r="E63" i="17" s="1"/>
  <c r="F60" i="17"/>
  <c r="F63" i="17" s="1"/>
  <c r="G60" i="17"/>
  <c r="G63" i="17" s="1"/>
  <c r="H60" i="17"/>
  <c r="H63" i="17" s="1"/>
  <c r="I60" i="17"/>
  <c r="I63" i="17" s="1"/>
  <c r="J60" i="17"/>
  <c r="J63" i="17" s="1"/>
  <c r="K60" i="17"/>
  <c r="K63" i="17" s="1"/>
  <c r="L60" i="17"/>
  <c r="L63" i="17" s="1"/>
  <c r="M63" i="17"/>
  <c r="N60" i="17"/>
  <c r="N63" i="17" s="1"/>
  <c r="C60" i="17"/>
  <c r="C63" i="17" s="1"/>
  <c r="G67" i="17"/>
  <c r="H67" i="17"/>
  <c r="I67" i="17"/>
  <c r="J67" i="17"/>
  <c r="K67" i="17"/>
  <c r="L67" i="17"/>
  <c r="M67" i="17"/>
  <c r="N67" i="17"/>
  <c r="H24" i="1"/>
  <c r="F22" i="1"/>
  <c r="F23" i="1"/>
  <c r="F24" i="1"/>
  <c r="AE12" i="23"/>
  <c r="I17" i="22"/>
  <c r="AK9" i="23"/>
  <c r="AL9" i="23"/>
  <c r="AM9" i="23"/>
  <c r="AN9" i="23"/>
  <c r="AJ9" i="23"/>
  <c r="F31" i="4"/>
  <c r="C67" i="17"/>
  <c r="F25" i="4" s="1"/>
  <c r="Z12" i="23"/>
  <c r="Y12" i="23" s="1"/>
  <c r="Z13" i="23"/>
  <c r="Y13" i="23" s="1"/>
  <c r="Z14" i="23"/>
  <c r="Y14" i="23" s="1"/>
  <c r="Z15" i="23"/>
  <c r="Y15" i="23" s="1"/>
  <c r="Z16" i="23"/>
  <c r="Y16" i="23" s="1"/>
  <c r="Z17" i="23"/>
  <c r="Y17" i="23" s="1"/>
  <c r="Z18" i="23"/>
  <c r="Y18" i="23" s="1"/>
  <c r="Z19" i="23"/>
  <c r="Y19" i="23" s="1"/>
  <c r="Z20" i="23"/>
  <c r="Y20" i="23" s="1"/>
  <c r="Z21" i="23"/>
  <c r="Y21" i="23" s="1"/>
  <c r="Z22" i="23"/>
  <c r="Y22" i="23" s="1"/>
  <c r="Z23" i="23"/>
  <c r="Y23" i="23" s="1"/>
  <c r="Z24" i="23"/>
  <c r="Y24" i="23" s="1"/>
  <c r="Z25" i="23"/>
  <c r="Y25" i="23" s="1"/>
  <c r="Z26" i="23"/>
  <c r="Y26" i="23" s="1"/>
  <c r="Z27" i="23"/>
  <c r="Y27" i="23" s="1"/>
  <c r="Z28" i="23"/>
  <c r="Y28" i="23" s="1"/>
  <c r="Z29" i="23"/>
  <c r="Y29" i="23" s="1"/>
  <c r="Z30" i="23"/>
  <c r="Y30" i="23" s="1"/>
  <c r="Z31" i="23"/>
  <c r="Y31" i="23" s="1"/>
  <c r="Z32" i="23"/>
  <c r="Y32" i="23" s="1"/>
  <c r="Z33" i="23"/>
  <c r="Y33" i="23" s="1"/>
  <c r="Z34" i="23"/>
  <c r="Y34" i="23" s="1"/>
  <c r="Z35" i="23"/>
  <c r="Y35" i="23" s="1"/>
  <c r="Z36" i="23"/>
  <c r="Y36" i="23" s="1"/>
  <c r="Z37" i="23"/>
  <c r="Y37" i="23" s="1"/>
  <c r="Z38" i="23"/>
  <c r="Y38" i="23" s="1"/>
  <c r="Z39" i="23"/>
  <c r="Y39" i="23" s="1"/>
  <c r="Z40" i="23"/>
  <c r="Y40" i="23" s="1"/>
  <c r="Z41" i="23"/>
  <c r="Y41" i="23" s="1"/>
  <c r="Z42" i="23"/>
  <c r="Y42" i="23" s="1"/>
  <c r="Z43" i="23"/>
  <c r="Y43" i="23" s="1"/>
  <c r="Z44" i="23"/>
  <c r="Y44" i="23" s="1"/>
  <c r="Z45" i="23"/>
  <c r="Y45" i="23" s="1"/>
  <c r="Z46" i="23"/>
  <c r="Y46" i="23" s="1"/>
  <c r="Z47" i="23"/>
  <c r="Y47" i="23" s="1"/>
  <c r="Z48" i="23"/>
  <c r="Y48" i="23" s="1"/>
  <c r="Z49" i="23"/>
  <c r="Y49" i="23" s="1"/>
  <c r="Z50" i="23"/>
  <c r="Y50" i="23" s="1"/>
  <c r="Z51" i="23"/>
  <c r="Y51" i="23" s="1"/>
  <c r="Z52" i="23"/>
  <c r="Y52" i="23" s="1"/>
  <c r="Z53" i="23"/>
  <c r="Y53" i="23" s="1"/>
  <c r="Z54" i="23"/>
  <c r="Y54" i="23" s="1"/>
  <c r="Z55" i="23"/>
  <c r="Y55" i="23" s="1"/>
  <c r="Z56" i="23"/>
  <c r="Y56" i="23" s="1"/>
  <c r="Z57" i="23"/>
  <c r="Y57" i="23" s="1"/>
  <c r="Z58" i="23"/>
  <c r="Y58" i="23" s="1"/>
  <c r="Z59" i="23"/>
  <c r="Y59" i="23" s="1"/>
  <c r="Z60" i="23"/>
  <c r="Y60" i="23" s="1"/>
  <c r="Z61" i="23"/>
  <c r="Y61" i="23" s="1"/>
  <c r="Z62" i="23"/>
  <c r="Y62" i="23" s="1"/>
  <c r="Z63" i="23"/>
  <c r="Y63" i="23" s="1"/>
  <c r="Z64" i="23"/>
  <c r="Y64" i="23" s="1"/>
  <c r="Z65" i="23"/>
  <c r="Y65" i="23" s="1"/>
  <c r="Z66" i="23"/>
  <c r="Y66" i="23" s="1"/>
  <c r="Z67" i="23"/>
  <c r="Y67" i="23" s="1"/>
  <c r="Z68" i="23"/>
  <c r="Y68" i="23" s="1"/>
  <c r="Z69" i="23"/>
  <c r="Y69" i="23" s="1"/>
  <c r="Z70" i="23"/>
  <c r="Y70" i="23" s="1"/>
  <c r="Z71" i="23"/>
  <c r="Y71" i="23" s="1"/>
  <c r="Z72" i="23"/>
  <c r="Y72" i="23" s="1"/>
  <c r="Z73" i="23"/>
  <c r="Y73" i="23" s="1"/>
  <c r="Z74" i="23"/>
  <c r="Y74" i="23" s="1"/>
  <c r="Z75" i="23"/>
  <c r="Y75" i="23" s="1"/>
  <c r="Z76" i="23"/>
  <c r="Y76" i="23" s="1"/>
  <c r="Z77" i="23"/>
  <c r="Y77" i="23" s="1"/>
  <c r="Z78" i="23"/>
  <c r="Y78" i="23" s="1"/>
  <c r="Z79" i="23"/>
  <c r="Y79" i="23" s="1"/>
  <c r="Z80" i="23"/>
  <c r="Y80" i="23" s="1"/>
  <c r="Z81" i="23"/>
  <c r="Y81" i="23" s="1"/>
  <c r="Z82" i="23"/>
  <c r="Y82" i="23" s="1"/>
  <c r="Z83" i="23"/>
  <c r="Y83" i="23" s="1"/>
  <c r="Z84" i="23"/>
  <c r="Y84" i="23" s="1"/>
  <c r="Z85" i="23"/>
  <c r="Y85" i="23" s="1"/>
  <c r="Z86" i="23"/>
  <c r="Y86" i="23" s="1"/>
  <c r="Z87" i="23"/>
  <c r="Y87" i="23" s="1"/>
  <c r="Z88" i="23"/>
  <c r="Y88" i="23" s="1"/>
  <c r="Z89" i="23"/>
  <c r="Y89" i="23" s="1"/>
  <c r="Z90" i="23"/>
  <c r="Y90" i="23" s="1"/>
  <c r="Z91" i="23"/>
  <c r="Y91" i="23" s="1"/>
  <c r="Z92" i="23"/>
  <c r="Y92" i="23" s="1"/>
  <c r="Z93" i="23"/>
  <c r="Y93" i="23" s="1"/>
  <c r="Z94" i="23"/>
  <c r="Y94" i="23" s="1"/>
  <c r="Z95" i="23"/>
  <c r="Y95" i="23" s="1"/>
  <c r="Z96" i="23"/>
  <c r="Y96" i="23" s="1"/>
  <c r="Z97" i="23"/>
  <c r="Y97" i="23" s="1"/>
  <c r="Z98" i="23"/>
  <c r="Y98" i="23" s="1"/>
  <c r="Z99" i="23"/>
  <c r="Y99" i="23" s="1"/>
  <c r="Z100" i="23"/>
  <c r="Y100" i="23" s="1"/>
  <c r="W100" i="23" s="1"/>
  <c r="Z5" i="23"/>
  <c r="Y5" i="23" s="1"/>
  <c r="Z6" i="23"/>
  <c r="Y6" i="23" s="1"/>
  <c r="Z7" i="23"/>
  <c r="Y7" i="23" s="1"/>
  <c r="Z8" i="23"/>
  <c r="Y8" i="23" s="1"/>
  <c r="Z9" i="23"/>
  <c r="Y9" i="23" s="1"/>
  <c r="Z10" i="23"/>
  <c r="Y10" i="23" s="1"/>
  <c r="Z11" i="23"/>
  <c r="Y11" i="23" s="1"/>
  <c r="Z4" i="23"/>
  <c r="Y4" i="23" s="1"/>
  <c r="Z3" i="23"/>
  <c r="Y3" i="23" s="1"/>
  <c r="U14" i="23"/>
  <c r="U13" i="23"/>
  <c r="E10" i="22"/>
  <c r="F10" i="22"/>
  <c r="G10" i="22"/>
  <c r="G9" i="22"/>
  <c r="F9" i="22"/>
  <c r="E9" i="22"/>
  <c r="D10" i="22"/>
  <c r="D9" i="22"/>
  <c r="C10" i="22"/>
  <c r="C9" i="22"/>
  <c r="I26" i="22"/>
  <c r="I25" i="22"/>
  <c r="I24" i="22"/>
  <c r="I23" i="22"/>
  <c r="L23" i="22" s="1"/>
  <c r="D63" i="4" s="1"/>
  <c r="G24" i="4" s="1"/>
  <c r="I22" i="22"/>
  <c r="D8" i="22"/>
  <c r="D16" i="22" s="1"/>
  <c r="C49" i="10"/>
  <c r="I49" i="10" s="1"/>
  <c r="J49" i="10" s="1"/>
  <c r="AI8" i="23"/>
  <c r="AI7" i="23"/>
  <c r="AI6" i="23"/>
  <c r="AI5" i="23"/>
  <c r="AI4" i="23"/>
  <c r="AH8" i="23"/>
  <c r="AH7" i="23"/>
  <c r="AH6" i="23"/>
  <c r="AH5" i="23"/>
  <c r="AH4" i="23"/>
  <c r="AG5" i="23"/>
  <c r="AG6" i="23"/>
  <c r="AG7" i="23"/>
  <c r="AG8" i="23"/>
  <c r="AG4" i="23"/>
  <c r="AF4" i="23"/>
  <c r="AF5" i="23"/>
  <c r="AF6" i="23"/>
  <c r="AF7" i="23"/>
  <c r="AF8" i="23"/>
  <c r="I44" i="10"/>
  <c r="J44" i="10" s="1"/>
  <c r="I46" i="10"/>
  <c r="J46" i="10" s="1"/>
  <c r="E2" i="1"/>
  <c r="C21" i="1" s="1" a="1"/>
  <c r="C21" i="1" s="1"/>
  <c r="H22" i="10"/>
  <c r="F22" i="10"/>
  <c r="E22" i="10"/>
  <c r="D22" i="10"/>
  <c r="D77" i="17"/>
  <c r="F53" i="1" s="1"/>
  <c r="E77" i="17"/>
  <c r="F52" i="1" s="1"/>
  <c r="F77" i="17"/>
  <c r="F51" i="1" s="1"/>
  <c r="G77" i="17"/>
  <c r="F50" i="1" s="1"/>
  <c r="H77" i="17"/>
  <c r="F49" i="1" s="1"/>
  <c r="I77" i="17"/>
  <c r="F48" i="1" s="1"/>
  <c r="J77" i="17"/>
  <c r="F47" i="1" s="1"/>
  <c r="K77" i="17"/>
  <c r="F46" i="1" s="1"/>
  <c r="L77" i="17"/>
  <c r="L75" i="16" s="1"/>
  <c r="M77" i="17"/>
  <c r="M75" i="16" s="1"/>
  <c r="N77" i="17"/>
  <c r="N75" i="16" s="1"/>
  <c r="F54" i="1"/>
  <c r="E28" i="10"/>
  <c r="F23" i="17"/>
  <c r="G23" i="17"/>
  <c r="H23" i="17"/>
  <c r="I23" i="17"/>
  <c r="J23" i="17"/>
  <c r="K23" i="17"/>
  <c r="L23" i="17"/>
  <c r="M23" i="17"/>
  <c r="N23" i="17"/>
  <c r="N22" i="17" s="1"/>
  <c r="N18" i="16" s="1"/>
  <c r="F21" i="4"/>
  <c r="F19" i="4" s="1"/>
  <c r="D27" i="4"/>
  <c r="L75" i="17"/>
  <c r="M75" i="17"/>
  <c r="N75" i="17"/>
  <c r="K75" i="17"/>
  <c r="F67" i="17"/>
  <c r="F28" i="1"/>
  <c r="F27" i="1"/>
  <c r="F21" i="1"/>
  <c r="F28" i="4"/>
  <c r="G39" i="4"/>
  <c r="G75" i="17"/>
  <c r="H75" i="17"/>
  <c r="I75" i="17"/>
  <c r="J75" i="17"/>
  <c r="E75" i="17"/>
  <c r="D31" i="4" s="1"/>
  <c r="D75" i="17"/>
  <c r="E31" i="4" s="1"/>
  <c r="E67" i="17"/>
  <c r="D25" i="4" s="1"/>
  <c r="H4" i="4"/>
  <c r="I4" i="4" s="1"/>
  <c r="J4" i="4" s="1"/>
  <c r="K4" i="4" s="1"/>
  <c r="L4" i="4" s="1"/>
  <c r="M4" i="4" s="1"/>
  <c r="N4" i="4" s="1"/>
  <c r="O4" i="4" s="1"/>
  <c r="P4" i="4" s="1"/>
  <c r="Q4" i="4" s="1"/>
  <c r="R4" i="4" s="1"/>
  <c r="S4" i="4" s="1"/>
  <c r="T4" i="4" s="1"/>
  <c r="U4" i="4" s="1"/>
  <c r="V4" i="4" s="1"/>
  <c r="W4" i="4" s="1"/>
  <c r="X4" i="4" s="1"/>
  <c r="Y4" i="4" s="1"/>
  <c r="Z4" i="4" s="1"/>
  <c r="AA4" i="4" s="1"/>
  <c r="AB4" i="4" s="1"/>
  <c r="AC4" i="4" s="1"/>
  <c r="AD4" i="4" s="1"/>
  <c r="AE4" i="4" s="1"/>
  <c r="AF4" i="4" s="1"/>
  <c r="D11" i="10"/>
  <c r="M11" i="19" s="1"/>
  <c r="E11" i="10"/>
  <c r="N11" i="19" s="1"/>
  <c r="N6" i="19" s="1"/>
  <c r="F11" i="10"/>
  <c r="H11" i="10"/>
  <c r="D13" i="10"/>
  <c r="E13" i="10"/>
  <c r="F13" i="10"/>
  <c r="G13" i="10"/>
  <c r="H13" i="10"/>
  <c r="D14" i="10"/>
  <c r="E14" i="10"/>
  <c r="F14" i="10"/>
  <c r="G14" i="10"/>
  <c r="H14" i="10"/>
  <c r="D15" i="10"/>
  <c r="E15" i="10"/>
  <c r="F15" i="10"/>
  <c r="H15" i="10"/>
  <c r="D16" i="10"/>
  <c r="E16" i="10"/>
  <c r="F16" i="10"/>
  <c r="H16" i="10"/>
  <c r="D17" i="10"/>
  <c r="E17" i="10"/>
  <c r="H17" i="10"/>
  <c r="D18" i="10"/>
  <c r="E18" i="10"/>
  <c r="H18" i="10"/>
  <c r="D20" i="10"/>
  <c r="E20" i="10"/>
  <c r="H20" i="10"/>
  <c r="D21" i="10"/>
  <c r="E21" i="10"/>
  <c r="H21" i="10"/>
  <c r="D24" i="10"/>
  <c r="E24" i="10"/>
  <c r="H24" i="10"/>
  <c r="D25" i="10"/>
  <c r="E25" i="10"/>
  <c r="H25" i="10"/>
  <c r="D28" i="10"/>
  <c r="F28" i="10"/>
  <c r="H28" i="10"/>
  <c r="D29" i="10"/>
  <c r="E29" i="10"/>
  <c r="H29" i="10"/>
  <c r="D30" i="10"/>
  <c r="E30" i="10"/>
  <c r="F30" i="10"/>
  <c r="H30" i="10"/>
  <c r="D31" i="10"/>
  <c r="E31" i="10"/>
  <c r="F31" i="10"/>
  <c r="H31" i="10"/>
  <c r="J40" i="10"/>
  <c r="C39" i="10"/>
  <c r="I39" i="10" s="1"/>
  <c r="I9" i="10"/>
  <c r="I38" i="10"/>
  <c r="N74" i="16"/>
  <c r="M74" i="16"/>
  <c r="L74" i="16"/>
  <c r="K74" i="16"/>
  <c r="J74" i="16"/>
  <c r="I74" i="16"/>
  <c r="H74" i="16"/>
  <c r="G74" i="16"/>
  <c r="F74" i="16"/>
  <c r="E74" i="16"/>
  <c r="D74" i="16"/>
  <c r="C74" i="16"/>
  <c r="N73" i="16"/>
  <c r="M73" i="16"/>
  <c r="L73" i="16"/>
  <c r="K73" i="16"/>
  <c r="J73" i="16"/>
  <c r="I73" i="16"/>
  <c r="H73" i="16"/>
  <c r="G73" i="16"/>
  <c r="F73" i="16"/>
  <c r="E73" i="16"/>
  <c r="D73" i="16"/>
  <c r="C73" i="16"/>
  <c r="N72" i="16"/>
  <c r="M72" i="16"/>
  <c r="L72" i="16"/>
  <c r="K72" i="16"/>
  <c r="J72" i="16"/>
  <c r="I72" i="16"/>
  <c r="H72" i="16"/>
  <c r="G72" i="16"/>
  <c r="F72" i="16"/>
  <c r="E72" i="16"/>
  <c r="D72" i="16"/>
  <c r="C72" i="16"/>
  <c r="N70" i="16"/>
  <c r="M70" i="16"/>
  <c r="L70" i="16"/>
  <c r="K70" i="16"/>
  <c r="J70" i="16"/>
  <c r="I70" i="16"/>
  <c r="H70" i="16"/>
  <c r="G70" i="16"/>
  <c r="F70" i="16"/>
  <c r="E70" i="16"/>
  <c r="D70" i="16"/>
  <c r="C70" i="16"/>
  <c r="N69" i="16"/>
  <c r="M69" i="16"/>
  <c r="L69" i="16"/>
  <c r="K69" i="16"/>
  <c r="J69" i="16"/>
  <c r="I69" i="16"/>
  <c r="H69" i="16"/>
  <c r="G69" i="16"/>
  <c r="F69" i="16"/>
  <c r="E69" i="16"/>
  <c r="D69" i="16"/>
  <c r="C69" i="16"/>
  <c r="C23" i="16"/>
  <c r="N62" i="16"/>
  <c r="M62" i="16"/>
  <c r="L62" i="16"/>
  <c r="K62" i="16"/>
  <c r="J62" i="16"/>
  <c r="I62" i="16"/>
  <c r="H62" i="16"/>
  <c r="G62" i="16"/>
  <c r="F62" i="16"/>
  <c r="E62" i="16"/>
  <c r="D62" i="16"/>
  <c r="C62" i="16"/>
  <c r="N84" i="16"/>
  <c r="M84" i="16"/>
  <c r="L84" i="16"/>
  <c r="K84" i="16"/>
  <c r="J84" i="16"/>
  <c r="I84" i="16"/>
  <c r="H84" i="16"/>
  <c r="G84" i="16"/>
  <c r="F84" i="16"/>
  <c r="E84" i="16"/>
  <c r="D84" i="16"/>
  <c r="C84" i="16"/>
  <c r="N82" i="16"/>
  <c r="M82" i="16"/>
  <c r="L82" i="16"/>
  <c r="K82" i="16"/>
  <c r="J82" i="16"/>
  <c r="I82" i="16"/>
  <c r="H82" i="16"/>
  <c r="G82" i="16"/>
  <c r="F82" i="16"/>
  <c r="E82" i="16"/>
  <c r="D82" i="16"/>
  <c r="N81" i="16"/>
  <c r="M81" i="16"/>
  <c r="L81" i="16"/>
  <c r="K81" i="16"/>
  <c r="J81" i="16"/>
  <c r="I81" i="16"/>
  <c r="H81" i="16"/>
  <c r="G81" i="16"/>
  <c r="F81" i="16"/>
  <c r="E81" i="16"/>
  <c r="D81" i="16"/>
  <c r="N80" i="16"/>
  <c r="M80" i="16"/>
  <c r="L80" i="16"/>
  <c r="K80" i="16"/>
  <c r="J80" i="16"/>
  <c r="I80" i="16"/>
  <c r="H80" i="16"/>
  <c r="G80" i="16"/>
  <c r="F80" i="16"/>
  <c r="E80" i="16"/>
  <c r="D80" i="16"/>
  <c r="N79" i="16"/>
  <c r="M79" i="16"/>
  <c r="L79" i="16"/>
  <c r="K79" i="16"/>
  <c r="J79" i="16"/>
  <c r="I79" i="16"/>
  <c r="H79" i="16"/>
  <c r="G79" i="16"/>
  <c r="F79" i="16"/>
  <c r="E79" i="16"/>
  <c r="D79" i="16"/>
  <c r="N78" i="16"/>
  <c r="M78" i="16"/>
  <c r="L78" i="16"/>
  <c r="K78" i="16"/>
  <c r="J78" i="16"/>
  <c r="I78" i="16"/>
  <c r="H78" i="16"/>
  <c r="G78" i="16"/>
  <c r="F78" i="16"/>
  <c r="E78" i="16"/>
  <c r="N52" i="16"/>
  <c r="I52" i="16"/>
  <c r="E52" i="16"/>
  <c r="D48" i="16"/>
  <c r="E48" i="16"/>
  <c r="F48" i="16"/>
  <c r="G48" i="16"/>
  <c r="H48" i="16"/>
  <c r="I48" i="16"/>
  <c r="J48" i="16"/>
  <c r="K48" i="16"/>
  <c r="L48" i="16"/>
  <c r="M48" i="16"/>
  <c r="N48" i="16"/>
  <c r="C48" i="16"/>
  <c r="N54" i="16"/>
  <c r="M54" i="16"/>
  <c r="L54" i="16"/>
  <c r="K54" i="16"/>
  <c r="J54" i="16"/>
  <c r="I54" i="16"/>
  <c r="H54" i="16"/>
  <c r="G54" i="16"/>
  <c r="F54" i="16"/>
  <c r="E54" i="16"/>
  <c r="D54" i="16"/>
  <c r="C54" i="16"/>
  <c r="N53" i="16"/>
  <c r="M53" i="16"/>
  <c r="L53" i="16"/>
  <c r="K53" i="16"/>
  <c r="J53" i="16"/>
  <c r="I53" i="16"/>
  <c r="H53" i="16"/>
  <c r="G53" i="16"/>
  <c r="F53" i="16"/>
  <c r="E53" i="16"/>
  <c r="D53" i="16"/>
  <c r="C53" i="16"/>
  <c r="N50" i="16"/>
  <c r="M50" i="16"/>
  <c r="L50" i="16"/>
  <c r="K50" i="16"/>
  <c r="J50" i="16"/>
  <c r="I50" i="16"/>
  <c r="H50" i="16"/>
  <c r="F50" i="16"/>
  <c r="E50" i="16"/>
  <c r="D50" i="16"/>
  <c r="C50" i="16"/>
  <c r="N49" i="16"/>
  <c r="M49" i="16"/>
  <c r="L49" i="16"/>
  <c r="K49" i="16"/>
  <c r="J49" i="16"/>
  <c r="I49" i="16"/>
  <c r="H49" i="16"/>
  <c r="G49" i="16"/>
  <c r="F49" i="16"/>
  <c r="E49" i="16"/>
  <c r="D49" i="16"/>
  <c r="C49" i="16"/>
  <c r="C44" i="16"/>
  <c r="N42" i="16"/>
  <c r="M42" i="16"/>
  <c r="L42" i="16"/>
  <c r="K42" i="16"/>
  <c r="J42" i="16"/>
  <c r="I42" i="16"/>
  <c r="H42" i="16"/>
  <c r="G42" i="16"/>
  <c r="F42" i="16"/>
  <c r="E42" i="16"/>
  <c r="D42" i="16"/>
  <c r="C42" i="16"/>
  <c r="N41" i="16"/>
  <c r="M41" i="16"/>
  <c r="L41" i="16"/>
  <c r="K41" i="16"/>
  <c r="J41" i="16"/>
  <c r="I41" i="16"/>
  <c r="H41" i="16"/>
  <c r="G41" i="16"/>
  <c r="F41" i="16"/>
  <c r="E41" i="16"/>
  <c r="D41" i="16"/>
  <c r="C41" i="16"/>
  <c r="N40" i="16"/>
  <c r="M40" i="16"/>
  <c r="L40" i="16"/>
  <c r="K40" i="16"/>
  <c r="J40" i="16"/>
  <c r="I40" i="16"/>
  <c r="H40" i="16"/>
  <c r="G40" i="16"/>
  <c r="F40" i="16"/>
  <c r="E40" i="16"/>
  <c r="D40" i="16"/>
  <c r="C40" i="16"/>
  <c r="N39" i="16"/>
  <c r="N26" i="16" s="1"/>
  <c r="N29" i="16" s="1"/>
  <c r="M39" i="16"/>
  <c r="L39" i="16"/>
  <c r="K39" i="16"/>
  <c r="J39" i="16"/>
  <c r="I39" i="16"/>
  <c r="H39" i="16"/>
  <c r="G39" i="16"/>
  <c r="F39" i="16"/>
  <c r="E39" i="16"/>
  <c r="D39" i="16"/>
  <c r="C39" i="16"/>
  <c r="N33" i="16"/>
  <c r="M33" i="16"/>
  <c r="L33" i="16"/>
  <c r="K33" i="16"/>
  <c r="J33" i="16"/>
  <c r="I33" i="16"/>
  <c r="H33" i="16"/>
  <c r="G33" i="16"/>
  <c r="F33" i="16"/>
  <c r="E33" i="16"/>
  <c r="D33" i="16"/>
  <c r="C33" i="16"/>
  <c r="F24" i="4" s="1"/>
  <c r="N32" i="16"/>
  <c r="M32" i="16"/>
  <c r="L32" i="16"/>
  <c r="K32" i="16"/>
  <c r="J32" i="16"/>
  <c r="I32" i="16"/>
  <c r="H32" i="16"/>
  <c r="G32" i="16"/>
  <c r="F32" i="16"/>
  <c r="E32" i="16"/>
  <c r="D23" i="4" s="1"/>
  <c r="D32" i="16"/>
  <c r="E23" i="4" s="1"/>
  <c r="F23" i="4"/>
  <c r="N28" i="16"/>
  <c r="M28" i="16"/>
  <c r="L28" i="16"/>
  <c r="K28" i="16"/>
  <c r="J28" i="16"/>
  <c r="I28" i="16"/>
  <c r="H28" i="16"/>
  <c r="G28" i="16"/>
  <c r="F28" i="16"/>
  <c r="E28" i="16"/>
  <c r="D29" i="4" s="1"/>
  <c r="D28" i="16"/>
  <c r="E29" i="4" s="1"/>
  <c r="C28" i="16"/>
  <c r="F29" i="4" s="1"/>
  <c r="N27" i="16"/>
  <c r="M27" i="16"/>
  <c r="L27" i="16"/>
  <c r="K27" i="16"/>
  <c r="J27" i="16"/>
  <c r="I27" i="16"/>
  <c r="H27" i="16"/>
  <c r="G27" i="16"/>
  <c r="F27" i="16"/>
  <c r="E27" i="16"/>
  <c r="D30" i="4" s="1"/>
  <c r="D27" i="16"/>
  <c r="E30" i="4" s="1"/>
  <c r="C27" i="16"/>
  <c r="F30" i="4" s="1"/>
  <c r="N23" i="16"/>
  <c r="M23" i="16"/>
  <c r="L23" i="16"/>
  <c r="K23" i="16"/>
  <c r="J23" i="16"/>
  <c r="I23" i="16"/>
  <c r="H23" i="16"/>
  <c r="G23" i="16"/>
  <c r="F23" i="16"/>
  <c r="E23" i="16"/>
  <c r="D17" i="4" s="1"/>
  <c r="D23" i="16"/>
  <c r="N21" i="16"/>
  <c r="M21" i="16"/>
  <c r="L21" i="16"/>
  <c r="K21" i="16"/>
  <c r="J21" i="16"/>
  <c r="I21" i="16"/>
  <c r="H21" i="16"/>
  <c r="G21" i="16"/>
  <c r="F21" i="16"/>
  <c r="E21" i="16"/>
  <c r="D16" i="4" s="1"/>
  <c r="D21" i="16"/>
  <c r="E16" i="4" s="1"/>
  <c r="N17" i="16"/>
  <c r="M17" i="16"/>
  <c r="L17" i="16"/>
  <c r="K17" i="16"/>
  <c r="J17" i="16"/>
  <c r="I17" i="16"/>
  <c r="J106" i="22" s="1"/>
  <c r="H17" i="16"/>
  <c r="G17" i="16"/>
  <c r="F17" i="16"/>
  <c r="E17" i="16"/>
  <c r="D17" i="16"/>
  <c r="C17" i="16"/>
  <c r="N15" i="16"/>
  <c r="M15" i="16"/>
  <c r="L15" i="16"/>
  <c r="K15" i="16"/>
  <c r="J15" i="16"/>
  <c r="I15" i="16"/>
  <c r="H15" i="16"/>
  <c r="G15" i="16"/>
  <c r="F15" i="16"/>
  <c r="E15" i="16"/>
  <c r="D14" i="4" s="1"/>
  <c r="D15" i="16"/>
  <c r="E14" i="4" s="1"/>
  <c r="C15" i="16"/>
  <c r="F14" i="4" s="1"/>
  <c r="N14" i="16"/>
  <c r="M14" i="16"/>
  <c r="L14" i="16"/>
  <c r="K14" i="16"/>
  <c r="J14" i="16"/>
  <c r="I14" i="16"/>
  <c r="H14" i="16"/>
  <c r="G14" i="16"/>
  <c r="F14" i="16"/>
  <c r="E14" i="16"/>
  <c r="D13" i="4" s="1"/>
  <c r="D14" i="16"/>
  <c r="E13" i="4" s="1"/>
  <c r="C14" i="16"/>
  <c r="F13" i="4" s="1"/>
  <c r="D11" i="16"/>
  <c r="E11" i="16"/>
  <c r="D8" i="4" s="1"/>
  <c r="D12" i="4" s="1"/>
  <c r="F11" i="16"/>
  <c r="G11" i="16"/>
  <c r="H11" i="16"/>
  <c r="J11" i="16"/>
  <c r="K11" i="16"/>
  <c r="L11" i="16"/>
  <c r="M11" i="16"/>
  <c r="N11" i="16"/>
  <c r="C11" i="16"/>
  <c r="D7" i="16"/>
  <c r="E7" i="16"/>
  <c r="F7" i="16"/>
  <c r="G7" i="16"/>
  <c r="H7" i="16"/>
  <c r="I7" i="16"/>
  <c r="J7" i="16"/>
  <c r="K7" i="16"/>
  <c r="L7" i="16"/>
  <c r="M7" i="16"/>
  <c r="N7" i="16"/>
  <c r="C7" i="16"/>
  <c r="N5" i="16"/>
  <c r="M5" i="16"/>
  <c r="M9" i="16" s="1"/>
  <c r="M10" i="16" s="1"/>
  <c r="L5" i="16"/>
  <c r="K5" i="16"/>
  <c r="J5" i="16"/>
  <c r="I5" i="16"/>
  <c r="H5" i="16"/>
  <c r="G5" i="16"/>
  <c r="F5" i="16"/>
  <c r="E5" i="16"/>
  <c r="C54" i="10" s="1"/>
  <c r="D5" i="16"/>
  <c r="E68" i="16"/>
  <c r="F68" i="16"/>
  <c r="G68" i="16"/>
  <c r="H68" i="16"/>
  <c r="I68" i="16"/>
  <c r="J68" i="16"/>
  <c r="L68" i="16"/>
  <c r="N71" i="16"/>
  <c r="M71" i="16"/>
  <c r="L71" i="16"/>
  <c r="K71" i="16"/>
  <c r="J71" i="16"/>
  <c r="I71" i="16"/>
  <c r="H71" i="16"/>
  <c r="G71" i="16"/>
  <c r="F71" i="16"/>
  <c r="E71" i="16"/>
  <c r="D71" i="16"/>
  <c r="C71" i="16"/>
  <c r="C67" i="16"/>
  <c r="K75" i="16"/>
  <c r="E75" i="16"/>
  <c r="N67" i="16"/>
  <c r="K67" i="16"/>
  <c r="J67" i="16"/>
  <c r="I67" i="16"/>
  <c r="H67" i="16"/>
  <c r="G67" i="16"/>
  <c r="F67" i="16"/>
  <c r="E67" i="16"/>
  <c r="D67" i="16"/>
  <c r="D44" i="16"/>
  <c r="C56" i="16"/>
  <c r="E55" i="16"/>
  <c r="K51" i="16"/>
  <c r="C51" i="16"/>
  <c r="H27" i="1"/>
  <c r="I43" i="10"/>
  <c r="J43" i="10" s="1"/>
  <c r="G51" i="16"/>
  <c r="J51" i="16"/>
  <c r="B4" i="16"/>
  <c r="L46" i="1"/>
  <c r="M46" i="1" s="1"/>
  <c r="B53" i="1"/>
  <c r="B52" i="1" s="1"/>
  <c r="B51" i="1" s="1"/>
  <c r="B50" i="1" s="1"/>
  <c r="B49" i="1" s="1"/>
  <c r="B48" i="1" s="1"/>
  <c r="B47" i="1" s="1"/>
  <c r="B46" i="1" s="1"/>
  <c r="I26" i="10"/>
  <c r="C12" i="19"/>
  <c r="C13" i="19"/>
  <c r="C14" i="19"/>
  <c r="C15" i="19"/>
  <c r="C16" i="19"/>
  <c r="C17" i="19"/>
  <c r="C18" i="19"/>
  <c r="C19" i="19"/>
  <c r="C20" i="19"/>
  <c r="C21" i="19"/>
  <c r="C22" i="19"/>
  <c r="C9" i="19"/>
  <c r="C10" i="19"/>
  <c r="I12" i="10"/>
  <c r="AE53" i="17"/>
  <c r="AD53" i="17"/>
  <c r="AE52" i="17"/>
  <c r="AD52" i="17"/>
  <c r="AH49" i="17"/>
  <c r="AH52" i="17" s="1"/>
  <c r="AG49" i="17"/>
  <c r="AG52" i="17" s="1"/>
  <c r="AF49" i="17"/>
  <c r="AF52" i="17" s="1"/>
  <c r="AE48" i="17"/>
  <c r="AD48" i="17"/>
  <c r="AH44" i="17"/>
  <c r="AH48" i="17" s="1"/>
  <c r="AG44" i="17"/>
  <c r="AG48" i="17" s="1"/>
  <c r="AF44" i="17"/>
  <c r="AF48" i="17" s="1"/>
  <c r="AH39" i="17"/>
  <c r="AG39" i="17"/>
  <c r="AF39" i="17"/>
  <c r="AE39" i="17"/>
  <c r="AD39" i="17"/>
  <c r="P74" i="17"/>
  <c r="AF12" i="17"/>
  <c r="AH11" i="17"/>
  <c r="AG11" i="17"/>
  <c r="AF11" i="17"/>
  <c r="AE11" i="17"/>
  <c r="AH9" i="17"/>
  <c r="AG9" i="17"/>
  <c r="AE9" i="17"/>
  <c r="AD9" i="17"/>
  <c r="AC9" i="17"/>
  <c r="AB9" i="17"/>
  <c r="AA9" i="17"/>
  <c r="AH10" i="17"/>
  <c r="AG10" i="17"/>
  <c r="AF10" i="17"/>
  <c r="AE10" i="17"/>
  <c r="AD10" i="17"/>
  <c r="AC10" i="17"/>
  <c r="AB10" i="17"/>
  <c r="AA10" i="17"/>
  <c r="AH7" i="17"/>
  <c r="AH8" i="17" s="1"/>
  <c r="AG7" i="17"/>
  <c r="AG8" i="17" s="1"/>
  <c r="AF7" i="17"/>
  <c r="AF8" i="17" s="1"/>
  <c r="AE7" i="17"/>
  <c r="AE8" i="17" s="1"/>
  <c r="AD7" i="17"/>
  <c r="AD8" i="17" s="1"/>
  <c r="AC7" i="17"/>
  <c r="AC8" i="17" s="1"/>
  <c r="AB7" i="17"/>
  <c r="AB8" i="17" s="1"/>
  <c r="AB13" i="17" s="1"/>
  <c r="AB14" i="17" s="1"/>
  <c r="AA7" i="17"/>
  <c r="AA8" i="17" s="1"/>
  <c r="A2" i="16"/>
  <c r="A1" i="16"/>
  <c r="D87" i="17"/>
  <c r="E56" i="16"/>
  <c r="H56" i="16"/>
  <c r="K56" i="16"/>
  <c r="F56" i="16"/>
  <c r="C80" i="16"/>
  <c r="C64" i="16"/>
  <c r="I56" i="16"/>
  <c r="C82" i="16"/>
  <c r="C81" i="16"/>
  <c r="M56" i="16"/>
  <c r="N56" i="16"/>
  <c r="G56" i="16"/>
  <c r="J56" i="16"/>
  <c r="H21" i="1"/>
  <c r="G41" i="4"/>
  <c r="H41" i="4" s="1"/>
  <c r="I19" i="10"/>
  <c r="I32" i="10"/>
  <c r="N44" i="16"/>
  <c r="J44" i="16"/>
  <c r="F44" i="16"/>
  <c r="M44" i="16"/>
  <c r="K44" i="16"/>
  <c r="L44" i="16"/>
  <c r="G44" i="16"/>
  <c r="H44" i="16"/>
  <c r="I44" i="16"/>
  <c r="M64" i="16"/>
  <c r="E64" i="16"/>
  <c r="D56" i="16"/>
  <c r="E44" i="16"/>
  <c r="C68" i="16"/>
  <c r="C75" i="16"/>
  <c r="D68" i="16"/>
  <c r="D67" i="17"/>
  <c r="E25" i="4" s="1"/>
  <c r="L56" i="16"/>
  <c r="L67" i="16"/>
  <c r="M67" i="16"/>
  <c r="K68" i="16"/>
  <c r="M68" i="16"/>
  <c r="N68" i="16"/>
  <c r="G8" i="4"/>
  <c r="H20" i="4"/>
  <c r="H21" i="4"/>
  <c r="H8" i="4"/>
  <c r="H40" i="4"/>
  <c r="I20" i="4"/>
  <c r="I21" i="4"/>
  <c r="J20" i="4"/>
  <c r="J8" i="4"/>
  <c r="J21" i="4"/>
  <c r="K21" i="4"/>
  <c r="K24" i="4"/>
  <c r="K23" i="4"/>
  <c r="K20" i="4"/>
  <c r="K8" i="4"/>
  <c r="K5" i="4"/>
  <c r="L21" i="4"/>
  <c r="L23" i="4"/>
  <c r="L24" i="4"/>
  <c r="M21" i="4"/>
  <c r="L20" i="4"/>
  <c r="L5" i="4"/>
  <c r="L8" i="4"/>
  <c r="M23" i="4"/>
  <c r="M24" i="4"/>
  <c r="N21" i="4"/>
  <c r="M20" i="4"/>
  <c r="M8" i="4"/>
  <c r="M5" i="4"/>
  <c r="N23" i="4"/>
  <c r="N24" i="4"/>
  <c r="O21" i="4"/>
  <c r="N20" i="4"/>
  <c r="N8" i="4"/>
  <c r="O24" i="4"/>
  <c r="O23" i="4"/>
  <c r="O20" i="4"/>
  <c r="O8" i="4"/>
  <c r="P21" i="4"/>
  <c r="P24" i="4"/>
  <c r="P23" i="4"/>
  <c r="Q21" i="4"/>
  <c r="P20" i="4"/>
  <c r="P8" i="4"/>
  <c r="Q23" i="4"/>
  <c r="Q20" i="4"/>
  <c r="Q8" i="4"/>
  <c r="R21" i="4"/>
  <c r="R24" i="4"/>
  <c r="R23" i="4"/>
  <c r="R20" i="4"/>
  <c r="R8" i="4"/>
  <c r="S21" i="4"/>
  <c r="S24" i="4"/>
  <c r="S23" i="4"/>
  <c r="T21" i="4"/>
  <c r="S8" i="4"/>
  <c r="C43" i="16"/>
  <c r="C24" i="10"/>
  <c r="M52" i="16" l="1"/>
  <c r="D52" i="16"/>
  <c r="C52" i="16"/>
  <c r="G75" i="16"/>
  <c r="J75" i="16"/>
  <c r="D22" i="17"/>
  <c r="D18" i="16" s="1"/>
  <c r="C8" i="16"/>
  <c r="G52" i="16"/>
  <c r="AL12" i="23"/>
  <c r="G21" i="4"/>
  <c r="H22" i="17"/>
  <c r="H18" i="16" s="1"/>
  <c r="AJ12" i="23"/>
  <c r="AJ13" i="23" s="1"/>
  <c r="K22" i="17"/>
  <c r="K18" i="16" s="1"/>
  <c r="H37" i="17"/>
  <c r="H43" i="16" s="1"/>
  <c r="M22" i="17"/>
  <c r="M18" i="16" s="1"/>
  <c r="G37" i="17"/>
  <c r="G43" i="16" s="1"/>
  <c r="AH13" i="17"/>
  <c r="AH14" i="17" s="1"/>
  <c r="T8" i="4"/>
  <c r="J52" i="16"/>
  <c r="T24" i="4"/>
  <c r="I75" i="16"/>
  <c r="F52" i="16"/>
  <c r="F75" i="16"/>
  <c r="L52" i="16"/>
  <c r="I22" i="17"/>
  <c r="I18" i="16" s="1"/>
  <c r="D75" i="16"/>
  <c r="H75" i="16"/>
  <c r="K22" i="1"/>
  <c r="K52" i="16"/>
  <c r="D37" i="17"/>
  <c r="D43" i="16" s="1"/>
  <c r="F19" i="16"/>
  <c r="F20" i="16" s="1"/>
  <c r="D50" i="10"/>
  <c r="G22" i="17"/>
  <c r="G18" i="16" s="1"/>
  <c r="H50" i="17"/>
  <c r="H55" i="16" s="1"/>
  <c r="G12" i="4"/>
  <c r="G44" i="4" s="1"/>
  <c r="AA13" i="17"/>
  <c r="AA14" i="17" s="1"/>
  <c r="AD13" i="17"/>
  <c r="AD14" i="17" s="1"/>
  <c r="AG13" i="17"/>
  <c r="AG14" i="17" s="1"/>
  <c r="AF53" i="17"/>
  <c r="F26" i="4"/>
  <c r="G14" i="4"/>
  <c r="E22" i="17"/>
  <c r="E18" i="16" s="1"/>
  <c r="C8" i="10"/>
  <c r="L4" i="19" s="1"/>
  <c r="C20" i="1" a="1"/>
  <c r="C20" i="1" s="1"/>
  <c r="AA23" i="27"/>
  <c r="Z25" i="27"/>
  <c r="U50" i="23"/>
  <c r="U6" i="23"/>
  <c r="U94" i="23"/>
  <c r="U86" i="23"/>
  <c r="U82" i="23"/>
  <c r="U57" i="23"/>
  <c r="U53" i="23"/>
  <c r="U37" i="23"/>
  <c r="U18" i="23"/>
  <c r="U46" i="23"/>
  <c r="U54" i="23"/>
  <c r="U62" i="23"/>
  <c r="U78" i="23"/>
  <c r="U90" i="23"/>
  <c r="U8" i="23"/>
  <c r="U92" i="23"/>
  <c r="U88" i="23"/>
  <c r="U75" i="23"/>
  <c r="U67" i="23"/>
  <c r="U35" i="23"/>
  <c r="U23" i="23"/>
  <c r="U22" i="23"/>
  <c r="U48" i="23"/>
  <c r="U56" i="23"/>
  <c r="U64" i="23"/>
  <c r="U80" i="23"/>
  <c r="U5" i="23"/>
  <c r="U9" i="23"/>
  <c r="U97" i="23"/>
  <c r="U91" i="23"/>
  <c r="U73" i="23"/>
  <c r="U49" i="23"/>
  <c r="U41" i="23"/>
  <c r="U33" i="23"/>
  <c r="U27" i="23"/>
  <c r="U21" i="23"/>
  <c r="U15" i="23"/>
  <c r="U19" i="23"/>
  <c r="U29" i="23"/>
  <c r="U44" i="23"/>
  <c r="U60" i="23"/>
  <c r="U11" i="23"/>
  <c r="U98" i="23"/>
  <c r="U61" i="23"/>
  <c r="U45" i="23"/>
  <c r="U26" i="23"/>
  <c r="U47" i="23"/>
  <c r="U74" i="23"/>
  <c r="U42" i="23"/>
  <c r="U24" i="23"/>
  <c r="U25" i="23"/>
  <c r="U68" i="23"/>
  <c r="U84" i="23"/>
  <c r="U85" i="23"/>
  <c r="U69" i="23"/>
  <c r="U16" i="23"/>
  <c r="U70" i="23"/>
  <c r="U59" i="23"/>
  <c r="U30" i="23"/>
  <c r="U17" i="23"/>
  <c r="U4" i="23"/>
  <c r="U7" i="23"/>
  <c r="U99" i="23"/>
  <c r="U95" i="23"/>
  <c r="U87" i="23"/>
  <c r="U83" i="23"/>
  <c r="U79" i="23"/>
  <c r="U71" i="23"/>
  <c r="U65" i="23"/>
  <c r="U58" i="23"/>
  <c r="U38" i="23"/>
  <c r="U31" i="23"/>
  <c r="U28" i="23"/>
  <c r="U10" i="23"/>
  <c r="U96" i="23"/>
  <c r="U51" i="23"/>
  <c r="U43" i="23"/>
  <c r="U20" i="23"/>
  <c r="U93" i="23"/>
  <c r="U89" i="23"/>
  <c r="U81" i="23"/>
  <c r="U77" i="23"/>
  <c r="U66" i="23"/>
  <c r="U63" i="23"/>
  <c r="U52" i="23"/>
  <c r="U40" i="23"/>
  <c r="U76" i="23"/>
  <c r="U36" i="23"/>
  <c r="U34" i="23"/>
  <c r="U72" i="23"/>
  <c r="U55" i="23"/>
  <c r="U39" i="23"/>
  <c r="U32" i="23"/>
  <c r="I9" i="4"/>
  <c r="I41" i="4" s="1"/>
  <c r="U6" i="4"/>
  <c r="T11" i="4"/>
  <c r="T20" i="4" s="1"/>
  <c r="J40" i="1"/>
  <c r="F45" i="4"/>
  <c r="H46" i="4"/>
  <c r="G46" i="4"/>
  <c r="D65" i="4"/>
  <c r="S44" i="22"/>
  <c r="L22" i="17"/>
  <c r="L18" i="16" s="1"/>
  <c r="F5" i="4"/>
  <c r="C22" i="17"/>
  <c r="C18" i="16" s="1"/>
  <c r="B22" i="17"/>
  <c r="B18" i="16" s="1"/>
  <c r="AG53" i="17"/>
  <c r="AE13" i="17"/>
  <c r="AE14" i="17" s="1"/>
  <c r="AH53" i="17"/>
  <c r="AC13" i="17"/>
  <c r="AC14" i="17" s="1"/>
  <c r="L106" i="22"/>
  <c r="G106" i="22"/>
  <c r="D58" i="16"/>
  <c r="E107" i="22" s="1"/>
  <c r="J22" i="17"/>
  <c r="J18" i="16" s="1"/>
  <c r="F22" i="17"/>
  <c r="F18" i="16" s="1"/>
  <c r="O106" i="22"/>
  <c r="C55" i="10"/>
  <c r="C57" i="10"/>
  <c r="C27" i="10" s="1"/>
  <c r="E50" i="10"/>
  <c r="G50" i="10"/>
  <c r="O11" i="19"/>
  <c r="O9" i="19" s="1"/>
  <c r="F50" i="10"/>
  <c r="M6" i="19"/>
  <c r="M7" i="19"/>
  <c r="M8" i="19"/>
  <c r="M9" i="19"/>
  <c r="Z45" i="4"/>
  <c r="N47" i="4"/>
  <c r="AE47" i="4"/>
  <c r="P45" i="4"/>
  <c r="AA46" i="4"/>
  <c r="AA45" i="4"/>
  <c r="AC47" i="4"/>
  <c r="K46" i="4"/>
  <c r="R47" i="4"/>
  <c r="K45" i="4"/>
  <c r="I45" i="4"/>
  <c r="U46" i="4"/>
  <c r="O47" i="4"/>
  <c r="Y46" i="4"/>
  <c r="AF45" i="4"/>
  <c r="T47" i="4"/>
  <c r="M45" i="4"/>
  <c r="V46" i="4"/>
  <c r="AD45" i="4"/>
  <c r="Q46" i="4"/>
  <c r="G45" i="4"/>
  <c r="AB46" i="4"/>
  <c r="U47" i="4"/>
  <c r="AB45" i="4"/>
  <c r="L45" i="4"/>
  <c r="W46" i="4"/>
  <c r="AF47" i="4"/>
  <c r="P47" i="4"/>
  <c r="R45" i="4"/>
  <c r="M46" i="4"/>
  <c r="J47" i="4"/>
  <c r="AF46" i="4"/>
  <c r="Y47" i="4"/>
  <c r="W45" i="4"/>
  <c r="G47" i="4"/>
  <c r="R46" i="4"/>
  <c r="AA47" i="4"/>
  <c r="K47" i="4"/>
  <c r="V45" i="4"/>
  <c r="I46" i="4"/>
  <c r="Y45" i="4"/>
  <c r="T46" i="4"/>
  <c r="Q47" i="4"/>
  <c r="X45" i="4"/>
  <c r="H45" i="4"/>
  <c r="S46" i="4"/>
  <c r="AB47" i="4"/>
  <c r="L47" i="4"/>
  <c r="J45" i="4"/>
  <c r="AD47" i="4"/>
  <c r="AC45" i="4"/>
  <c r="X46" i="4"/>
  <c r="M47" i="4"/>
  <c r="S45" i="4"/>
  <c r="AD46" i="4"/>
  <c r="N46" i="4"/>
  <c r="W47" i="4"/>
  <c r="F47" i="4"/>
  <c r="N45" i="4"/>
  <c r="V47" i="4"/>
  <c r="Q45" i="4"/>
  <c r="L46" i="4"/>
  <c r="I47" i="4"/>
  <c r="T45" i="4"/>
  <c r="AE46" i="4"/>
  <c r="O46" i="4"/>
  <c r="X47" i="4"/>
  <c r="H47" i="4"/>
  <c r="AC46" i="4"/>
  <c r="Z47" i="4"/>
  <c r="U45" i="4"/>
  <c r="P46" i="4"/>
  <c r="AE45" i="4"/>
  <c r="O45" i="4"/>
  <c r="Z46" i="4"/>
  <c r="J46" i="4"/>
  <c r="S47" i="4"/>
  <c r="F46" i="4"/>
  <c r="D43" i="4"/>
  <c r="E58" i="16"/>
  <c r="F107" i="22" s="1"/>
  <c r="N106" i="22"/>
  <c r="I106" i="22"/>
  <c r="I45" i="22"/>
  <c r="E106" i="22"/>
  <c r="D19" i="16"/>
  <c r="D20" i="16" s="1"/>
  <c r="M106" i="22"/>
  <c r="G16" i="16"/>
  <c r="H106" i="22"/>
  <c r="E35" i="4"/>
  <c r="E32" i="4"/>
  <c r="G58" i="16"/>
  <c r="H107" i="22" s="1"/>
  <c r="C4" i="16"/>
  <c r="C91" i="16" s="1"/>
  <c r="B91" i="16"/>
  <c r="F106" i="22"/>
  <c r="D7" i="4"/>
  <c r="D35" i="4"/>
  <c r="D106" i="22"/>
  <c r="J58" i="16"/>
  <c r="K107" i="22" s="1"/>
  <c r="F37" i="10"/>
  <c r="F36" i="10"/>
  <c r="F35" i="10"/>
  <c r="N7" i="19"/>
  <c r="N8" i="19"/>
  <c r="I24" i="10"/>
  <c r="J24" i="10" s="1"/>
  <c r="N9" i="19"/>
  <c r="K106" i="22"/>
  <c r="I24" i="4"/>
  <c r="H24" i="4"/>
  <c r="J24" i="4"/>
  <c r="G45" i="22"/>
  <c r="G47" i="22" s="1"/>
  <c r="O45" i="22"/>
  <c r="O47" i="22" s="1"/>
  <c r="N45" i="22"/>
  <c r="N47" i="22" s="1"/>
  <c r="M45" i="22"/>
  <c r="M47" i="22" s="1"/>
  <c r="L45" i="22"/>
  <c r="L47" i="22" s="1"/>
  <c r="I47" i="22"/>
  <c r="H45" i="22"/>
  <c r="H47" i="22" s="1"/>
  <c r="G20" i="22" s="1"/>
  <c r="K45" i="22"/>
  <c r="K47" i="22" s="1"/>
  <c r="J45" i="22"/>
  <c r="J47" i="22" s="1"/>
  <c r="E8" i="22"/>
  <c r="B6" i="16"/>
  <c r="Q11" i="19"/>
  <c r="H50" i="10"/>
  <c r="C25" i="10"/>
  <c r="B26" i="16"/>
  <c r="B29" i="16" s="1"/>
  <c r="E10" i="10" a="1"/>
  <c r="E10" i="10" s="1"/>
  <c r="N4" i="19"/>
  <c r="D10" i="10" a="1"/>
  <c r="D10" i="10" s="1"/>
  <c r="M4" i="19"/>
  <c r="I37" i="17"/>
  <c r="I43" i="16" s="1"/>
  <c r="C16" i="16"/>
  <c r="J37" i="17"/>
  <c r="J43" i="16" s="1"/>
  <c r="D26" i="4"/>
  <c r="D34" i="4" s="1"/>
  <c r="M35" i="16"/>
  <c r="M36" i="16" s="1"/>
  <c r="F35" i="16"/>
  <c r="F36" i="16" s="1"/>
  <c r="F34" i="16"/>
  <c r="N34" i="16"/>
  <c r="L58" i="16"/>
  <c r="M107" i="22" s="1"/>
  <c r="I9" i="22"/>
  <c r="S45" i="22" s="1"/>
  <c r="M58" i="16"/>
  <c r="N107" i="22" s="1"/>
  <c r="H12" i="4"/>
  <c r="H44" i="4" s="1"/>
  <c r="I40" i="4"/>
  <c r="C19" i="16"/>
  <c r="H39" i="4"/>
  <c r="H38" i="4"/>
  <c r="I10" i="22"/>
  <c r="E5" i="4"/>
  <c r="M37" i="17"/>
  <c r="M43" i="16" s="1"/>
  <c r="N37" i="17"/>
  <c r="N43" i="16" s="1"/>
  <c r="L6" i="16"/>
  <c r="K9" i="16"/>
  <c r="K10" i="16" s="1"/>
  <c r="F55" i="1"/>
  <c r="C58" i="16"/>
  <c r="K37" i="17"/>
  <c r="K43" i="16" s="1"/>
  <c r="E37" i="17"/>
  <c r="E43" i="16" s="1"/>
  <c r="L37" i="17"/>
  <c r="L43" i="16" s="1"/>
  <c r="G24" i="16"/>
  <c r="G22" i="16"/>
  <c r="C24" i="16"/>
  <c r="B25" i="16" s="1"/>
  <c r="F17" i="4"/>
  <c r="L35" i="16"/>
  <c r="L36" i="16" s="1"/>
  <c r="L34" i="16"/>
  <c r="K58" i="16"/>
  <c r="L107" i="22" s="1"/>
  <c r="F6" i="16"/>
  <c r="G35" i="16"/>
  <c r="G36" i="16" s="1"/>
  <c r="G34" i="16"/>
  <c r="AK12" i="23"/>
  <c r="D16" i="16"/>
  <c r="G19" i="16"/>
  <c r="G20" i="16" s="1"/>
  <c r="H35" i="16"/>
  <c r="H36" i="16" s="1"/>
  <c r="H34" i="16"/>
  <c r="D34" i="16"/>
  <c r="H24" i="16"/>
  <c r="D35" i="16"/>
  <c r="D36" i="16" s="1"/>
  <c r="E8" i="16"/>
  <c r="N24" i="16"/>
  <c r="N25" i="16" s="1"/>
  <c r="E24" i="4"/>
  <c r="J6" i="16"/>
  <c r="L8" i="16"/>
  <c r="D8" i="16"/>
  <c r="K26" i="16"/>
  <c r="K29" i="16" s="1"/>
  <c r="C17" i="10"/>
  <c r="F3" i="23" s="1"/>
  <c r="L26" i="16"/>
  <c r="L29" i="16" s="1"/>
  <c r="M16" i="16"/>
  <c r="M22" i="16"/>
  <c r="N35" i="16"/>
  <c r="N36" i="16" s="1"/>
  <c r="K24" i="16"/>
  <c r="K35" i="16"/>
  <c r="K36" i="16" s="1"/>
  <c r="K34" i="16"/>
  <c r="M8" i="16"/>
  <c r="M24" i="16"/>
  <c r="J26" i="16"/>
  <c r="J29" i="16" s="1"/>
  <c r="D9" i="16"/>
  <c r="D10" i="16" s="1"/>
  <c r="H22" i="16"/>
  <c r="F58" i="16"/>
  <c r="E6" i="16"/>
  <c r="D5" i="4" s="1"/>
  <c r="K8" i="16"/>
  <c r="L24" i="16"/>
  <c r="M19" i="16"/>
  <c r="M20" i="16" s="1"/>
  <c r="H8" i="16"/>
  <c r="K19" i="16"/>
  <c r="K20" i="16" s="1"/>
  <c r="E16" i="16"/>
  <c r="E19" i="16"/>
  <c r="E20" i="16" s="1"/>
  <c r="H12" i="16"/>
  <c r="E34" i="16"/>
  <c r="F16" i="16"/>
  <c r="N58" i="16"/>
  <c r="N9" i="16"/>
  <c r="N10" i="16" s="1"/>
  <c r="L12" i="16"/>
  <c r="K12" i="16"/>
  <c r="D26" i="16"/>
  <c r="D29" i="16" s="1"/>
  <c r="G9" i="16"/>
  <c r="G10" i="16" s="1"/>
  <c r="K6" i="16"/>
  <c r="M26" i="16"/>
  <c r="M29" i="16" s="1"/>
  <c r="H19" i="16"/>
  <c r="H20" i="16" s="1"/>
  <c r="F12" i="16"/>
  <c r="E9" i="16"/>
  <c r="E10" i="16" s="1"/>
  <c r="M12" i="16"/>
  <c r="E22" i="16"/>
  <c r="H16" i="16"/>
  <c r="K16" i="16"/>
  <c r="E35" i="16"/>
  <c r="E36" i="16" s="1"/>
  <c r="D6" i="16"/>
  <c r="H9" i="16"/>
  <c r="H10" i="16" s="1"/>
  <c r="N8" i="16"/>
  <c r="D22" i="16"/>
  <c r="K22" i="16"/>
  <c r="H58" i="16"/>
  <c r="I107" i="22" s="1"/>
  <c r="L9" i="16"/>
  <c r="L10" i="16" s="1"/>
  <c r="N19" i="16"/>
  <c r="N20" i="16" s="1"/>
  <c r="L22" i="16"/>
  <c r="M34" i="16"/>
  <c r="I58" i="16"/>
  <c r="J107" i="22" s="1"/>
  <c r="C35" i="16"/>
  <c r="C36" i="16" s="1"/>
  <c r="F8" i="4"/>
  <c r="F16" i="4"/>
  <c r="C34" i="16"/>
  <c r="C9" i="16"/>
  <c r="C10" i="16" s="1"/>
  <c r="F35" i="4"/>
  <c r="G25" i="4"/>
  <c r="H25" i="4" s="1"/>
  <c r="I25" i="4" s="1"/>
  <c r="D32" i="4"/>
  <c r="J35" i="16"/>
  <c r="J36" i="16" s="1"/>
  <c r="I34" i="16"/>
  <c r="I35" i="16"/>
  <c r="I36" i="16" s="1"/>
  <c r="C24" i="1"/>
  <c r="C26" i="16"/>
  <c r="C29" i="16" s="1"/>
  <c r="D24" i="16"/>
  <c r="E17" i="4"/>
  <c r="F26" i="16"/>
  <c r="F29" i="16" s="1"/>
  <c r="E26" i="16"/>
  <c r="E29" i="16" s="1"/>
  <c r="F9" i="16"/>
  <c r="F10" i="16" s="1"/>
  <c r="M6" i="16"/>
  <c r="N22" i="16"/>
  <c r="N6" i="16"/>
  <c r="L19" i="16"/>
  <c r="L20" i="16" s="1"/>
  <c r="L16" i="16"/>
  <c r="E8" i="4"/>
  <c r="D12" i="16"/>
  <c r="F24" i="16"/>
  <c r="E87" i="17"/>
  <c r="F32" i="4"/>
  <c r="G6" i="16"/>
  <c r="C6" i="16"/>
  <c r="AF13" i="17"/>
  <c r="AF14" i="17" s="1"/>
  <c r="G8" i="16"/>
  <c r="C12" i="16"/>
  <c r="B13" i="16" s="1"/>
  <c r="G12" i="16"/>
  <c r="E24" i="16"/>
  <c r="G26" i="16"/>
  <c r="G29" i="16" s="1"/>
  <c r="F37" i="17"/>
  <c r="F43" i="16" s="1"/>
  <c r="J8" i="16"/>
  <c r="F8" i="16"/>
  <c r="N16" i="16"/>
  <c r="N12" i="16"/>
  <c r="N13" i="16" s="1"/>
  <c r="J16" i="16"/>
  <c r="F22" i="16"/>
  <c r="E12" i="16"/>
  <c r="L50" i="1"/>
  <c r="I6" i="16"/>
  <c r="H26" i="16"/>
  <c r="H29" i="16" s="1"/>
  <c r="Q49" i="1"/>
  <c r="Q50" i="1"/>
  <c r="Q52" i="1"/>
  <c r="F57" i="1"/>
  <c r="Q53" i="1"/>
  <c r="Q48" i="1"/>
  <c r="F58" i="1"/>
  <c r="Q54" i="1"/>
  <c r="Q51" i="1"/>
  <c r="J34" i="16"/>
  <c r="F33" i="10"/>
  <c r="F34" i="10"/>
  <c r="E23" i="1"/>
  <c r="E24" i="1"/>
  <c r="H46" i="1" a="1"/>
  <c r="R53" i="1" s="1"/>
  <c r="H28" i="1"/>
  <c r="J39" i="10"/>
  <c r="L49" i="1"/>
  <c r="K23" i="1"/>
  <c r="L52" i="1"/>
  <c r="P4" i="19"/>
  <c r="E26" i="1"/>
  <c r="E20" i="1"/>
  <c r="M53" i="1"/>
  <c r="G52" i="10"/>
  <c r="H52" i="10"/>
  <c r="L54" i="1"/>
  <c r="K31" i="1"/>
  <c r="M50" i="1"/>
  <c r="L53" i="1"/>
  <c r="M48" i="1"/>
  <c r="I8" i="16"/>
  <c r="I22" i="16"/>
  <c r="H10" i="10" a="1"/>
  <c r="H10" i="10" s="1"/>
  <c r="H34" i="10" s="1"/>
  <c r="J22" i="16"/>
  <c r="K24" i="1"/>
  <c r="M52" i="1"/>
  <c r="M55" i="1"/>
  <c r="H47" i="10"/>
  <c r="D52" i="10"/>
  <c r="J12" i="16"/>
  <c r="E25" i="1"/>
  <c r="M49" i="1"/>
  <c r="C46" i="1" a="1"/>
  <c r="N48" i="1" s="1"/>
  <c r="K25" i="1"/>
  <c r="K26" i="1" s="1"/>
  <c r="L47" i="1"/>
  <c r="L55" i="1"/>
  <c r="L51" i="1"/>
  <c r="M47" i="1"/>
  <c r="E21" i="1"/>
  <c r="K30" i="1"/>
  <c r="L48" i="1"/>
  <c r="M54" i="1"/>
  <c r="M51" i="1"/>
  <c r="J24" i="16"/>
  <c r="H6" i="16"/>
  <c r="I24" i="16"/>
  <c r="I9" i="16"/>
  <c r="I10" i="16" s="1"/>
  <c r="I16" i="16"/>
  <c r="I19" i="16"/>
  <c r="I20" i="16" s="1"/>
  <c r="I12" i="16"/>
  <c r="J9" i="16"/>
  <c r="J10" i="16" s="1"/>
  <c r="J19" i="16"/>
  <c r="J20" i="16" s="1"/>
  <c r="I26" i="16"/>
  <c r="I29" i="16" s="1"/>
  <c r="E52" i="10"/>
  <c r="C52" i="10"/>
  <c r="N108" i="22" l="1"/>
  <c r="E44" i="4"/>
  <c r="K18" i="23"/>
  <c r="K3" i="23"/>
  <c r="K1767" i="23"/>
  <c r="K1763" i="23"/>
  <c r="K1759" i="23"/>
  <c r="K1755" i="23"/>
  <c r="K1751" i="23"/>
  <c r="K1747" i="23"/>
  <c r="K1743" i="23"/>
  <c r="K1739" i="23"/>
  <c r="K1735" i="23"/>
  <c r="K1731" i="23"/>
  <c r="K1727" i="23"/>
  <c r="K1723" i="23"/>
  <c r="K1719" i="23"/>
  <c r="K1715" i="23"/>
  <c r="K1711" i="23"/>
  <c r="K1707" i="23"/>
  <c r="K1703" i="23"/>
  <c r="K1699" i="23"/>
  <c r="K1695" i="23"/>
  <c r="K1691" i="23"/>
  <c r="K1687" i="23"/>
  <c r="K1683" i="23"/>
  <c r="K1679" i="23"/>
  <c r="K1675" i="23"/>
  <c r="K1671" i="23"/>
  <c r="K1667" i="23"/>
  <c r="K1663" i="23"/>
  <c r="K1659" i="23"/>
  <c r="K1655" i="23"/>
  <c r="K1651" i="23"/>
  <c r="K1647" i="23"/>
  <c r="K1643" i="23"/>
  <c r="K1639" i="23"/>
  <c r="K1635" i="23"/>
  <c r="K1631" i="23"/>
  <c r="K1627" i="23"/>
  <c r="K1623" i="23"/>
  <c r="K1619" i="23"/>
  <c r="K1615" i="23"/>
  <c r="K1611" i="23"/>
  <c r="K1607" i="23"/>
  <c r="K1603" i="23"/>
  <c r="K1599" i="23"/>
  <c r="K1595" i="23"/>
  <c r="K1591" i="23"/>
  <c r="K1587" i="23"/>
  <c r="K1583" i="23"/>
  <c r="K1579" i="23"/>
  <c r="K1575" i="23"/>
  <c r="K1571" i="23"/>
  <c r="K1567" i="23"/>
  <c r="K1563" i="23"/>
  <c r="K1559" i="23"/>
  <c r="K1555" i="23"/>
  <c r="K1551" i="23"/>
  <c r="K1547" i="23"/>
  <c r="K1543" i="23"/>
  <c r="K1539" i="23"/>
  <c r="K1535" i="23"/>
  <c r="K1531" i="23"/>
  <c r="K1527" i="23"/>
  <c r="K1523" i="23"/>
  <c r="K1519" i="23"/>
  <c r="K1515" i="23"/>
  <c r="K1511" i="23"/>
  <c r="K1507" i="23"/>
  <c r="K1503" i="23"/>
  <c r="K1499" i="23"/>
  <c r="K1495" i="23"/>
  <c r="K1491" i="23"/>
  <c r="K1487" i="23"/>
  <c r="K1483" i="23"/>
  <c r="K1479" i="23"/>
  <c r="K1475" i="23"/>
  <c r="K1471" i="23"/>
  <c r="K1467" i="23"/>
  <c r="K1463" i="23"/>
  <c r="K1459" i="23"/>
  <c r="K1455" i="23"/>
  <c r="K1451" i="23"/>
  <c r="K1447" i="23"/>
  <c r="K1443" i="23"/>
  <c r="K1439" i="23"/>
  <c r="K1435" i="23"/>
  <c r="K1431" i="23"/>
  <c r="K1427" i="23"/>
  <c r="K1423" i="23"/>
  <c r="K1419" i="23"/>
  <c r="K1415" i="23"/>
  <c r="K1411" i="23"/>
  <c r="K1407" i="23"/>
  <c r="K1403" i="23"/>
  <c r="K1399" i="23"/>
  <c r="K1395" i="23"/>
  <c r="K1391" i="23"/>
  <c r="K1387" i="23"/>
  <c r="K1383" i="23"/>
  <c r="K1379" i="23"/>
  <c r="K1375" i="23"/>
  <c r="K1371" i="23"/>
  <c r="K1367" i="23"/>
  <c r="K1363" i="23"/>
  <c r="K1359" i="23"/>
  <c r="K1355" i="23"/>
  <c r="K1351" i="23"/>
  <c r="K1347" i="23"/>
  <c r="K1343" i="23"/>
  <c r="K1339" i="23"/>
  <c r="K1335" i="23"/>
  <c r="K1331" i="23"/>
  <c r="K1327" i="23"/>
  <c r="K1323" i="23"/>
  <c r="K1319" i="23"/>
  <c r="K1315" i="23"/>
  <c r="K1311" i="23"/>
  <c r="K1307" i="23"/>
  <c r="K1303" i="23"/>
  <c r="K1299" i="23"/>
  <c r="K1295" i="23"/>
  <c r="K1291" i="23"/>
  <c r="K1287" i="23"/>
  <c r="K1283" i="23"/>
  <c r="K1279" i="23"/>
  <c r="K1275" i="23"/>
  <c r="K1271" i="23"/>
  <c r="K1267" i="23"/>
  <c r="K1263" i="23"/>
  <c r="K1259" i="23"/>
  <c r="K1255" i="23"/>
  <c r="K1251" i="23"/>
  <c r="K1247" i="23"/>
  <c r="K1243" i="23"/>
  <c r="K1239" i="23"/>
  <c r="K1235" i="23"/>
  <c r="K1231" i="23"/>
  <c r="K1227" i="23"/>
  <c r="K1223" i="23"/>
  <c r="K1219" i="23"/>
  <c r="K1215" i="23"/>
  <c r="K1211" i="23"/>
  <c r="K1207" i="23"/>
  <c r="K1203" i="23"/>
  <c r="K1199" i="23"/>
  <c r="K1195" i="23"/>
  <c r="K1191" i="23"/>
  <c r="K1187" i="23"/>
  <c r="K1183" i="23"/>
  <c r="K1179" i="23"/>
  <c r="K1175" i="23"/>
  <c r="K1171" i="23"/>
  <c r="K1167" i="23"/>
  <c r="K1163" i="23"/>
  <c r="K1159" i="23"/>
  <c r="K1155" i="23"/>
  <c r="K1151" i="23"/>
  <c r="K1147" i="23"/>
  <c r="K1143" i="23"/>
  <c r="K1139" i="23"/>
  <c r="K1135" i="23"/>
  <c r="K1131" i="23"/>
  <c r="K1127" i="23"/>
  <c r="K1123" i="23"/>
  <c r="K1119" i="23"/>
  <c r="K1115" i="23"/>
  <c r="K1111" i="23"/>
  <c r="K1107" i="23"/>
  <c r="K1770" i="23"/>
  <c r="K1766" i="23"/>
  <c r="K1762" i="23"/>
  <c r="K1758" i="23"/>
  <c r="K1754" i="23"/>
  <c r="K1750" i="23"/>
  <c r="K1746" i="23"/>
  <c r="K1742" i="23"/>
  <c r="K1738" i="23"/>
  <c r="K1734" i="23"/>
  <c r="K1730" i="23"/>
  <c r="K1726" i="23"/>
  <c r="K1722" i="23"/>
  <c r="K1718" i="23"/>
  <c r="K1714" i="23"/>
  <c r="K1710" i="23"/>
  <c r="K1706" i="23"/>
  <c r="K1702" i="23"/>
  <c r="K1698" i="23"/>
  <c r="K1694" i="23"/>
  <c r="K1690" i="23"/>
  <c r="K1686" i="23"/>
  <c r="K1682" i="23"/>
  <c r="K1678" i="23"/>
  <c r="K1674" i="23"/>
  <c r="K1670" i="23"/>
  <c r="K1666" i="23"/>
  <c r="K1662" i="23"/>
  <c r="K1658" i="23"/>
  <c r="K1654" i="23"/>
  <c r="K1650" i="23"/>
  <c r="K1646" i="23"/>
  <c r="K1642" i="23"/>
  <c r="K1638" i="23"/>
  <c r="K1634" i="23"/>
  <c r="K1630" i="23"/>
  <c r="K1626" i="23"/>
  <c r="K1622" i="23"/>
  <c r="K1618" i="23"/>
  <c r="K1614" i="23"/>
  <c r="K1610" i="23"/>
  <c r="K1606" i="23"/>
  <c r="K1602" i="23"/>
  <c r="K1598" i="23"/>
  <c r="K1594" i="23"/>
  <c r="K1590" i="23"/>
  <c r="K1586" i="23"/>
  <c r="K1582" i="23"/>
  <c r="K1578" i="23"/>
  <c r="K1574" i="23"/>
  <c r="K1570" i="23"/>
  <c r="K1566" i="23"/>
  <c r="K1562" i="23"/>
  <c r="K1558" i="23"/>
  <c r="K1554" i="23"/>
  <c r="K1550" i="23"/>
  <c r="K1546" i="23"/>
  <c r="K1542" i="23"/>
  <c r="K1538" i="23"/>
  <c r="K1534" i="23"/>
  <c r="K1530" i="23"/>
  <c r="K1526" i="23"/>
  <c r="K1522" i="23"/>
  <c r="K1518" i="23"/>
  <c r="K1514" i="23"/>
  <c r="K1510" i="23"/>
  <c r="K1506" i="23"/>
  <c r="K1502" i="23"/>
  <c r="K1498" i="23"/>
  <c r="K1494" i="23"/>
  <c r="K1490" i="23"/>
  <c r="K1486" i="23"/>
  <c r="K1482" i="23"/>
  <c r="K1478" i="23"/>
  <c r="K1474" i="23"/>
  <c r="K1470" i="23"/>
  <c r="K1466" i="23"/>
  <c r="K1462" i="23"/>
  <c r="K1458" i="23"/>
  <c r="K1454" i="23"/>
  <c r="K1450" i="23"/>
  <c r="K1446" i="23"/>
  <c r="K1442" i="23"/>
  <c r="K1438" i="23"/>
  <c r="K1434" i="23"/>
  <c r="K1430" i="23"/>
  <c r="K1426" i="23"/>
  <c r="K1422" i="23"/>
  <c r="K1418" i="23"/>
  <c r="K1414" i="23"/>
  <c r="K1410" i="23"/>
  <c r="K1406" i="23"/>
  <c r="K1402" i="23"/>
  <c r="K1398" i="23"/>
  <c r="K1394" i="23"/>
  <c r="K1390" i="23"/>
  <c r="K1386" i="23"/>
  <c r="K1382" i="23"/>
  <c r="K1378" i="23"/>
  <c r="K1374" i="23"/>
  <c r="K1370" i="23"/>
  <c r="K1366" i="23"/>
  <c r="K1362" i="23"/>
  <c r="K1358" i="23"/>
  <c r="K1354" i="23"/>
  <c r="K1350" i="23"/>
  <c r="K1346" i="23"/>
  <c r="K1342" i="23"/>
  <c r="K1338" i="23"/>
  <c r="K1334" i="23"/>
  <c r="K1330" i="23"/>
  <c r="K1326" i="23"/>
  <c r="K1322" i="23"/>
  <c r="K1318" i="23"/>
  <c r="K1314" i="23"/>
  <c r="K1310" i="23"/>
  <c r="K1306" i="23"/>
  <c r="K1302" i="23"/>
  <c r="K1298" i="23"/>
  <c r="K1294" i="23"/>
  <c r="K1290" i="23"/>
  <c r="K1286" i="23"/>
  <c r="K1282" i="23"/>
  <c r="K1278" i="23"/>
  <c r="K1274" i="23"/>
  <c r="K1270" i="23"/>
  <c r="K1266" i="23"/>
  <c r="K1262" i="23"/>
  <c r="K1258" i="23"/>
  <c r="K1254" i="23"/>
  <c r="K1250" i="23"/>
  <c r="K1246" i="23"/>
  <c r="K1242" i="23"/>
  <c r="K1238" i="23"/>
  <c r="K1234" i="23"/>
  <c r="K1230" i="23"/>
  <c r="K1226" i="23"/>
  <c r="K1222" i="23"/>
  <c r="K1218" i="23"/>
  <c r="K1214" i="23"/>
  <c r="K1210" i="23"/>
  <c r="K1206" i="23"/>
  <c r="K1202" i="23"/>
  <c r="K1198" i="23"/>
  <c r="K1194" i="23"/>
  <c r="K1190" i="23"/>
  <c r="K1186" i="23"/>
  <c r="K1182" i="23"/>
  <c r="K1178" i="23"/>
  <c r="K1174" i="23"/>
  <c r="K1170" i="23"/>
  <c r="K1166" i="23"/>
  <c r="K1162" i="23"/>
  <c r="K1158" i="23"/>
  <c r="K1154" i="23"/>
  <c r="K1150" i="23"/>
  <c r="K1146" i="23"/>
  <c r="K1142" i="23"/>
  <c r="K1769" i="23"/>
  <c r="K1761" i="23"/>
  <c r="K1753" i="23"/>
  <c r="K1745" i="23"/>
  <c r="K1737" i="23"/>
  <c r="K1729" i="23"/>
  <c r="K1721" i="23"/>
  <c r="K1713" i="23"/>
  <c r="K1705" i="23"/>
  <c r="K1697" i="23"/>
  <c r="K1689" i="23"/>
  <c r="K1681" i="23"/>
  <c r="K1673" i="23"/>
  <c r="K1665" i="23"/>
  <c r="K1657" i="23"/>
  <c r="K1649" i="23"/>
  <c r="K1641" i="23"/>
  <c r="K1633" i="23"/>
  <c r="K1625" i="23"/>
  <c r="K1617" i="23"/>
  <c r="K1609" i="23"/>
  <c r="K1601" i="23"/>
  <c r="K1593" i="23"/>
  <c r="K1585" i="23"/>
  <c r="K1577" i="23"/>
  <c r="K1569" i="23"/>
  <c r="K1561" i="23"/>
  <c r="K1553" i="23"/>
  <c r="K1545" i="23"/>
  <c r="K1537" i="23"/>
  <c r="K1529" i="23"/>
  <c r="K1521" i="23"/>
  <c r="K1513" i="23"/>
  <c r="K1505" i="23"/>
  <c r="K1497" i="23"/>
  <c r="K1489" i="23"/>
  <c r="K1481" i="23"/>
  <c r="K1473" i="23"/>
  <c r="K1465" i="23"/>
  <c r="K1457" i="23"/>
  <c r="K1449" i="23"/>
  <c r="K1441" i="23"/>
  <c r="K1433" i="23"/>
  <c r="K1425" i="23"/>
  <c r="K1417" i="23"/>
  <c r="K1409" i="23"/>
  <c r="K1401" i="23"/>
  <c r="K1393" i="23"/>
  <c r="K1385" i="23"/>
  <c r="K1377" i="23"/>
  <c r="K1369" i="23"/>
  <c r="K1361" i="23"/>
  <c r="K1353" i="23"/>
  <c r="K1345" i="23"/>
  <c r="K1337" i="23"/>
  <c r="K1329" i="23"/>
  <c r="K1321" i="23"/>
  <c r="K1313" i="23"/>
  <c r="K1305" i="23"/>
  <c r="K1297" i="23"/>
  <c r="K1289" i="23"/>
  <c r="K1281" i="23"/>
  <c r="K1273" i="23"/>
  <c r="K1265" i="23"/>
  <c r="K1257" i="23"/>
  <c r="K1249" i="23"/>
  <c r="K1241" i="23"/>
  <c r="K1233" i="23"/>
  <c r="K1225" i="23"/>
  <c r="K1217" i="23"/>
  <c r="K1209" i="23"/>
  <c r="K1201" i="23"/>
  <c r="K1193" i="23"/>
  <c r="K1185" i="23"/>
  <c r="K1177" i="23"/>
  <c r="K1169" i="23"/>
  <c r="K1161" i="23"/>
  <c r="K1153" i="23"/>
  <c r="K1145" i="23"/>
  <c r="K1138" i="23"/>
  <c r="K1133" i="23"/>
  <c r="K1128" i="23"/>
  <c r="K1122" i="23"/>
  <c r="K1117" i="23"/>
  <c r="K1112" i="23"/>
  <c r="K1106" i="23"/>
  <c r="K1102" i="23"/>
  <c r="K1098" i="23"/>
  <c r="K1094" i="23"/>
  <c r="K1090" i="23"/>
  <c r="K1086" i="23"/>
  <c r="K1082" i="23"/>
  <c r="K1078" i="23"/>
  <c r="K1074" i="23"/>
  <c r="K1070" i="23"/>
  <c r="K1066" i="23"/>
  <c r="K1062" i="23"/>
  <c r="K1058" i="23"/>
  <c r="K1054" i="23"/>
  <c r="K1050" i="23"/>
  <c r="K1046" i="23"/>
  <c r="K1042" i="23"/>
  <c r="K1038" i="23"/>
  <c r="K1034" i="23"/>
  <c r="K1030" i="23"/>
  <c r="K1026" i="23"/>
  <c r="K1022" i="23"/>
  <c r="K1018" i="23"/>
  <c r="K1014" i="23"/>
  <c r="K1010" i="23"/>
  <c r="K1006" i="23"/>
  <c r="K1002" i="23"/>
  <c r="K998" i="23"/>
  <c r="K994" i="23"/>
  <c r="K990" i="23"/>
  <c r="K986" i="23"/>
  <c r="K982" i="23"/>
  <c r="K978" i="23"/>
  <c r="K974" i="23"/>
  <c r="K970" i="23"/>
  <c r="K966" i="23"/>
  <c r="K962" i="23"/>
  <c r="K958" i="23"/>
  <c r="K954" i="23"/>
  <c r="K950" i="23"/>
  <c r="K946" i="23"/>
  <c r="K942" i="23"/>
  <c r="K938" i="23"/>
  <c r="K934" i="23"/>
  <c r="K930" i="23"/>
  <c r="K926" i="23"/>
  <c r="K922" i="23"/>
  <c r="K918" i="23"/>
  <c r="K914" i="23"/>
  <c r="K910" i="23"/>
  <c r="K906" i="23"/>
  <c r="K902" i="23"/>
  <c r="K898" i="23"/>
  <c r="K894" i="23"/>
  <c r="K890" i="23"/>
  <c r="K886" i="23"/>
  <c r="K882" i="23"/>
  <c r="K878" i="23"/>
  <c r="K874" i="23"/>
  <c r="K870" i="23"/>
  <c r="K866" i="23"/>
  <c r="K862" i="23"/>
  <c r="K858" i="23"/>
  <c r="K854" i="23"/>
  <c r="K850" i="23"/>
  <c r="K846" i="23"/>
  <c r="K842" i="23"/>
  <c r="K838" i="23"/>
  <c r="K834" i="23"/>
  <c r="K830" i="23"/>
  <c r="K826" i="23"/>
  <c r="K822" i="23"/>
  <c r="K818" i="23"/>
  <c r="K814" i="23"/>
  <c r="K810" i="23"/>
  <c r="K806" i="23"/>
  <c r="K802" i="23"/>
  <c r="K798" i="23"/>
  <c r="K794" i="23"/>
  <c r="K790" i="23"/>
  <c r="K786" i="23"/>
  <c r="K782" i="23"/>
  <c r="K778" i="23"/>
  <c r="K774" i="23"/>
  <c r="K770" i="23"/>
  <c r="K766" i="23"/>
  <c r="K762" i="23"/>
  <c r="K758" i="23"/>
  <c r="K754" i="23"/>
  <c r="K750" i="23"/>
  <c r="K746" i="23"/>
  <c r="K742" i="23"/>
  <c r="K738" i="23"/>
  <c r="K734" i="23"/>
  <c r="K730" i="23"/>
  <c r="K726" i="23"/>
  <c r="K722" i="23"/>
  <c r="K718" i="23"/>
  <c r="K714" i="23"/>
  <c r="K710" i="23"/>
  <c r="K706" i="23"/>
  <c r="K702" i="23"/>
  <c r="K698" i="23"/>
  <c r="K694" i="23"/>
  <c r="K690" i="23"/>
  <c r="K686" i="23"/>
  <c r="K682" i="23"/>
  <c r="K678" i="23"/>
  <c r="K674" i="23"/>
  <c r="K670" i="23"/>
  <c r="K666" i="23"/>
  <c r="K662" i="23"/>
  <c r="K658" i="23"/>
  <c r="K654" i="23"/>
  <c r="K650" i="23"/>
  <c r="K646" i="23"/>
  <c r="K642" i="23"/>
  <c r="K638" i="23"/>
  <c r="K634" i="23"/>
  <c r="K630" i="23"/>
  <c r="K626" i="23"/>
  <c r="K622" i="23"/>
  <c r="K618" i="23"/>
  <c r="K614" i="23"/>
  <c r="K610" i="23"/>
  <c r="K606" i="23"/>
  <c r="K602" i="23"/>
  <c r="K598" i="23"/>
  <c r="K594" i="23"/>
  <c r="K590" i="23"/>
  <c r="K586" i="23"/>
  <c r="K582" i="23"/>
  <c r="K578" i="23"/>
  <c r="K574" i="23"/>
  <c r="K570" i="23"/>
  <c r="K566" i="23"/>
  <c r="K562" i="23"/>
  <c r="K558" i="23"/>
  <c r="K554" i="23"/>
  <c r="K550" i="23"/>
  <c r="K546" i="23"/>
  <c r="K542" i="23"/>
  <c r="K538" i="23"/>
  <c r="K534" i="23"/>
  <c r="K1768" i="23"/>
  <c r="K1760" i="23"/>
  <c r="K1752" i="23"/>
  <c r="K1744" i="23"/>
  <c r="K1736" i="23"/>
  <c r="K1728" i="23"/>
  <c r="K1720" i="23"/>
  <c r="K1712" i="23"/>
  <c r="K1704" i="23"/>
  <c r="K1696" i="23"/>
  <c r="K1688" i="23"/>
  <c r="K1680" i="23"/>
  <c r="K1672" i="23"/>
  <c r="K1664" i="23"/>
  <c r="K1656" i="23"/>
  <c r="K1648" i="23"/>
  <c r="K1640" i="23"/>
  <c r="K1632" i="23"/>
  <c r="K1624" i="23"/>
  <c r="K1616" i="23"/>
  <c r="K1608" i="23"/>
  <c r="K1600" i="23"/>
  <c r="K1592" i="23"/>
  <c r="K1584" i="23"/>
  <c r="K1576" i="23"/>
  <c r="K1568" i="23"/>
  <c r="K1560" i="23"/>
  <c r="K1552" i="23"/>
  <c r="K1544" i="23"/>
  <c r="K1536" i="23"/>
  <c r="K1528" i="23"/>
  <c r="K1520" i="23"/>
  <c r="K1512" i="23"/>
  <c r="K1504" i="23"/>
  <c r="K1496" i="23"/>
  <c r="K1488" i="23"/>
  <c r="K1480" i="23"/>
  <c r="K1472" i="23"/>
  <c r="K1464" i="23"/>
  <c r="K1456" i="23"/>
  <c r="K1448" i="23"/>
  <c r="K1440" i="23"/>
  <c r="K1432" i="23"/>
  <c r="K1424" i="23"/>
  <c r="K1416" i="23"/>
  <c r="K1408" i="23"/>
  <c r="K1400" i="23"/>
  <c r="K1392" i="23"/>
  <c r="K1384" i="23"/>
  <c r="K1376" i="23"/>
  <c r="K1368" i="23"/>
  <c r="K1360" i="23"/>
  <c r="K1352" i="23"/>
  <c r="K1344" i="23"/>
  <c r="K1336" i="23"/>
  <c r="K1328" i="23"/>
  <c r="K1320" i="23"/>
  <c r="K1312" i="23"/>
  <c r="K1304" i="23"/>
  <c r="K1296" i="23"/>
  <c r="K1288" i="23"/>
  <c r="K1280" i="23"/>
  <c r="K1272" i="23"/>
  <c r="K1264" i="23"/>
  <c r="K1256" i="23"/>
  <c r="K1248" i="23"/>
  <c r="K1240" i="23"/>
  <c r="K1232" i="23"/>
  <c r="K1224" i="23"/>
  <c r="K1216" i="23"/>
  <c r="K1208" i="23"/>
  <c r="K1200" i="23"/>
  <c r="K1192" i="23"/>
  <c r="K1184" i="23"/>
  <c r="K1176" i="23"/>
  <c r="K1168" i="23"/>
  <c r="K1160" i="23"/>
  <c r="K1152" i="23"/>
  <c r="K1144" i="23"/>
  <c r="K1137" i="23"/>
  <c r="K1132" i="23"/>
  <c r="K1126" i="23"/>
  <c r="K1121" i="23"/>
  <c r="K1116" i="23"/>
  <c r="K1110" i="23"/>
  <c r="K1105" i="23"/>
  <c r="K1101" i="23"/>
  <c r="K1097" i="23"/>
  <c r="K1093" i="23"/>
  <c r="K1089" i="23"/>
  <c r="K1085" i="23"/>
  <c r="K1081" i="23"/>
  <c r="K1077" i="23"/>
  <c r="K1073" i="23"/>
  <c r="K1069" i="23"/>
  <c r="K1065" i="23"/>
  <c r="K1061" i="23"/>
  <c r="K1057" i="23"/>
  <c r="K1053" i="23"/>
  <c r="K1049" i="23"/>
  <c r="K1045" i="23"/>
  <c r="K1041" i="23"/>
  <c r="K1037" i="23"/>
  <c r="K1033" i="23"/>
  <c r="K1029" i="23"/>
  <c r="K1025" i="23"/>
  <c r="K1021" i="23"/>
  <c r="K1017" i="23"/>
  <c r="K1013" i="23"/>
  <c r="K1009" i="23"/>
  <c r="K1005" i="23"/>
  <c r="K1001" i="23"/>
  <c r="K997" i="23"/>
  <c r="K993" i="23"/>
  <c r="K989" i="23"/>
  <c r="K985" i="23"/>
  <c r="K981" i="23"/>
  <c r="K977" i="23"/>
  <c r="K973" i="23"/>
  <c r="K969" i="23"/>
  <c r="K965" i="23"/>
  <c r="K961" i="23"/>
  <c r="K957" i="23"/>
  <c r="K953" i="23"/>
  <c r="K949" i="23"/>
  <c r="K945" i="23"/>
  <c r="K941" i="23"/>
  <c r="K937" i="23"/>
  <c r="K933" i="23"/>
  <c r="K929" i="23"/>
  <c r="K925" i="23"/>
  <c r="K921" i="23"/>
  <c r="K917" i="23"/>
  <c r="K913" i="23"/>
  <c r="K909" i="23"/>
  <c r="K905" i="23"/>
  <c r="K901" i="23"/>
  <c r="K897" i="23"/>
  <c r="K893" i="23"/>
  <c r="K889" i="23"/>
  <c r="K885" i="23"/>
  <c r="K881" i="23"/>
  <c r="K877" i="23"/>
  <c r="K873" i="23"/>
  <c r="K869" i="23"/>
  <c r="K865" i="23"/>
  <c r="K861" i="23"/>
  <c r="K857" i="23"/>
  <c r="K853" i="23"/>
  <c r="K849" i="23"/>
  <c r="K845" i="23"/>
  <c r="K841" i="23"/>
  <c r="K837" i="23"/>
  <c r="K833" i="23"/>
  <c r="K829" i="23"/>
  <c r="K825" i="23"/>
  <c r="K821" i="23"/>
  <c r="K817" i="23"/>
  <c r="K813" i="23"/>
  <c r="K809" i="23"/>
  <c r="K805" i="23"/>
  <c r="K801" i="23"/>
  <c r="K797" i="23"/>
  <c r="K793" i="23"/>
  <c r="K789" i="23"/>
  <c r="K785" i="23"/>
  <c r="K781" i="23"/>
  <c r="K777" i="23"/>
  <c r="K773" i="23"/>
  <c r="K769" i="23"/>
  <c r="K765" i="23"/>
  <c r="K761" i="23"/>
  <c r="K757" i="23"/>
  <c r="K753" i="23"/>
  <c r="K749" i="23"/>
  <c r="K745" i="23"/>
  <c r="K741" i="23"/>
  <c r="K737" i="23"/>
  <c r="K733" i="23"/>
  <c r="K729" i="23"/>
  <c r="K725" i="23"/>
  <c r="K721" i="23"/>
  <c r="K717" i="23"/>
  <c r="K713" i="23"/>
  <c r="K709" i="23"/>
  <c r="K705" i="23"/>
  <c r="K701" i="23"/>
  <c r="K697" i="23"/>
  <c r="K693" i="23"/>
  <c r="K689" i="23"/>
  <c r="K685" i="23"/>
  <c r="K681" i="23"/>
  <c r="K677" i="23"/>
  <c r="K673" i="23"/>
  <c r="K669" i="23"/>
  <c r="K665" i="23"/>
  <c r="K661" i="23"/>
  <c r="K657" i="23"/>
  <c r="K653" i="23"/>
  <c r="K649" i="23"/>
  <c r="K645" i="23"/>
  <c r="K641" i="23"/>
  <c r="K637" i="23"/>
  <c r="K633" i="23"/>
  <c r="K629" i="23"/>
  <c r="K625" i="23"/>
  <c r="K621" i="23"/>
  <c r="K617" i="23"/>
  <c r="K613" i="23"/>
  <c r="K609" i="23"/>
  <c r="K605" i="23"/>
  <c r="K601" i="23"/>
  <c r="K597" i="23"/>
  <c r="K593" i="23"/>
  <c r="K589" i="23"/>
  <c r="K585" i="23"/>
  <c r="K581" i="23"/>
  <c r="K577" i="23"/>
  <c r="K573" i="23"/>
  <c r="K569" i="23"/>
  <c r="K565" i="23"/>
  <c r="K561" i="23"/>
  <c r="K557" i="23"/>
  <c r="K553" i="23"/>
  <c r="K549" i="23"/>
  <c r="K545" i="23"/>
  <c r="K541" i="23"/>
  <c r="K537" i="23"/>
  <c r="K533" i="23"/>
  <c r="K529" i="23"/>
  <c r="K525" i="23"/>
  <c r="K521" i="23"/>
  <c r="K517" i="23"/>
  <c r="K513" i="23"/>
  <c r="K509" i="23"/>
  <c r="K505" i="23"/>
  <c r="K501" i="23"/>
  <c r="K497" i="23"/>
  <c r="K493" i="23"/>
  <c r="K489" i="23"/>
  <c r="K485" i="23"/>
  <c r="K481" i="23"/>
  <c r="K477" i="23"/>
  <c r="K473" i="23"/>
  <c r="K469" i="23"/>
  <c r="K465" i="23"/>
  <c r="K461" i="23"/>
  <c r="K457" i="23"/>
  <c r="K453" i="23"/>
  <c r="K449" i="23"/>
  <c r="K445" i="23"/>
  <c r="K441" i="23"/>
  <c r="K437" i="23"/>
  <c r="K433" i="23"/>
  <c r="K1051" i="23"/>
  <c r="K979" i="23"/>
  <c r="K947" i="23"/>
  <c r="K931" i="23"/>
  <c r="K915" i="23"/>
  <c r="K899" i="23"/>
  <c r="K867" i="23"/>
  <c r="K843" i="23"/>
  <c r="K819" i="23"/>
  <c r="K787" i="23"/>
  <c r="K755" i="23"/>
  <c r="K723" i="23"/>
  <c r="K691" i="23"/>
  <c r="K667" i="23"/>
  <c r="K635" i="23"/>
  <c r="K603" i="23"/>
  <c r="K579" i="23"/>
  <c r="K555" i="23"/>
  <c r="K526" i="23"/>
  <c r="K504" i="23"/>
  <c r="K488" i="23"/>
  <c r="K467" i="23"/>
  <c r="K446" i="23"/>
  <c r="K430" i="23"/>
  <c r="K418" i="23"/>
  <c r="K406" i="23"/>
  <c r="K394" i="23"/>
  <c r="K374" i="23"/>
  <c r="K362" i="23"/>
  <c r="K350" i="23"/>
  <c r="K338" i="23"/>
  <c r="K326" i="23"/>
  <c r="K306" i="23"/>
  <c r="K294" i="23"/>
  <c r="K282" i="23"/>
  <c r="K270" i="23"/>
  <c r="K258" i="23"/>
  <c r="K246" i="23"/>
  <c r="K234" i="23"/>
  <c r="K218" i="23"/>
  <c r="K202" i="23"/>
  <c r="K190" i="23"/>
  <c r="K178" i="23"/>
  <c r="K166" i="23"/>
  <c r="K150" i="23"/>
  <c r="K134" i="23"/>
  <c r="K122" i="23"/>
  <c r="K110" i="23"/>
  <c r="K90" i="23"/>
  <c r="K78" i="23"/>
  <c r="K66" i="23"/>
  <c r="K50" i="23"/>
  <c r="K38" i="23"/>
  <c r="K30" i="23"/>
  <c r="K22" i="23"/>
  <c r="K13" i="23"/>
  <c r="K1757" i="23"/>
  <c r="K1741" i="23"/>
  <c r="K1725" i="23"/>
  <c r="K1709" i="23"/>
  <c r="K1693" i="23"/>
  <c r="K1677" i="23"/>
  <c r="K1661" i="23"/>
  <c r="K1645" i="23"/>
  <c r="K1629" i="23"/>
  <c r="K1613" i="23"/>
  <c r="K1597" i="23"/>
  <c r="K1581" i="23"/>
  <c r="K1565" i="23"/>
  <c r="K1549" i="23"/>
  <c r="K1533" i="23"/>
  <c r="K1517" i="23"/>
  <c r="K1501" i="23"/>
  <c r="K1485" i="23"/>
  <c r="K1469" i="23"/>
  <c r="K1453" i="23"/>
  <c r="K1437" i="23"/>
  <c r="K1421" i="23"/>
  <c r="K1405" i="23"/>
  <c r="K1389" i="23"/>
  <c r="K1373" i="23"/>
  <c r="K1357" i="23"/>
  <c r="K1341" i="23"/>
  <c r="K1325" i="23"/>
  <c r="K1309" i="23"/>
  <c r="K1293" i="23"/>
  <c r="K1277" i="23"/>
  <c r="K1261" i="23"/>
  <c r="K1245" i="23"/>
  <c r="K1229" i="23"/>
  <c r="K1213" i="23"/>
  <c r="K1197" i="23"/>
  <c r="K1181" i="23"/>
  <c r="K1165" i="23"/>
  <c r="K1149" i="23"/>
  <c r="K1136" i="23"/>
  <c r="K1125" i="23"/>
  <c r="K1114" i="23"/>
  <c r="K1104" i="23"/>
  <c r="K1096" i="23"/>
  <c r="K1088" i="23"/>
  <c r="K1080" i="23"/>
  <c r="K1072" i="23"/>
  <c r="K1064" i="23"/>
  <c r="K1056" i="23"/>
  <c r="K1048" i="23"/>
  <c r="K1040" i="23"/>
  <c r="K1032" i="23"/>
  <c r="K1024" i="23"/>
  <c r="K1016" i="23"/>
  <c r="K1008" i="23"/>
  <c r="K1000" i="23"/>
  <c r="K992" i="23"/>
  <c r="K984" i="23"/>
  <c r="K976" i="23"/>
  <c r="K968" i="23"/>
  <c r="K960" i="23"/>
  <c r="K952" i="23"/>
  <c r="K944" i="23"/>
  <c r="K936" i="23"/>
  <c r="K928" i="23"/>
  <c r="K920" i="23"/>
  <c r="K912" i="23"/>
  <c r="K904" i="23"/>
  <c r="K896" i="23"/>
  <c r="K888" i="23"/>
  <c r="K880" i="23"/>
  <c r="K872" i="23"/>
  <c r="K864" i="23"/>
  <c r="K856" i="23"/>
  <c r="K848" i="23"/>
  <c r="K840" i="23"/>
  <c r="K832" i="23"/>
  <c r="K824" i="23"/>
  <c r="K816" i="23"/>
  <c r="K808" i="23"/>
  <c r="K800" i="23"/>
  <c r="K792" i="23"/>
  <c r="K784" i="23"/>
  <c r="K776" i="23"/>
  <c r="K768" i="23"/>
  <c r="K760" i="23"/>
  <c r="K752" i="23"/>
  <c r="K744" i="23"/>
  <c r="K736" i="23"/>
  <c r="K728" i="23"/>
  <c r="K720" i="23"/>
  <c r="K712" i="23"/>
  <c r="K704" i="23"/>
  <c r="K696" i="23"/>
  <c r="K688" i="23"/>
  <c r="K680" i="23"/>
  <c r="K672" i="23"/>
  <c r="K664" i="23"/>
  <c r="K656" i="23"/>
  <c r="K648" i="23"/>
  <c r="K640" i="23"/>
  <c r="K632" i="23"/>
  <c r="K624" i="23"/>
  <c r="K616" i="23"/>
  <c r="K608" i="23"/>
  <c r="K600" i="23"/>
  <c r="K592" i="23"/>
  <c r="K584" i="23"/>
  <c r="K576" i="23"/>
  <c r="K568" i="23"/>
  <c r="K560" i="23"/>
  <c r="K552" i="23"/>
  <c r="K544" i="23"/>
  <c r="K536" i="23"/>
  <c r="K530" i="23"/>
  <c r="K524" i="23"/>
  <c r="K519" i="23"/>
  <c r="K514" i="23"/>
  <c r="K508" i="23"/>
  <c r="K503" i="23"/>
  <c r="K498" i="23"/>
  <c r="K492" i="23"/>
  <c r="K487" i="23"/>
  <c r="K482" i="23"/>
  <c r="K476" i="23"/>
  <c r="K471" i="23"/>
  <c r="K466" i="23"/>
  <c r="K460" i="23"/>
  <c r="K455" i="23"/>
  <c r="K450" i="23"/>
  <c r="K444" i="23"/>
  <c r="K439" i="23"/>
  <c r="K434" i="23"/>
  <c r="K429" i="23"/>
  <c r="K425" i="23"/>
  <c r="K421" i="23"/>
  <c r="K417" i="23"/>
  <c r="K413" i="23"/>
  <c r="K409" i="23"/>
  <c r="K405" i="23"/>
  <c r="K401" i="23"/>
  <c r="K397" i="23"/>
  <c r="K393" i="23"/>
  <c r="K389" i="23"/>
  <c r="K385" i="23"/>
  <c r="K381" i="23"/>
  <c r="K377" i="23"/>
  <c r="K373" i="23"/>
  <c r="K369" i="23"/>
  <c r="K365" i="23"/>
  <c r="K361" i="23"/>
  <c r="K357" i="23"/>
  <c r="K353" i="23"/>
  <c r="K349" i="23"/>
  <c r="K345" i="23"/>
  <c r="K341" i="23"/>
  <c r="K337" i="23"/>
  <c r="K333" i="23"/>
  <c r="K329" i="23"/>
  <c r="K325" i="23"/>
  <c r="K321" i="23"/>
  <c r="K317" i="23"/>
  <c r="K313" i="23"/>
  <c r="K309" i="23"/>
  <c r="K305" i="23"/>
  <c r="K301" i="23"/>
  <c r="K297" i="23"/>
  <c r="K293" i="23"/>
  <c r="K289" i="23"/>
  <c r="K285" i="23"/>
  <c r="K281" i="23"/>
  <c r="K277" i="23"/>
  <c r="K273" i="23"/>
  <c r="K269" i="23"/>
  <c r="K265" i="23"/>
  <c r="K261" i="23"/>
  <c r="K257" i="23"/>
  <c r="K253" i="23"/>
  <c r="K249" i="23"/>
  <c r="K245" i="23"/>
  <c r="K241" i="23"/>
  <c r="K237" i="23"/>
  <c r="K233" i="23"/>
  <c r="K229" i="23"/>
  <c r="K225" i="23"/>
  <c r="K221" i="23"/>
  <c r="K217" i="23"/>
  <c r="K213" i="23"/>
  <c r="K209" i="23"/>
  <c r="K205" i="23"/>
  <c r="K201" i="23"/>
  <c r="K197" i="23"/>
  <c r="K193" i="23"/>
  <c r="K189" i="23"/>
  <c r="K185" i="23"/>
  <c r="K181" i="23"/>
  <c r="K177" i="23"/>
  <c r="K173" i="23"/>
  <c r="K169" i="23"/>
  <c r="K165" i="23"/>
  <c r="K161" i="23"/>
  <c r="K157" i="23"/>
  <c r="K153" i="23"/>
  <c r="K149" i="23"/>
  <c r="K145" i="23"/>
  <c r="K141" i="23"/>
  <c r="K137" i="23"/>
  <c r="K133" i="23"/>
  <c r="K129" i="23"/>
  <c r="K125" i="23"/>
  <c r="K121" i="23"/>
  <c r="K117" i="23"/>
  <c r="K113" i="23"/>
  <c r="K109" i="23"/>
  <c r="K105" i="23"/>
  <c r="K101" i="23"/>
  <c r="K97" i="23"/>
  <c r="K93" i="23"/>
  <c r="K89" i="23"/>
  <c r="K85" i="23"/>
  <c r="K81" i="23"/>
  <c r="K77" i="23"/>
  <c r="K73" i="23"/>
  <c r="K69" i="23"/>
  <c r="K65" i="23"/>
  <c r="K61" i="23"/>
  <c r="K57" i="23"/>
  <c r="K53" i="23"/>
  <c r="K49" i="23"/>
  <c r="K45" i="23"/>
  <c r="K41" i="23"/>
  <c r="K37" i="23"/>
  <c r="K33" i="23"/>
  <c r="K29" i="23"/>
  <c r="K25" i="23"/>
  <c r="K21" i="23"/>
  <c r="K16" i="23"/>
  <c r="K12" i="23"/>
  <c r="K8" i="23"/>
  <c r="K4" i="23"/>
  <c r="K1756" i="23"/>
  <c r="K1740" i="23"/>
  <c r="K1724" i="23"/>
  <c r="K1708" i="23"/>
  <c r="K1692" i="23"/>
  <c r="K1676" i="23"/>
  <c r="K1660" i="23"/>
  <c r="K1644" i="23"/>
  <c r="K1628" i="23"/>
  <c r="K1612" i="23"/>
  <c r="K1596" i="23"/>
  <c r="K1580" i="23"/>
  <c r="K1564" i="23"/>
  <c r="K1548" i="23"/>
  <c r="K1532" i="23"/>
  <c r="K1516" i="23"/>
  <c r="K1500" i="23"/>
  <c r="K1484" i="23"/>
  <c r="K1468" i="23"/>
  <c r="K1452" i="23"/>
  <c r="K1436" i="23"/>
  <c r="K1420" i="23"/>
  <c r="K1404" i="23"/>
  <c r="K1388" i="23"/>
  <c r="K1372" i="23"/>
  <c r="K1356" i="23"/>
  <c r="K1340" i="23"/>
  <c r="K1324" i="23"/>
  <c r="K1308" i="23"/>
  <c r="K1292" i="23"/>
  <c r="K1276" i="23"/>
  <c r="K1260" i="23"/>
  <c r="K1244" i="23"/>
  <c r="K1228" i="23"/>
  <c r="K1212" i="23"/>
  <c r="K1196" i="23"/>
  <c r="K1180" i="23"/>
  <c r="K1164" i="23"/>
  <c r="K1148" i="23"/>
  <c r="K1134" i="23"/>
  <c r="K1124" i="23"/>
  <c r="K1113" i="23"/>
  <c r="K1103" i="23"/>
  <c r="K1095" i="23"/>
  <c r="K1087" i="23"/>
  <c r="K1079" i="23"/>
  <c r="K1071" i="23"/>
  <c r="K1063" i="23"/>
  <c r="K1055" i="23"/>
  <c r="K1047" i="23"/>
  <c r="K1039" i="23"/>
  <c r="K1031" i="23"/>
  <c r="K1023" i="23"/>
  <c r="K1015" i="23"/>
  <c r="K1007" i="23"/>
  <c r="K999" i="23"/>
  <c r="K991" i="23"/>
  <c r="K983" i="23"/>
  <c r="K975" i="23"/>
  <c r="K967" i="23"/>
  <c r="K959" i="23"/>
  <c r="K951" i="23"/>
  <c r="K943" i="23"/>
  <c r="K935" i="23"/>
  <c r="K927" i="23"/>
  <c r="K919" i="23"/>
  <c r="K911" i="23"/>
  <c r="K903" i="23"/>
  <c r="K895" i="23"/>
  <c r="K887" i="23"/>
  <c r="K879" i="23"/>
  <c r="K871" i="23"/>
  <c r="K863" i="23"/>
  <c r="K855" i="23"/>
  <c r="K847" i="23"/>
  <c r="K839" i="23"/>
  <c r="K831" i="23"/>
  <c r="K823" i="23"/>
  <c r="K815" i="23"/>
  <c r="K807" i="23"/>
  <c r="K799" i="23"/>
  <c r="K791" i="23"/>
  <c r="K783" i="23"/>
  <c r="K775" i="23"/>
  <c r="K767" i="23"/>
  <c r="K759" i="23"/>
  <c r="K751" i="23"/>
  <c r="K743" i="23"/>
  <c r="K735" i="23"/>
  <c r="K727" i="23"/>
  <c r="K719" i="23"/>
  <c r="K711" i="23"/>
  <c r="K703" i="23"/>
  <c r="K695" i="23"/>
  <c r="K687" i="23"/>
  <c r="K679" i="23"/>
  <c r="K671" i="23"/>
  <c r="K663" i="23"/>
  <c r="K655" i="23"/>
  <c r="K647" i="23"/>
  <c r="K639" i="23"/>
  <c r="K631" i="23"/>
  <c r="K623" i="23"/>
  <c r="K615" i="23"/>
  <c r="K607" i="23"/>
  <c r="K599" i="23"/>
  <c r="K591" i="23"/>
  <c r="K583" i="23"/>
  <c r="K575" i="23"/>
  <c r="K567" i="23"/>
  <c r="K559" i="23"/>
  <c r="K551" i="23"/>
  <c r="K543" i="23"/>
  <c r="K535" i="23"/>
  <c r="K528" i="23"/>
  <c r="K523" i="23"/>
  <c r="K518" i="23"/>
  <c r="K512" i="23"/>
  <c r="K507" i="23"/>
  <c r="K502" i="23"/>
  <c r="K496" i="23"/>
  <c r="K491" i="23"/>
  <c r="K486" i="23"/>
  <c r="K480" i="23"/>
  <c r="K475" i="23"/>
  <c r="K470" i="23"/>
  <c r="K464" i="23"/>
  <c r="K459" i="23"/>
  <c r="K454" i="23"/>
  <c r="K448" i="23"/>
  <c r="K443" i="23"/>
  <c r="K438" i="23"/>
  <c r="K432" i="23"/>
  <c r="K428" i="23"/>
  <c r="K424" i="23"/>
  <c r="K420" i="23"/>
  <c r="K416" i="23"/>
  <c r="K412" i="23"/>
  <c r="K408" i="23"/>
  <c r="K404" i="23"/>
  <c r="K400" i="23"/>
  <c r="K396" i="23"/>
  <c r="K392" i="23"/>
  <c r="K388" i="23"/>
  <c r="K384" i="23"/>
  <c r="K380" i="23"/>
  <c r="K376" i="23"/>
  <c r="K372" i="23"/>
  <c r="K368" i="23"/>
  <c r="K364" i="23"/>
  <c r="K360" i="23"/>
  <c r="K356" i="23"/>
  <c r="K352" i="23"/>
  <c r="K348" i="23"/>
  <c r="K344" i="23"/>
  <c r="K340" i="23"/>
  <c r="K336" i="23"/>
  <c r="K332" i="23"/>
  <c r="K328" i="23"/>
  <c r="K324" i="23"/>
  <c r="K320" i="23"/>
  <c r="K316" i="23"/>
  <c r="K312" i="23"/>
  <c r="K308" i="23"/>
  <c r="K304" i="23"/>
  <c r="K300" i="23"/>
  <c r="K296" i="23"/>
  <c r="K292" i="23"/>
  <c r="K288" i="23"/>
  <c r="K284" i="23"/>
  <c r="K280" i="23"/>
  <c r="K276" i="23"/>
  <c r="K272" i="23"/>
  <c r="K268" i="23"/>
  <c r="K264" i="23"/>
  <c r="K260" i="23"/>
  <c r="K256" i="23"/>
  <c r="K252" i="23"/>
  <c r="K248" i="23"/>
  <c r="K244" i="23"/>
  <c r="K240" i="23"/>
  <c r="K236" i="23"/>
  <c r="K232" i="23"/>
  <c r="K228" i="23"/>
  <c r="K224" i="23"/>
  <c r="K220" i="23"/>
  <c r="K216" i="23"/>
  <c r="K212" i="23"/>
  <c r="K208" i="23"/>
  <c r="K204" i="23"/>
  <c r="K200" i="23"/>
  <c r="K196" i="23"/>
  <c r="K192" i="23"/>
  <c r="K188" i="23"/>
  <c r="K184" i="23"/>
  <c r="K180" i="23"/>
  <c r="K176" i="23"/>
  <c r="K172" i="23"/>
  <c r="K168" i="23"/>
  <c r="K164" i="23"/>
  <c r="K160" i="23"/>
  <c r="K156" i="23"/>
  <c r="K152" i="23"/>
  <c r="K148" i="23"/>
  <c r="K144" i="23"/>
  <c r="K140" i="23"/>
  <c r="K136" i="23"/>
  <c r="K132" i="23"/>
  <c r="K128" i="23"/>
  <c r="K124" i="23"/>
  <c r="K120" i="23"/>
  <c r="K116" i="23"/>
  <c r="K112" i="23"/>
  <c r="K108" i="23"/>
  <c r="K104" i="23"/>
  <c r="K100" i="23"/>
  <c r="K96" i="23"/>
  <c r="K92" i="23"/>
  <c r="K88" i="23"/>
  <c r="K84" i="23"/>
  <c r="K80" i="23"/>
  <c r="K76" i="23"/>
  <c r="K72" i="23"/>
  <c r="K68" i="23"/>
  <c r="K64" i="23"/>
  <c r="K60" i="23"/>
  <c r="K56" i="23"/>
  <c r="K52" i="23"/>
  <c r="K48" i="23"/>
  <c r="K44" i="23"/>
  <c r="K40" i="23"/>
  <c r="K36" i="23"/>
  <c r="K32" i="23"/>
  <c r="K28" i="23"/>
  <c r="K24" i="23"/>
  <c r="K20" i="23"/>
  <c r="K15" i="23"/>
  <c r="K11" i="23"/>
  <c r="K7" i="23"/>
  <c r="K1765" i="23"/>
  <c r="K1749" i="23"/>
  <c r="K1733" i="23"/>
  <c r="K1717" i="23"/>
  <c r="K1701" i="23"/>
  <c r="K1685" i="23"/>
  <c r="K1669" i="23"/>
  <c r="K1653" i="23"/>
  <c r="K1637" i="23"/>
  <c r="K1621" i="23"/>
  <c r="K1605" i="23"/>
  <c r="K1589" i="23"/>
  <c r="K1573" i="23"/>
  <c r="K1557" i="23"/>
  <c r="K1541" i="23"/>
  <c r="K1525" i="23"/>
  <c r="K1493" i="23"/>
  <c r="K1477" i="23"/>
  <c r="K1461" i="23"/>
  <c r="K1445" i="23"/>
  <c r="K1429" i="23"/>
  <c r="K1397" i="23"/>
  <c r="K1365" i="23"/>
  <c r="K1333" i="23"/>
  <c r="K1301" i="23"/>
  <c r="K1285" i="23"/>
  <c r="K1269" i="23"/>
  <c r="K1253" i="23"/>
  <c r="K1237" i="23"/>
  <c r="K1221" i="23"/>
  <c r="K1205" i="23"/>
  <c r="K1189" i="23"/>
  <c r="K1173" i="23"/>
  <c r="K1157" i="23"/>
  <c r="K1141" i="23"/>
  <c r="K1130" i="23"/>
  <c r="K1120" i="23"/>
  <c r="K1109" i="23"/>
  <c r="K1100" i="23"/>
  <c r="K1092" i="23"/>
  <c r="K1084" i="23"/>
  <c r="K1076" i="23"/>
  <c r="K1068" i="23"/>
  <c r="K1060" i="23"/>
  <c r="K1052" i="23"/>
  <c r="K1044" i="23"/>
  <c r="K1036" i="23"/>
  <c r="K1028" i="23"/>
  <c r="K1020" i="23"/>
  <c r="K1012" i="23"/>
  <c r="K1004" i="23"/>
  <c r="K996" i="23"/>
  <c r="K988" i="23"/>
  <c r="K980" i="23"/>
  <c r="K972" i="23"/>
  <c r="K964" i="23"/>
  <c r="K956" i="23"/>
  <c r="K948" i="23"/>
  <c r="K940" i="23"/>
  <c r="K932" i="23"/>
  <c r="K924" i="23"/>
  <c r="K916" i="23"/>
  <c r="K908" i="23"/>
  <c r="K900" i="23"/>
  <c r="K892" i="23"/>
  <c r="K884" i="23"/>
  <c r="K876" i="23"/>
  <c r="K868" i="23"/>
  <c r="K860" i="23"/>
  <c r="K852" i="23"/>
  <c r="K844" i="23"/>
  <c r="K836" i="23"/>
  <c r="K828" i="23"/>
  <c r="K820" i="23"/>
  <c r="K812" i="23"/>
  <c r="K804" i="23"/>
  <c r="K796" i="23"/>
  <c r="K788" i="23"/>
  <c r="K780" i="23"/>
  <c r="K772" i="23"/>
  <c r="K764" i="23"/>
  <c r="K756" i="23"/>
  <c r="K748" i="23"/>
  <c r="K740" i="23"/>
  <c r="K732" i="23"/>
  <c r="K724" i="23"/>
  <c r="K716" i="23"/>
  <c r="K708" i="23"/>
  <c r="K700" i="23"/>
  <c r="K692" i="23"/>
  <c r="K684" i="23"/>
  <c r="K676" i="23"/>
  <c r="K668" i="23"/>
  <c r="K660" i="23"/>
  <c r="K652" i="23"/>
  <c r="K644" i="23"/>
  <c r="K636" i="23"/>
  <c r="K628" i="23"/>
  <c r="K620" i="23"/>
  <c r="K612" i="23"/>
  <c r="K604" i="23"/>
  <c r="K596" i="23"/>
  <c r="K588" i="23"/>
  <c r="K580" i="23"/>
  <c r="K572" i="23"/>
  <c r="K564" i="23"/>
  <c r="K556" i="23"/>
  <c r="K548" i="23"/>
  <c r="K540" i="23"/>
  <c r="K532" i="23"/>
  <c r="K527" i="23"/>
  <c r="K522" i="23"/>
  <c r="K516" i="23"/>
  <c r="K511" i="23"/>
  <c r="K506" i="23"/>
  <c r="K500" i="23"/>
  <c r="K495" i="23"/>
  <c r="K490" i="23"/>
  <c r="K484" i="23"/>
  <c r="K479" i="23"/>
  <c r="K474" i="23"/>
  <c r="K468" i="23"/>
  <c r="K463" i="23"/>
  <c r="K458" i="23"/>
  <c r="K452" i="23"/>
  <c r="K447" i="23"/>
  <c r="K442" i="23"/>
  <c r="K436" i="23"/>
  <c r="K431" i="23"/>
  <c r="K427" i="23"/>
  <c r="K423" i="23"/>
  <c r="K419" i="23"/>
  <c r="K415" i="23"/>
  <c r="K411" i="23"/>
  <c r="K407" i="23"/>
  <c r="K403" i="23"/>
  <c r="K399" i="23"/>
  <c r="K395" i="23"/>
  <c r="K391" i="23"/>
  <c r="K387" i="23"/>
  <c r="K383" i="23"/>
  <c r="K379" i="23"/>
  <c r="K375" i="23"/>
  <c r="K371" i="23"/>
  <c r="K367" i="23"/>
  <c r="K363" i="23"/>
  <c r="K359" i="23"/>
  <c r="K355" i="23"/>
  <c r="K351" i="23"/>
  <c r="K347" i="23"/>
  <c r="K343" i="23"/>
  <c r="K339" i="23"/>
  <c r="K335" i="23"/>
  <c r="K331" i="23"/>
  <c r="K327" i="23"/>
  <c r="K323" i="23"/>
  <c r="K319" i="23"/>
  <c r="K315" i="23"/>
  <c r="K311" i="23"/>
  <c r="K307" i="23"/>
  <c r="K303" i="23"/>
  <c r="K299" i="23"/>
  <c r="K295" i="23"/>
  <c r="K291" i="23"/>
  <c r="K287" i="23"/>
  <c r="K283" i="23"/>
  <c r="K279" i="23"/>
  <c r="K275" i="23"/>
  <c r="K271" i="23"/>
  <c r="K267" i="23"/>
  <c r="K263" i="23"/>
  <c r="K259" i="23"/>
  <c r="K255" i="23"/>
  <c r="K251" i="23"/>
  <c r="K247" i="23"/>
  <c r="K243" i="23"/>
  <c r="K239" i="23"/>
  <c r="K235" i="23"/>
  <c r="K231" i="23"/>
  <c r="K227" i="23"/>
  <c r="K223" i="23"/>
  <c r="K219" i="23"/>
  <c r="K215" i="23"/>
  <c r="K211" i="23"/>
  <c r="K207" i="23"/>
  <c r="K203" i="23"/>
  <c r="K199" i="23"/>
  <c r="K195" i="23"/>
  <c r="K191" i="23"/>
  <c r="K187" i="23"/>
  <c r="K183" i="23"/>
  <c r="K179" i="23"/>
  <c r="K175" i="23"/>
  <c r="K171" i="23"/>
  <c r="K167" i="23"/>
  <c r="K163" i="23"/>
  <c r="K159" i="23"/>
  <c r="K155" i="23"/>
  <c r="K151" i="23"/>
  <c r="K147" i="23"/>
  <c r="K143" i="23"/>
  <c r="K139" i="23"/>
  <c r="K135" i="23"/>
  <c r="K131" i="23"/>
  <c r="K127" i="23"/>
  <c r="K123" i="23"/>
  <c r="K119" i="23"/>
  <c r="K115" i="23"/>
  <c r="K111" i="23"/>
  <c r="K107" i="23"/>
  <c r="K103" i="23"/>
  <c r="K99" i="23"/>
  <c r="K95" i="23"/>
  <c r="K91" i="23"/>
  <c r="K87" i="23"/>
  <c r="K83" i="23"/>
  <c r="K79" i="23"/>
  <c r="K75" i="23"/>
  <c r="K71" i="23"/>
  <c r="K67" i="23"/>
  <c r="K63" i="23"/>
  <c r="K59" i="23"/>
  <c r="K55" i="23"/>
  <c r="K51" i="23"/>
  <c r="K47" i="23"/>
  <c r="K43" i="23"/>
  <c r="K39" i="23"/>
  <c r="K35" i="23"/>
  <c r="K31" i="23"/>
  <c r="K27" i="23"/>
  <c r="K23" i="23"/>
  <c r="K19" i="23"/>
  <c r="K14" i="23"/>
  <c r="K10" i="23"/>
  <c r="K6" i="23"/>
  <c r="K1764" i="23"/>
  <c r="K1748" i="23"/>
  <c r="K1732" i="23"/>
  <c r="K1716" i="23"/>
  <c r="K1700" i="23"/>
  <c r="K1684" i="23"/>
  <c r="K1668" i="23"/>
  <c r="K1652" i="23"/>
  <c r="K1636" i="23"/>
  <c r="K1620" i="23"/>
  <c r="K1604" i="23"/>
  <c r="K1588" i="23"/>
  <c r="K1572" i="23"/>
  <c r="K1556" i="23"/>
  <c r="K1540" i="23"/>
  <c r="K1524" i="23"/>
  <c r="K1508" i="23"/>
  <c r="K1492" i="23"/>
  <c r="K1476" i="23"/>
  <c r="K1460" i="23"/>
  <c r="K1444" i="23"/>
  <c r="K1428" i="23"/>
  <c r="K1412" i="23"/>
  <c r="K1396" i="23"/>
  <c r="K1380" i="23"/>
  <c r="K1364" i="23"/>
  <c r="K1348" i="23"/>
  <c r="K1332" i="23"/>
  <c r="K1316" i="23"/>
  <c r="K1300" i="23"/>
  <c r="K1284" i="23"/>
  <c r="K1268" i="23"/>
  <c r="K1252" i="23"/>
  <c r="K1236" i="23"/>
  <c r="K1220" i="23"/>
  <c r="K1204" i="23"/>
  <c r="K1188" i="23"/>
  <c r="K1172" i="23"/>
  <c r="K1156" i="23"/>
  <c r="K1140" i="23"/>
  <c r="K1129" i="23"/>
  <c r="K1118" i="23"/>
  <c r="K1108" i="23"/>
  <c r="K1099" i="23"/>
  <c r="K1091" i="23"/>
  <c r="K1083" i="23"/>
  <c r="K1075" i="23"/>
  <c r="K1067" i="23"/>
  <c r="K1059" i="23"/>
  <c r="K1043" i="23"/>
  <c r="K1035" i="23"/>
  <c r="K1027" i="23"/>
  <c r="K1019" i="23"/>
  <c r="K1011" i="23"/>
  <c r="K1003" i="23"/>
  <c r="K995" i="23"/>
  <c r="K987" i="23"/>
  <c r="K971" i="23"/>
  <c r="K955" i="23"/>
  <c r="K939" i="23"/>
  <c r="K923" i="23"/>
  <c r="K907" i="23"/>
  <c r="K891" i="23"/>
  <c r="K875" i="23"/>
  <c r="K859" i="23"/>
  <c r="K835" i="23"/>
  <c r="K811" i="23"/>
  <c r="K779" i="23"/>
  <c r="K763" i="23"/>
  <c r="K739" i="23"/>
  <c r="K715" i="23"/>
  <c r="K699" i="23"/>
  <c r="K675" i="23"/>
  <c r="K659" i="23"/>
  <c r="K627" i="23"/>
  <c r="K611" i="23"/>
  <c r="K595" i="23"/>
  <c r="K571" i="23"/>
  <c r="K547" i="23"/>
  <c r="K531" i="23"/>
  <c r="K515" i="23"/>
  <c r="K499" i="23"/>
  <c r="K483" i="23"/>
  <c r="K472" i="23"/>
  <c r="K456" i="23"/>
  <c r="K440" i="23"/>
  <c r="K422" i="23"/>
  <c r="K410" i="23"/>
  <c r="K398" i="23"/>
  <c r="K390" i="23"/>
  <c r="K382" i="23"/>
  <c r="K370" i="23"/>
  <c r="K358" i="23"/>
  <c r="K346" i="23"/>
  <c r="K330" i="23"/>
  <c r="K322" i="23"/>
  <c r="K314" i="23"/>
  <c r="K302" i="23"/>
  <c r="K290" i="23"/>
  <c r="K278" i="23"/>
  <c r="K262" i="23"/>
  <c r="K254" i="23"/>
  <c r="K238" i="23"/>
  <c r="K230" i="23"/>
  <c r="K222" i="23"/>
  <c r="K210" i="23"/>
  <c r="K198" i="23"/>
  <c r="K186" i="23"/>
  <c r="K174" i="23"/>
  <c r="K158" i="23"/>
  <c r="K146" i="23"/>
  <c r="K138" i="23"/>
  <c r="K126" i="23"/>
  <c r="K114" i="23"/>
  <c r="K102" i="23"/>
  <c r="K94" i="23"/>
  <c r="K82" i="23"/>
  <c r="K74" i="23"/>
  <c r="K62" i="23"/>
  <c r="K54" i="23"/>
  <c r="K1509" i="23"/>
  <c r="K1413" i="23"/>
  <c r="K1381" i="23"/>
  <c r="K1349" i="23"/>
  <c r="K1317" i="23"/>
  <c r="K963" i="23"/>
  <c r="K883" i="23"/>
  <c r="K851" i="23"/>
  <c r="K827" i="23"/>
  <c r="K803" i="23"/>
  <c r="K795" i="23"/>
  <c r="K771" i="23"/>
  <c r="K747" i="23"/>
  <c r="K731" i="23"/>
  <c r="K707" i="23"/>
  <c r="K683" i="23"/>
  <c r="K651" i="23"/>
  <c r="K643" i="23"/>
  <c r="K619" i="23"/>
  <c r="K587" i="23"/>
  <c r="K563" i="23"/>
  <c r="K539" i="23"/>
  <c r="K520" i="23"/>
  <c r="K510" i="23"/>
  <c r="K494" i="23"/>
  <c r="K478" i="23"/>
  <c r="K462" i="23"/>
  <c r="K451" i="23"/>
  <c r="K435" i="23"/>
  <c r="K426" i="23"/>
  <c r="K414" i="23"/>
  <c r="K402" i="23"/>
  <c r="K386" i="23"/>
  <c r="K378" i="23"/>
  <c r="K366" i="23"/>
  <c r="K354" i="23"/>
  <c r="K342" i="23"/>
  <c r="K334" i="23"/>
  <c r="K318" i="23"/>
  <c r="K310" i="23"/>
  <c r="K298" i="23"/>
  <c r="K286" i="23"/>
  <c r="K274" i="23"/>
  <c r="K266" i="23"/>
  <c r="K250" i="23"/>
  <c r="K242" i="23"/>
  <c r="K226" i="23"/>
  <c r="K214" i="23"/>
  <c r="K206" i="23"/>
  <c r="K194" i="23"/>
  <c r="K182" i="23"/>
  <c r="K170" i="23"/>
  <c r="K162" i="23"/>
  <c r="K154" i="23"/>
  <c r="K142" i="23"/>
  <c r="K130" i="23"/>
  <c r="K118" i="23"/>
  <c r="K106" i="23"/>
  <c r="K98" i="23"/>
  <c r="K86" i="23"/>
  <c r="K70" i="23"/>
  <c r="K58" i="23"/>
  <c r="K46" i="23"/>
  <c r="K42" i="23"/>
  <c r="K34" i="23"/>
  <c r="K26" i="23"/>
  <c r="K17" i="23"/>
  <c r="K9" i="23"/>
  <c r="K5" i="23"/>
  <c r="H28" i="4"/>
  <c r="C22" i="1"/>
  <c r="S37" i="27" s="1"/>
  <c r="D74" i="4"/>
  <c r="AB23" i="27"/>
  <c r="AA25" i="27"/>
  <c r="S7" i="19"/>
  <c r="U12" i="23"/>
  <c r="V14" i="23" s="1"/>
  <c r="W14" i="23" s="1"/>
  <c r="V6" i="4"/>
  <c r="U23" i="4"/>
  <c r="U11" i="4"/>
  <c r="U20" i="4" s="1"/>
  <c r="U21" i="4"/>
  <c r="U8" i="4"/>
  <c r="U24" i="4"/>
  <c r="D34" i="10"/>
  <c r="D35" i="10"/>
  <c r="I45" i="10"/>
  <c r="J45" i="10" s="1"/>
  <c r="E59" i="16"/>
  <c r="E108" i="22"/>
  <c r="D27" i="22" s="1"/>
  <c r="M108" i="22"/>
  <c r="E26" i="4"/>
  <c r="E34" i="4" s="1"/>
  <c r="E36" i="4" s="1"/>
  <c r="E43" i="4" s="1"/>
  <c r="I108" i="22"/>
  <c r="K108" i="22"/>
  <c r="L108" i="22"/>
  <c r="F108" i="22"/>
  <c r="E27" i="22" s="1"/>
  <c r="H108" i="22"/>
  <c r="G27" i="22" s="1"/>
  <c r="D4" i="16"/>
  <c r="E4" i="16" s="1"/>
  <c r="F20" i="22"/>
  <c r="O6" i="19"/>
  <c r="O7" i="19"/>
  <c r="O8" i="19"/>
  <c r="P8" i="19"/>
  <c r="P7" i="19"/>
  <c r="R7" i="19" s="1"/>
  <c r="P6" i="19"/>
  <c r="N60" i="16"/>
  <c r="O107" i="22"/>
  <c r="O108" i="22" s="1"/>
  <c r="F59" i="16"/>
  <c r="G107" i="22"/>
  <c r="G108" i="22" s="1"/>
  <c r="F27" i="22" s="1"/>
  <c r="E15" i="4"/>
  <c r="E45" i="22" s="1"/>
  <c r="E47" i="22" s="1"/>
  <c r="D20" i="22" s="1"/>
  <c r="E12" i="4"/>
  <c r="J59" i="16"/>
  <c r="D15" i="4"/>
  <c r="F45" i="22" s="1"/>
  <c r="F47" i="22" s="1"/>
  <c r="E20" i="22" s="1"/>
  <c r="F15" i="4"/>
  <c r="D45" i="22" s="1"/>
  <c r="D47" i="22" s="1"/>
  <c r="F12" i="4"/>
  <c r="D107" i="22"/>
  <c r="D108" i="22" s="1"/>
  <c r="C27" i="22" s="1"/>
  <c r="J108" i="22"/>
  <c r="M60" i="16"/>
  <c r="L59" i="16"/>
  <c r="K60" i="16"/>
  <c r="I59" i="16"/>
  <c r="E16" i="22"/>
  <c r="F8" i="22"/>
  <c r="G30" i="16"/>
  <c r="G31" i="16" s="1"/>
  <c r="H14" i="4"/>
  <c r="G25" i="16"/>
  <c r="Q6" i="19"/>
  <c r="Q7" i="19"/>
  <c r="Q8" i="19"/>
  <c r="Q9" i="19"/>
  <c r="B30" i="16"/>
  <c r="B31" i="16" s="1"/>
  <c r="D36" i="10"/>
  <c r="D37" i="10"/>
  <c r="E35" i="10"/>
  <c r="E37" i="10"/>
  <c r="K27" i="1"/>
  <c r="E34" i="10"/>
  <c r="E36" i="10"/>
  <c r="G26" i="4"/>
  <c r="J13" i="16"/>
  <c r="J9" i="4"/>
  <c r="J41" i="4" s="1"/>
  <c r="J40" i="4"/>
  <c r="I10" i="4"/>
  <c r="I12" i="4" s="1"/>
  <c r="I44" i="4" s="1"/>
  <c r="I28" i="4" s="1"/>
  <c r="C11" i="10"/>
  <c r="C13" i="10"/>
  <c r="E60" i="16"/>
  <c r="M25" i="16"/>
  <c r="K59" i="16"/>
  <c r="C23" i="1"/>
  <c r="K28" i="1" s="1"/>
  <c r="J25" i="16"/>
  <c r="F25" i="16"/>
  <c r="D60" i="16"/>
  <c r="D59" i="16"/>
  <c r="E29" i="1"/>
  <c r="J60" i="16"/>
  <c r="K25" i="16"/>
  <c r="K30" i="16"/>
  <c r="K31" i="16" s="1"/>
  <c r="C29" i="10"/>
  <c r="I29" i="10" s="1"/>
  <c r="J29" i="10" s="1"/>
  <c r="F44" i="4"/>
  <c r="G28" i="4" s="1"/>
  <c r="C20" i="16"/>
  <c r="E27" i="1" s="1"/>
  <c r="AH12" i="23"/>
  <c r="AN12" i="23" s="1"/>
  <c r="D44" i="4"/>
  <c r="K29" i="1"/>
  <c r="F7" i="4"/>
  <c r="I60" i="16"/>
  <c r="C59" i="16"/>
  <c r="C60" i="16"/>
  <c r="F60" i="16"/>
  <c r="M59" i="16"/>
  <c r="C22" i="10"/>
  <c r="I22" i="10" s="1"/>
  <c r="J22" i="10" s="1"/>
  <c r="N30" i="16"/>
  <c r="N31" i="16" s="1"/>
  <c r="J30" i="16"/>
  <c r="J31" i="16" s="1"/>
  <c r="L25" i="16"/>
  <c r="E28" i="1"/>
  <c r="L60" i="16"/>
  <c r="L13" i="16"/>
  <c r="L30" i="16"/>
  <c r="L31" i="16" s="1"/>
  <c r="C25" i="16"/>
  <c r="E46" i="1" a="1"/>
  <c r="E46" i="1" s="1"/>
  <c r="G13" i="16"/>
  <c r="K13" i="16"/>
  <c r="N59" i="16"/>
  <c r="C30" i="16"/>
  <c r="C31" i="16" s="1"/>
  <c r="M30" i="16"/>
  <c r="M31" i="16" s="1"/>
  <c r="G59" i="16"/>
  <c r="G60" i="16"/>
  <c r="I30" i="16"/>
  <c r="I31" i="16" s="1"/>
  <c r="E13" i="16"/>
  <c r="H60" i="16"/>
  <c r="H59" i="16"/>
  <c r="E25" i="16"/>
  <c r="I46" i="1" a="1"/>
  <c r="S49" i="1" s="1"/>
  <c r="G31" i="4"/>
  <c r="H31" i="4" s="1"/>
  <c r="M13" i="16"/>
  <c r="C13" i="16"/>
  <c r="M25" i="1"/>
  <c r="E7" i="4"/>
  <c r="E30" i="16"/>
  <c r="E31" i="16" s="1"/>
  <c r="D30" i="16"/>
  <c r="D31" i="16" s="1"/>
  <c r="I25" i="10"/>
  <c r="J25" i="10" s="1"/>
  <c r="I26" i="4"/>
  <c r="C28" i="10"/>
  <c r="C30" i="10"/>
  <c r="C14" i="10"/>
  <c r="I14" i="10" s="1"/>
  <c r="J14" i="10" s="1"/>
  <c r="C31" i="10"/>
  <c r="C15" i="10"/>
  <c r="F30" i="16"/>
  <c r="F31" i="16" s="1"/>
  <c r="I27" i="10"/>
  <c r="J27" i="10" s="1"/>
  <c r="H26" i="4"/>
  <c r="F13" i="16"/>
  <c r="C16" i="10"/>
  <c r="J25" i="4"/>
  <c r="D13" i="16"/>
  <c r="D25" i="16"/>
  <c r="I17" i="10"/>
  <c r="J17" i="10" s="1"/>
  <c r="F56" i="1"/>
  <c r="R52" i="1"/>
  <c r="H58" i="1"/>
  <c r="R49" i="1"/>
  <c r="R50" i="1"/>
  <c r="R51" i="1"/>
  <c r="R48" i="1"/>
  <c r="R54" i="1"/>
  <c r="H46" i="1"/>
  <c r="H57" i="1" s="1"/>
  <c r="H36" i="10"/>
  <c r="H35" i="10"/>
  <c r="H37" i="10"/>
  <c r="D46" i="1" a="1"/>
  <c r="M56" i="1"/>
  <c r="L56" i="1"/>
  <c r="E22" i="1"/>
  <c r="C46" i="1"/>
  <c r="N47" i="1" s="1"/>
  <c r="N53" i="1"/>
  <c r="N54" i="1"/>
  <c r="N52" i="1"/>
  <c r="N49" i="1"/>
  <c r="C58" i="1"/>
  <c r="C57" i="1"/>
  <c r="N51" i="1"/>
  <c r="I10" i="10"/>
  <c r="J10" i="10" s="1"/>
  <c r="C36" i="10"/>
  <c r="M24" i="1"/>
  <c r="AJ14" i="23"/>
  <c r="M40" i="1" s="1"/>
  <c r="I13" i="16"/>
  <c r="H13" i="16"/>
  <c r="H25" i="16"/>
  <c r="I25" i="16"/>
  <c r="I47" i="10"/>
  <c r="J47" i="10" s="1"/>
  <c r="H30" i="16"/>
  <c r="H31" i="16" s="1"/>
  <c r="D91" i="16" l="1"/>
  <c r="V34" i="23"/>
  <c r="W34" i="23" s="1"/>
  <c r="V29" i="23"/>
  <c r="W29" i="23" s="1"/>
  <c r="V92" i="23"/>
  <c r="W92" i="23" s="1"/>
  <c r="V33" i="23"/>
  <c r="W33" i="23" s="1"/>
  <c r="V87" i="23"/>
  <c r="W87" i="23" s="1"/>
  <c r="V23" i="23"/>
  <c r="W23" i="23" s="1"/>
  <c r="V11" i="23"/>
  <c r="W11" i="23" s="1"/>
  <c r="V80" i="23"/>
  <c r="W80" i="23" s="1"/>
  <c r="V89" i="23"/>
  <c r="W89" i="23" s="1"/>
  <c r="V22" i="23"/>
  <c r="W22" i="23" s="1"/>
  <c r="V43" i="23"/>
  <c r="W43" i="23" s="1"/>
  <c r="V20" i="23"/>
  <c r="W20" i="23" s="1"/>
  <c r="V60" i="23"/>
  <c r="W60" i="23" s="1"/>
  <c r="V65" i="23"/>
  <c r="W65" i="23" s="1"/>
  <c r="V15" i="23"/>
  <c r="W15" i="23" s="1"/>
  <c r="V30" i="23"/>
  <c r="W30" i="23" s="1"/>
  <c r="V32" i="23"/>
  <c r="W32" i="23" s="1"/>
  <c r="V100" i="23"/>
  <c r="AC23" i="27"/>
  <c r="AB25" i="27"/>
  <c r="V9" i="23"/>
  <c r="W9" i="23" s="1"/>
  <c r="V36" i="23"/>
  <c r="W36" i="23" s="1"/>
  <c r="V93" i="23"/>
  <c r="W93" i="23" s="1"/>
  <c r="V46" i="23"/>
  <c r="W46" i="23" s="1"/>
  <c r="V25" i="23"/>
  <c r="W25" i="23" s="1"/>
  <c r="V63" i="23"/>
  <c r="W63" i="23" s="1"/>
  <c r="V7" i="23"/>
  <c r="W7" i="23" s="1"/>
  <c r="V47" i="23"/>
  <c r="W47" i="23" s="1"/>
  <c r="V24" i="23"/>
  <c r="W24" i="23" s="1"/>
  <c r="V97" i="23"/>
  <c r="W97" i="23" s="1"/>
  <c r="V84" i="23"/>
  <c r="W84" i="23" s="1"/>
  <c r="V91" i="23"/>
  <c r="W91" i="23" s="1"/>
  <c r="V50" i="23"/>
  <c r="W50" i="23" s="1"/>
  <c r="V40" i="23"/>
  <c r="W40" i="23" s="1"/>
  <c r="V42" i="23"/>
  <c r="W42" i="23" s="1"/>
  <c r="V4" i="23"/>
  <c r="W4" i="23" s="1"/>
  <c r="V68" i="23"/>
  <c r="W68" i="23" s="1"/>
  <c r="V53" i="23"/>
  <c r="W53" i="23" s="1"/>
  <c r="V75" i="23"/>
  <c r="W75" i="23" s="1"/>
  <c r="V64" i="23"/>
  <c r="W64" i="23" s="1"/>
  <c r="V12" i="23"/>
  <c r="W12" i="23" s="1"/>
  <c r="V35" i="23"/>
  <c r="W35" i="23" s="1"/>
  <c r="V26" i="23"/>
  <c r="W26" i="23" s="1"/>
  <c r="V39" i="23"/>
  <c r="W39" i="23" s="1"/>
  <c r="V95" i="23"/>
  <c r="W95" i="23" s="1"/>
  <c r="V10" i="23"/>
  <c r="W10" i="23" s="1"/>
  <c r="V82" i="23"/>
  <c r="W82" i="23" s="1"/>
  <c r="V57" i="23"/>
  <c r="W57" i="23" s="1"/>
  <c r="V13" i="23"/>
  <c r="W13" i="23" s="1"/>
  <c r="V6" i="23"/>
  <c r="W6" i="23" s="1"/>
  <c r="V59" i="23"/>
  <c r="W59" i="23" s="1"/>
  <c r="V78" i="23"/>
  <c r="W78" i="23" s="1"/>
  <c r="V16" i="23"/>
  <c r="W16" i="23" s="1"/>
  <c r="V58" i="23"/>
  <c r="W58" i="23" s="1"/>
  <c r="V79" i="23"/>
  <c r="W79" i="23" s="1"/>
  <c r="V44" i="23"/>
  <c r="W44" i="23" s="1"/>
  <c r="V17" i="23"/>
  <c r="W17" i="23" s="1"/>
  <c r="V61" i="23"/>
  <c r="W61" i="23" s="1"/>
  <c r="V67" i="23"/>
  <c r="W67" i="23" s="1"/>
  <c r="V98" i="23"/>
  <c r="W98" i="23" s="1"/>
  <c r="V81" i="23"/>
  <c r="W81" i="23" s="1"/>
  <c r="V21" i="23"/>
  <c r="W21" i="23" s="1"/>
  <c r="V28" i="23"/>
  <c r="W28" i="23" s="1"/>
  <c r="V38" i="23"/>
  <c r="W38" i="23" s="1"/>
  <c r="V71" i="23"/>
  <c r="W71" i="23" s="1"/>
  <c r="V72" i="23"/>
  <c r="W72" i="23" s="1"/>
  <c r="V83" i="23"/>
  <c r="W83" i="23" s="1"/>
  <c r="V85" i="23"/>
  <c r="W85" i="23" s="1"/>
  <c r="V76" i="23"/>
  <c r="W76" i="23" s="1"/>
  <c r="V54" i="23"/>
  <c r="W54" i="23" s="1"/>
  <c r="V73" i="23"/>
  <c r="W73" i="23" s="1"/>
  <c r="V69" i="23"/>
  <c r="W69" i="23" s="1"/>
  <c r="V5" i="23"/>
  <c r="W5" i="23" s="1"/>
  <c r="V56" i="23"/>
  <c r="W56" i="23" s="1"/>
  <c r="V19" i="23"/>
  <c r="W19" i="23" s="1"/>
  <c r="V37" i="23"/>
  <c r="W37" i="23" s="1"/>
  <c r="V18" i="23"/>
  <c r="W18" i="23" s="1"/>
  <c r="V90" i="23"/>
  <c r="W90" i="23" s="1"/>
  <c r="V48" i="23"/>
  <c r="W48" i="23" s="1"/>
  <c r="V41" i="23"/>
  <c r="W41" i="23" s="1"/>
  <c r="V74" i="23"/>
  <c r="W74" i="23" s="1"/>
  <c r="V70" i="23"/>
  <c r="W70" i="23" s="1"/>
  <c r="V94" i="23"/>
  <c r="W94" i="23" s="1"/>
  <c r="V27" i="23"/>
  <c r="W27" i="23" s="1"/>
  <c r="V8" i="23"/>
  <c r="W8" i="23" s="1"/>
  <c r="V96" i="23"/>
  <c r="W96" i="23" s="1"/>
  <c r="V52" i="23"/>
  <c r="W52" i="23" s="1"/>
  <c r="V86" i="23"/>
  <c r="W86" i="23" s="1"/>
  <c r="V62" i="23"/>
  <c r="W62" i="23" s="1"/>
  <c r="V55" i="23"/>
  <c r="W55" i="23" s="1"/>
  <c r="V88" i="23"/>
  <c r="W88" i="23" s="1"/>
  <c r="V99" i="23"/>
  <c r="W99" i="23" s="1"/>
  <c r="V49" i="23"/>
  <c r="W49" i="23" s="1"/>
  <c r="V31" i="23"/>
  <c r="W31" i="23" s="1"/>
  <c r="V77" i="23"/>
  <c r="W77" i="23" s="1"/>
  <c r="V66" i="23"/>
  <c r="W66" i="23" s="1"/>
  <c r="V45" i="23"/>
  <c r="W45" i="23" s="1"/>
  <c r="V51" i="23"/>
  <c r="W51" i="23" s="1"/>
  <c r="K9" i="4"/>
  <c r="K41" i="4" s="1"/>
  <c r="W6" i="4"/>
  <c r="W8" i="4" s="1"/>
  <c r="V23" i="4"/>
  <c r="V11" i="4"/>
  <c r="V20" i="4" s="1"/>
  <c r="V21" i="4"/>
  <c r="V8" i="4"/>
  <c r="V24" i="4"/>
  <c r="O54" i="1"/>
  <c r="D58" i="1"/>
  <c r="K27" i="22"/>
  <c r="I18" i="10"/>
  <c r="J18" i="10" s="1"/>
  <c r="C20" i="10"/>
  <c r="I20" i="10" s="1"/>
  <c r="I27" i="22"/>
  <c r="C20" i="22"/>
  <c r="I20" i="22" s="1"/>
  <c r="K20" i="22"/>
  <c r="M20" i="22" s="1"/>
  <c r="G8" i="22"/>
  <c r="G16" i="22" s="1"/>
  <c r="F16" i="22"/>
  <c r="L6" i="19"/>
  <c r="L7" i="19"/>
  <c r="L8" i="19"/>
  <c r="L9" i="19"/>
  <c r="E31" i="1"/>
  <c r="K40" i="4"/>
  <c r="I39" i="4"/>
  <c r="I38" i="4"/>
  <c r="J10" i="4" s="1"/>
  <c r="AM12" i="23"/>
  <c r="AM13" i="23" s="1"/>
  <c r="AM14" i="23" s="1"/>
  <c r="M42" i="1" s="1"/>
  <c r="K25" i="4"/>
  <c r="G46" i="1" a="1"/>
  <c r="G46" i="1" s="1"/>
  <c r="I14" i="4"/>
  <c r="I31" i="4"/>
  <c r="J31" i="4" s="1"/>
  <c r="I46" i="1"/>
  <c r="S52" i="1"/>
  <c r="S48" i="1"/>
  <c r="L57" i="1"/>
  <c r="L58" i="1" s="1"/>
  <c r="S53" i="1"/>
  <c r="S50" i="1"/>
  <c r="M57" i="1"/>
  <c r="M58" i="1" s="1"/>
  <c r="S51" i="1"/>
  <c r="S54" i="1"/>
  <c r="H55" i="1"/>
  <c r="I31" i="10"/>
  <c r="J31" i="10" s="1"/>
  <c r="C50" i="10"/>
  <c r="I11" i="10"/>
  <c r="J11" i="10" s="1"/>
  <c r="I28" i="10"/>
  <c r="J28" i="10" s="1"/>
  <c r="J26" i="4"/>
  <c r="I13" i="10"/>
  <c r="J13" i="10" s="1"/>
  <c r="I16" i="10"/>
  <c r="J16" i="10" s="1"/>
  <c r="I15" i="10"/>
  <c r="J15" i="10" s="1"/>
  <c r="I30" i="10"/>
  <c r="J30" i="10" s="1"/>
  <c r="I21" i="10"/>
  <c r="J21" i="10" s="1"/>
  <c r="O51" i="1"/>
  <c r="F4" i="16"/>
  <c r="G4" i="16" s="1"/>
  <c r="H4" i="16" s="1"/>
  <c r="I4" i="16" s="1"/>
  <c r="J4" i="16" s="1"/>
  <c r="K4" i="16" s="1"/>
  <c r="L4" i="16" s="1"/>
  <c r="M4" i="16" s="1"/>
  <c r="N4" i="16" s="1"/>
  <c r="E91" i="16"/>
  <c r="D46" i="1"/>
  <c r="D57" i="1" s="1"/>
  <c r="O49" i="1"/>
  <c r="O53" i="1"/>
  <c r="O52" i="1"/>
  <c r="O50" i="1"/>
  <c r="O48" i="1"/>
  <c r="C56" i="1"/>
  <c r="C55" i="1"/>
  <c r="N55" i="1" s="1"/>
  <c r="I35" i="10"/>
  <c r="J35" i="10" s="1"/>
  <c r="I37" i="10"/>
  <c r="J37" i="10" s="1"/>
  <c r="I33" i="10"/>
  <c r="J33" i="10" s="1"/>
  <c r="M26" i="1"/>
  <c r="M29" i="1"/>
  <c r="M31" i="1"/>
  <c r="C25" i="1"/>
  <c r="M32" i="1"/>
  <c r="C41" i="10" s="1"/>
  <c r="I36" i="10"/>
  <c r="J36" i="10" s="1"/>
  <c r="I34" i="10"/>
  <c r="J34" i="10" s="1"/>
  <c r="AC25" i="27" l="1"/>
  <c r="E30" i="27" s="1"/>
  <c r="E36" i="27"/>
  <c r="E37" i="27" s="1"/>
  <c r="S9" i="19"/>
  <c r="R9" i="19"/>
  <c r="S8" i="19"/>
  <c r="R8" i="19"/>
  <c r="R6" i="19"/>
  <c r="S6" i="19"/>
  <c r="AE3" i="23" a="1"/>
  <c r="AE3" i="23" s="1"/>
  <c r="E56" i="4"/>
  <c r="X6" i="4"/>
  <c r="W23" i="4"/>
  <c r="W11" i="4"/>
  <c r="W20" i="4" s="1"/>
  <c r="W21" i="4"/>
  <c r="W24" i="4"/>
  <c r="L20" i="22"/>
  <c r="D56" i="4" s="1"/>
  <c r="J20" i="10"/>
  <c r="L25" i="4"/>
  <c r="J14" i="4"/>
  <c r="K26" i="4"/>
  <c r="L40" i="4"/>
  <c r="L9" i="4"/>
  <c r="L41" i="4" s="1"/>
  <c r="J38" i="4"/>
  <c r="K31" i="4"/>
  <c r="L31" i="4" s="1"/>
  <c r="H56" i="1"/>
  <c r="D55" i="1"/>
  <c r="O55" i="1" s="1"/>
  <c r="I50" i="10"/>
  <c r="J50" i="10" s="1"/>
  <c r="O47" i="1"/>
  <c r="D56" i="1" s="1"/>
  <c r="I41" i="10"/>
  <c r="J41" i="10" s="1"/>
  <c r="M27" i="1"/>
  <c r="M28" i="1"/>
  <c r="E40" i="27" l="1"/>
  <c r="S30" i="27" s="1"/>
  <c r="S35" i="27" s="1"/>
  <c r="S39" i="27" s="1"/>
  <c r="AF3" i="23"/>
  <c r="AH3" i="23"/>
  <c r="AI3" i="23"/>
  <c r="AG3" i="23"/>
  <c r="M40" i="4"/>
  <c r="X23" i="4"/>
  <c r="Y6" i="4"/>
  <c r="X11" i="4"/>
  <c r="X20" i="4" s="1"/>
  <c r="X8" i="4"/>
  <c r="X21" i="4"/>
  <c r="X24" i="4"/>
  <c r="M25" i="4"/>
  <c r="N25" i="4" s="1"/>
  <c r="L26" i="4"/>
  <c r="M31" i="4"/>
  <c r="K14" i="4"/>
  <c r="M9" i="4"/>
  <c r="M41" i="4" s="1"/>
  <c r="K10" i="4"/>
  <c r="K12" i="4" s="1"/>
  <c r="K44" i="4" s="1"/>
  <c r="J12" i="4"/>
  <c r="J44" i="4" s="1"/>
  <c r="J28" i="4" s="1"/>
  <c r="J39" i="4"/>
  <c r="E38" i="27" l="1"/>
  <c r="Y11" i="4"/>
  <c r="Y20" i="4" s="1"/>
  <c r="Z6" i="4"/>
  <c r="Y23" i="4"/>
  <c r="Y8" i="4"/>
  <c r="Y21" i="4"/>
  <c r="Y24" i="4"/>
  <c r="N31" i="4"/>
  <c r="O31" i="4" s="1"/>
  <c r="O25" i="4"/>
  <c r="O26" i="4" s="1"/>
  <c r="N26" i="4"/>
  <c r="L14" i="4"/>
  <c r="M26" i="4"/>
  <c r="N40" i="4"/>
  <c r="N9" i="4"/>
  <c r="N41" i="4" s="1"/>
  <c r="K39" i="4"/>
  <c r="K38" i="4"/>
  <c r="K28" i="4"/>
  <c r="AA6" i="4" l="1"/>
  <c r="AA8" i="4" s="1"/>
  <c r="Z23" i="4"/>
  <c r="Z11" i="4"/>
  <c r="Z20" i="4" s="1"/>
  <c r="Z8" i="4"/>
  <c r="Z21" i="4"/>
  <c r="Z24" i="4"/>
  <c r="P25" i="4"/>
  <c r="Q25" i="4" s="1"/>
  <c r="P31" i="4"/>
  <c r="M14" i="4"/>
  <c r="O40" i="4"/>
  <c r="O9" i="4"/>
  <c r="O41" i="4" s="1"/>
  <c r="L10" i="4"/>
  <c r="L12" i="4" s="1"/>
  <c r="L44" i="4" s="1"/>
  <c r="L28" i="4" s="1"/>
  <c r="AB6" i="4" l="1"/>
  <c r="AA23" i="4"/>
  <c r="AA11" i="4"/>
  <c r="AA20" i="4" s="1"/>
  <c r="AA21" i="4"/>
  <c r="AA24" i="4"/>
  <c r="P26" i="4"/>
  <c r="Q31" i="4"/>
  <c r="Q26" i="4"/>
  <c r="R25" i="4"/>
  <c r="S25" i="4" s="1"/>
  <c r="N14" i="4"/>
  <c r="P9" i="4"/>
  <c r="P41" i="4" s="1"/>
  <c r="P40" i="4"/>
  <c r="L39" i="4"/>
  <c r="L38" i="4"/>
  <c r="AC6" i="4" l="1"/>
  <c r="AB23" i="4"/>
  <c r="AB11" i="4"/>
  <c r="AB20" i="4" s="1"/>
  <c r="AB21" i="4"/>
  <c r="AB8" i="4"/>
  <c r="AB24" i="4"/>
  <c r="T25" i="4"/>
  <c r="T26" i="4" s="1"/>
  <c r="R31" i="4"/>
  <c r="S31" i="4" s="1"/>
  <c r="S26" i="4"/>
  <c r="R26" i="4"/>
  <c r="O14" i="4"/>
  <c r="P14" i="4" s="1"/>
  <c r="Q9" i="4"/>
  <c r="Q41" i="4" s="1"/>
  <c r="Q40" i="4"/>
  <c r="M10" i="4"/>
  <c r="M12" i="4" s="1"/>
  <c r="M44" i="4" s="1"/>
  <c r="M28" i="4" s="1"/>
  <c r="U25" i="4" l="1"/>
  <c r="V25" i="4" s="1"/>
  <c r="V26" i="4" s="1"/>
  <c r="AC23" i="4"/>
  <c r="AD6" i="4"/>
  <c r="AC11" i="4"/>
  <c r="AC20" i="4" s="1"/>
  <c r="AC21" i="4"/>
  <c r="AC24" i="4"/>
  <c r="AC8" i="4"/>
  <c r="T31" i="4"/>
  <c r="U31" i="4" s="1"/>
  <c r="Q14" i="4"/>
  <c r="R40" i="4"/>
  <c r="R9" i="4"/>
  <c r="R41" i="4" s="1"/>
  <c r="M39" i="4"/>
  <c r="M38" i="4"/>
  <c r="F22" i="4"/>
  <c r="W25" i="4" l="1"/>
  <c r="W26" i="4" s="1"/>
  <c r="U26" i="4"/>
  <c r="AE6" i="4"/>
  <c r="AD23" i="4"/>
  <c r="AD11" i="4"/>
  <c r="AD20" i="4" s="1"/>
  <c r="AD21" i="4"/>
  <c r="AD8" i="4"/>
  <c r="AD24" i="4"/>
  <c r="R14" i="4"/>
  <c r="S14" i="4" s="1"/>
  <c r="T14" i="4" s="1"/>
  <c r="V31" i="4"/>
  <c r="F34" i="4"/>
  <c r="F36" i="4" s="1"/>
  <c r="F43" i="4" s="1"/>
  <c r="G13" i="4" s="1"/>
  <c r="S9" i="4"/>
  <c r="S41" i="4" s="1"/>
  <c r="S40" i="4"/>
  <c r="N10" i="4"/>
  <c r="X25" i="4" l="1"/>
  <c r="Y25" i="4" s="1"/>
  <c r="Z25" i="4" s="1"/>
  <c r="AE11" i="4"/>
  <c r="AE20" i="4" s="1"/>
  <c r="AE23" i="4"/>
  <c r="AF6" i="4"/>
  <c r="AE8" i="4"/>
  <c r="AE21" i="4"/>
  <c r="AE24" i="4"/>
  <c r="W31" i="4"/>
  <c r="X31" i="4" s="1"/>
  <c r="U14" i="4"/>
  <c r="G15" i="4"/>
  <c r="G17" i="4" s="1"/>
  <c r="G19" i="4" s="1"/>
  <c r="T40" i="4"/>
  <c r="T9" i="4"/>
  <c r="T41" i="4" s="1"/>
  <c r="N12" i="4"/>
  <c r="N44" i="4" s="1"/>
  <c r="N28" i="4" s="1"/>
  <c r="N39" i="4"/>
  <c r="N38" i="4"/>
  <c r="X26" i="4" l="1"/>
  <c r="AF23" i="4"/>
  <c r="AG23" i="4" s="1"/>
  <c r="AF11" i="4"/>
  <c r="AF20" i="4" s="1"/>
  <c r="AF21" i="4"/>
  <c r="AF24" i="4"/>
  <c r="AF8" i="4"/>
  <c r="Z26" i="4"/>
  <c r="Y26" i="4"/>
  <c r="AA25" i="4"/>
  <c r="Y31" i="4"/>
  <c r="Z31" i="4" s="1"/>
  <c r="V14" i="4"/>
  <c r="G22" i="4"/>
  <c r="U40" i="4"/>
  <c r="U9" i="4"/>
  <c r="U41" i="4" s="1"/>
  <c r="O10" i="4"/>
  <c r="O12" i="4" s="1"/>
  <c r="O44" i="4" s="1"/>
  <c r="O28" i="4" s="1"/>
  <c r="AB25" i="4" l="1"/>
  <c r="AC25" i="4" s="1"/>
  <c r="AA31" i="4"/>
  <c r="AA26" i="4"/>
  <c r="W14" i="4"/>
  <c r="G30" i="4"/>
  <c r="G32" i="4" s="1"/>
  <c r="G34" i="4"/>
  <c r="V9" i="4"/>
  <c r="V41" i="4" s="1"/>
  <c r="V40" i="4"/>
  <c r="O39" i="4"/>
  <c r="O38" i="4"/>
  <c r="P10" i="4" s="1"/>
  <c r="P12" i="4" s="1"/>
  <c r="P44" i="4" s="1"/>
  <c r="P28" i="4" s="1"/>
  <c r="AB26" i="4" l="1"/>
  <c r="AD25" i="4"/>
  <c r="AD26" i="4" s="1"/>
  <c r="AC26" i="4"/>
  <c r="AB31" i="4"/>
  <c r="X14" i="4"/>
  <c r="G35" i="4"/>
  <c r="W9" i="4"/>
  <c r="W41" i="4" s="1"/>
  <c r="W40" i="4"/>
  <c r="P38" i="4"/>
  <c r="P39" i="4"/>
  <c r="AE25" i="4" l="1"/>
  <c r="AF25" i="4" s="1"/>
  <c r="AF26" i="4" s="1"/>
  <c r="AC31" i="4"/>
  <c r="Y14" i="4"/>
  <c r="Z14" i="4" s="1"/>
  <c r="G36" i="4"/>
  <c r="G43" i="4" s="1"/>
  <c r="X40" i="4"/>
  <c r="X9" i="4"/>
  <c r="X41" i="4" s="1"/>
  <c r="Q10" i="4"/>
  <c r="Q12" i="4" s="1"/>
  <c r="Q44" i="4" s="1"/>
  <c r="Q28" i="4" s="1"/>
  <c r="H13" i="4" l="1"/>
  <c r="H15" i="4" s="1"/>
  <c r="H16" i="4" s="1"/>
  <c r="H17" i="4" s="1"/>
  <c r="H30" i="4" s="1"/>
  <c r="AE26" i="4"/>
  <c r="AD31" i="4"/>
  <c r="AE31" i="4" s="1"/>
  <c r="AF31" i="4" s="1"/>
  <c r="AA14" i="4"/>
  <c r="AB14" i="4" s="1"/>
  <c r="Y40" i="4"/>
  <c r="Y9" i="4"/>
  <c r="Y41" i="4" s="1"/>
  <c r="Q38" i="4"/>
  <c r="Q39" i="4"/>
  <c r="H19" i="4" l="1"/>
  <c r="AC14" i="4"/>
  <c r="H35" i="4"/>
  <c r="H32" i="4"/>
  <c r="Z9" i="4"/>
  <c r="Z41" i="4" s="1"/>
  <c r="Z40" i="4"/>
  <c r="R10" i="4"/>
  <c r="R12" i="4" s="1"/>
  <c r="R44" i="4" s="1"/>
  <c r="R28" i="4" s="1"/>
  <c r="H22" i="4" l="1"/>
  <c r="H34" i="4" s="1"/>
  <c r="H36" i="4" s="1"/>
  <c r="H43" i="4" s="1"/>
  <c r="AD14" i="4"/>
  <c r="AE14" i="4" s="1"/>
  <c r="AA9" i="4"/>
  <c r="AA40" i="4"/>
  <c r="R38" i="4"/>
  <c r="R39" i="4"/>
  <c r="AA41" i="4" l="1"/>
  <c r="I13" i="4"/>
  <c r="I15" i="4" s="1"/>
  <c r="I16" i="4" s="1"/>
  <c r="I17" i="4" s="1"/>
  <c r="I29" i="4" s="1"/>
  <c r="F93" i="22" s="1"/>
  <c r="AF14" i="4"/>
  <c r="AB40" i="4"/>
  <c r="AB9" i="4"/>
  <c r="S10" i="4"/>
  <c r="S12" i="4" s="1"/>
  <c r="S44" i="4" s="1"/>
  <c r="S28" i="4" s="1"/>
  <c r="AB41" i="4" l="1"/>
  <c r="I19" i="4"/>
  <c r="I22" i="4" s="1"/>
  <c r="I34" i="4" s="1"/>
  <c r="I30" i="4"/>
  <c r="AC40" i="4"/>
  <c r="AC9" i="4"/>
  <c r="S38" i="4"/>
  <c r="S39" i="4"/>
  <c r="AC41" i="4" l="1"/>
  <c r="I32" i="4"/>
  <c r="I35" i="4"/>
  <c r="AD40" i="4"/>
  <c r="AD9" i="4"/>
  <c r="T10" i="4"/>
  <c r="T12" i="4" s="1"/>
  <c r="T44" i="4" s="1"/>
  <c r="T28" i="4" s="1"/>
  <c r="AD41" i="4" l="1"/>
  <c r="I36" i="4"/>
  <c r="I43" i="4" s="1"/>
  <c r="AE9" i="4"/>
  <c r="AE40" i="4"/>
  <c r="T38" i="4"/>
  <c r="T39" i="4"/>
  <c r="AE41" i="4" l="1"/>
  <c r="J13" i="4"/>
  <c r="J15" i="4" s="1"/>
  <c r="J16" i="4" s="1"/>
  <c r="J17" i="4" s="1"/>
  <c r="J29" i="4" s="1"/>
  <c r="G93" i="22" s="1"/>
  <c r="AF40" i="4"/>
  <c r="AG40" i="4" s="1"/>
  <c r="AF9" i="4"/>
  <c r="AG9" i="4" s="1"/>
  <c r="AH24" i="4" s="1"/>
  <c r="U10" i="4"/>
  <c r="U12" i="4" s="1"/>
  <c r="U44" i="4" s="1"/>
  <c r="U28" i="4" s="1"/>
  <c r="J30" i="4" l="1"/>
  <c r="J19" i="4"/>
  <c r="J22" i="4" s="1"/>
  <c r="J34" i="4" s="1"/>
  <c r="AF41" i="4"/>
  <c r="AG41" i="4" s="1"/>
  <c r="U38" i="4"/>
  <c r="V10" i="4" s="1"/>
  <c r="V12" i="4" s="1"/>
  <c r="V44" i="4" s="1"/>
  <c r="V28" i="4" s="1"/>
  <c r="U39" i="4"/>
  <c r="J32" i="4" l="1"/>
  <c r="J35" i="4"/>
  <c r="J36" i="4" s="1"/>
  <c r="J43" i="4" s="1"/>
  <c r="K13" i="4" s="1"/>
  <c r="K15" i="4" s="1"/>
  <c r="K16" i="4" s="1"/>
  <c r="K17" i="4" s="1"/>
  <c r="K29" i="4" s="1"/>
  <c r="H93" i="22" s="1"/>
  <c r="V39" i="4"/>
  <c r="V38" i="4"/>
  <c r="K19" i="4" l="1"/>
  <c r="K22" i="4" s="1"/>
  <c r="K34" i="4" s="1"/>
  <c r="K30" i="4"/>
  <c r="K32" i="4" s="1"/>
  <c r="W10" i="4"/>
  <c r="W38" i="4" s="1"/>
  <c r="K35" i="4" l="1"/>
  <c r="X10" i="4"/>
  <c r="X12" i="4" s="1"/>
  <c r="X44" i="4" s="1"/>
  <c r="W12" i="4"/>
  <c r="W44" i="4" s="1"/>
  <c r="W28" i="4" s="1"/>
  <c r="W39" i="4"/>
  <c r="K36" i="4" l="1"/>
  <c r="K43" i="4" s="1"/>
  <c r="L13" i="4" s="1"/>
  <c r="L15" i="4" s="1"/>
  <c r="L16" i="4" s="1"/>
  <c r="L17" i="4" s="1"/>
  <c r="L19" i="4" s="1"/>
  <c r="L22" i="4" s="1"/>
  <c r="L34" i="4" s="1"/>
  <c r="X39" i="4"/>
  <c r="X38" i="4"/>
  <c r="X28" i="4"/>
  <c r="L29" i="4" l="1"/>
  <c r="I93" i="22" s="1"/>
  <c r="L30" i="4"/>
  <c r="Y10" i="4"/>
  <c r="L32" i="4" l="1"/>
  <c r="L35" i="4"/>
  <c r="Y12" i="4"/>
  <c r="Y44" i="4" s="1"/>
  <c r="Y28" i="4" s="1"/>
  <c r="Y39" i="4"/>
  <c r="Y38" i="4"/>
  <c r="L36" i="4" l="1"/>
  <c r="L43" i="4" s="1"/>
  <c r="M13" i="4" s="1"/>
  <c r="M15" i="4" s="1"/>
  <c r="M16" i="4" s="1"/>
  <c r="M17" i="4" s="1"/>
  <c r="M29" i="4" s="1"/>
  <c r="J93" i="22" s="1"/>
  <c r="Z10" i="4"/>
  <c r="Z12" i="4" s="1"/>
  <c r="Z44" i="4" s="1"/>
  <c r="Z28" i="4" s="1"/>
  <c r="M30" i="4" l="1"/>
  <c r="M35" i="4" s="1"/>
  <c r="M19" i="4"/>
  <c r="M22" i="4" s="1"/>
  <c r="M34" i="4" s="1"/>
  <c r="Z39" i="4"/>
  <c r="Z38" i="4"/>
  <c r="M32" i="4" l="1"/>
  <c r="M36" i="4"/>
  <c r="M43" i="4" s="1"/>
  <c r="N13" i="4" s="1"/>
  <c r="N15" i="4" s="1"/>
  <c r="N16" i="4" s="1"/>
  <c r="N17" i="4" s="1"/>
  <c r="N30" i="4" s="1"/>
  <c r="AA10" i="4"/>
  <c r="AA38" i="4" l="1"/>
  <c r="AB10" i="4" s="1"/>
  <c r="AB12" i="4" s="1"/>
  <c r="AB44" i="4" s="1"/>
  <c r="AA12" i="4"/>
  <c r="AA44" i="4" s="1"/>
  <c r="AA28" i="4" s="1"/>
  <c r="N29" i="4"/>
  <c r="N19" i="4"/>
  <c r="N22" i="4" s="1"/>
  <c r="N34" i="4" s="1"/>
  <c r="AA39" i="4"/>
  <c r="N35" i="4" l="1"/>
  <c r="N36" i="4" s="1"/>
  <c r="N43" i="4" s="1"/>
  <c r="O13" i="4" s="1"/>
  <c r="O15" i="4" s="1"/>
  <c r="O16" i="4" s="1"/>
  <c r="O17" i="4" s="1"/>
  <c r="O29" i="4" s="1"/>
  <c r="L93" i="22" s="1"/>
  <c r="K93" i="22"/>
  <c r="N32" i="4"/>
  <c r="AB28" i="4"/>
  <c r="AB39" i="4"/>
  <c r="AB38" i="4"/>
  <c r="D79" i="4" l="1"/>
  <c r="O30" i="4"/>
  <c r="O35" i="4" s="1"/>
  <c r="O19" i="4"/>
  <c r="O22" i="4" s="1"/>
  <c r="O34" i="4" s="1"/>
  <c r="D78" i="4"/>
  <c r="AC10" i="4"/>
  <c r="AC12" i="4" s="1"/>
  <c r="AC44" i="4" s="1"/>
  <c r="AC28" i="4" s="1"/>
  <c r="O36" i="4" l="1"/>
  <c r="O43" i="4" s="1"/>
  <c r="P13" i="4" s="1"/>
  <c r="P15" i="4" s="1"/>
  <c r="P16" i="4" s="1"/>
  <c r="P17" i="4" s="1"/>
  <c r="O32" i="4"/>
  <c r="AC39" i="4"/>
  <c r="AC38" i="4"/>
  <c r="AD10" i="4" s="1"/>
  <c r="P30" i="4" l="1"/>
  <c r="P19" i="4"/>
  <c r="P22" i="4" s="1"/>
  <c r="P34" i="4" s="1"/>
  <c r="P29" i="4"/>
  <c r="M93" i="22" s="1"/>
  <c r="AD12" i="4"/>
  <c r="AD44" i="4" s="1"/>
  <c r="AD28" i="4" s="1"/>
  <c r="P32" i="4" l="1"/>
  <c r="P35" i="4"/>
  <c r="P36" i="4" s="1"/>
  <c r="P43" i="4" s="1"/>
  <c r="Q13" i="4" s="1"/>
  <c r="Q15" i="4" s="1"/>
  <c r="Q16" i="4" s="1"/>
  <c r="Q17" i="4" s="1"/>
  <c r="Q29" i="4" s="1"/>
  <c r="AD39" i="4"/>
  <c r="AD38" i="4"/>
  <c r="N93" i="22" l="1"/>
  <c r="Q19" i="4"/>
  <c r="Q22" i="4" s="1"/>
  <c r="Q34" i="4" s="1"/>
  <c r="Q30" i="4"/>
  <c r="AE10" i="4"/>
  <c r="AE38" i="4" s="1"/>
  <c r="Q35" i="4" l="1"/>
  <c r="Q36" i="4" s="1"/>
  <c r="Q43" i="4" s="1"/>
  <c r="R13" i="4" s="1"/>
  <c r="R15" i="4" s="1"/>
  <c r="R16" i="4" s="1"/>
  <c r="R17" i="4" s="1"/>
  <c r="R29" i="4" s="1"/>
  <c r="Q32" i="4"/>
  <c r="AF10" i="4"/>
  <c r="AF12" i="4" s="1"/>
  <c r="AF44" i="4" s="1"/>
  <c r="AE12" i="4"/>
  <c r="AE44" i="4" s="1"/>
  <c r="AE28" i="4" s="1"/>
  <c r="AE39" i="4"/>
  <c r="R30" i="4" l="1"/>
  <c r="R19" i="4"/>
  <c r="R22" i="4" s="1"/>
  <c r="R34" i="4" s="1"/>
  <c r="AF39" i="4"/>
  <c r="AG39" i="4" s="1"/>
  <c r="AF28" i="4"/>
  <c r="AF38" i="4"/>
  <c r="AG38" i="4" s="1"/>
  <c r="R32" i="4" l="1"/>
  <c r="R35" i="4"/>
  <c r="R36" i="4" s="1"/>
  <c r="R43" i="4" s="1"/>
  <c r="S13" i="4" s="1"/>
  <c r="S15" i="4" s="1"/>
  <c r="S16" i="4" s="1"/>
  <c r="S17" i="4" s="1"/>
  <c r="S29" i="4" s="1"/>
  <c r="S30" i="4" l="1"/>
  <c r="S19" i="4"/>
  <c r="S22" i="4" s="1"/>
  <c r="S34" i="4" s="1"/>
  <c r="S35" i="4" l="1"/>
  <c r="S36" i="4" s="1"/>
  <c r="S43" i="4" s="1"/>
  <c r="T13" i="4" s="1"/>
  <c r="T15" i="4" s="1"/>
  <c r="T16" i="4" s="1"/>
  <c r="T17" i="4" s="1"/>
  <c r="T29" i="4" s="1"/>
  <c r="S32" i="4"/>
  <c r="T30" i="4" l="1"/>
  <c r="T32" i="4" s="1"/>
  <c r="T19" i="4"/>
  <c r="T22" i="4" s="1"/>
  <c r="T34" i="4" s="1"/>
  <c r="T35" i="4" l="1"/>
  <c r="T36" i="4" s="1"/>
  <c r="T43" i="4" s="1"/>
  <c r="U13" i="4" s="1"/>
  <c r="U15" i="4" s="1"/>
  <c r="U16" i="4" s="1"/>
  <c r="U17" i="4" s="1"/>
  <c r="U29" i="4" s="1"/>
  <c r="U30" i="4" l="1"/>
  <c r="U32" i="4" s="1"/>
  <c r="U19" i="4"/>
  <c r="U22" i="4" s="1"/>
  <c r="U34" i="4" s="1"/>
  <c r="U35" i="4" l="1"/>
  <c r="U36" i="4" s="1"/>
  <c r="U43" i="4" s="1"/>
  <c r="V13" i="4" s="1"/>
  <c r="V15" i="4" s="1"/>
  <c r="V16" i="4" s="1"/>
  <c r="V17" i="4" s="1"/>
  <c r="V29" i="4" s="1"/>
  <c r="V19" i="4" l="1"/>
  <c r="V22" i="4" s="1"/>
  <c r="V34" i="4" s="1"/>
  <c r="V30" i="4"/>
  <c r="V32" i="4" s="1"/>
  <c r="V35" i="4" l="1"/>
  <c r="V36" i="4" s="1"/>
  <c r="V43" i="4" s="1"/>
  <c r="W13" i="4" s="1"/>
  <c r="W15" i="4" s="1"/>
  <c r="W16" i="4" s="1"/>
  <c r="W17" i="4" s="1"/>
  <c r="W29" i="4" s="1"/>
  <c r="W30" i="4" l="1"/>
  <c r="W35" i="4" s="1"/>
  <c r="W19" i="4"/>
  <c r="W22" i="4" s="1"/>
  <c r="W34" i="4" s="1"/>
  <c r="W36" i="4" l="1"/>
  <c r="W43" i="4" s="1"/>
  <c r="X13" i="4" s="1"/>
  <c r="X15" i="4" s="1"/>
  <c r="X16" i="4" s="1"/>
  <c r="X17" i="4" s="1"/>
  <c r="X29" i="4" s="1"/>
  <c r="W32" i="4"/>
  <c r="X30" i="4" l="1"/>
  <c r="X35" i="4" s="1"/>
  <c r="X19" i="4"/>
  <c r="X22" i="4" s="1"/>
  <c r="X34" i="4" s="1"/>
  <c r="X36" i="4" l="1"/>
  <c r="X43" i="4" s="1"/>
  <c r="Y13" i="4" s="1"/>
  <c r="Y15" i="4" s="1"/>
  <c r="Y16" i="4" s="1"/>
  <c r="Y17" i="4" s="1"/>
  <c r="Y29" i="4" s="1"/>
  <c r="X32" i="4"/>
  <c r="Y19" i="4" l="1"/>
  <c r="Y22" i="4" s="1"/>
  <c r="Y34" i="4" s="1"/>
  <c r="Y30" i="4"/>
  <c r="Y35" i="4" l="1"/>
  <c r="Y36" i="4" s="1"/>
  <c r="Y43" i="4" s="1"/>
  <c r="Z13" i="4" s="1"/>
  <c r="Z15" i="4" s="1"/>
  <c r="Z16" i="4" s="1"/>
  <c r="Z17" i="4" s="1"/>
  <c r="Z29" i="4" s="1"/>
  <c r="Y32" i="4"/>
  <c r="Z30" i="4" l="1"/>
  <c r="Z35" i="4" s="1"/>
  <c r="Z19" i="4"/>
  <c r="Z22" i="4" s="1"/>
  <c r="Z34" i="4" s="1"/>
  <c r="Z36" i="4" l="1"/>
  <c r="Z43" i="4" s="1"/>
  <c r="AA13" i="4" s="1"/>
  <c r="AA15" i="4" s="1"/>
  <c r="AA16" i="4" s="1"/>
  <c r="AA17" i="4" s="1"/>
  <c r="AA29" i="4" s="1"/>
  <c r="Z32" i="4"/>
  <c r="AA19" i="4" l="1"/>
  <c r="AA22" i="4" s="1"/>
  <c r="AA34" i="4" s="1"/>
  <c r="AA30" i="4"/>
  <c r="AA35" i="4" s="1"/>
  <c r="AA32" i="4" l="1"/>
  <c r="AA36" i="4"/>
  <c r="AA43" i="4" s="1"/>
  <c r="AB13" i="4" s="1"/>
  <c r="AB15" i="4" s="1"/>
  <c r="AB16" i="4" s="1"/>
  <c r="AB17" i="4" s="1"/>
  <c r="AB29" i="4" s="1"/>
  <c r="AB19" i="4" l="1"/>
  <c r="AB22" i="4" s="1"/>
  <c r="AB34" i="4" s="1"/>
  <c r="AB30" i="4"/>
  <c r="AB35" i="4" s="1"/>
  <c r="AB36" i="4" l="1"/>
  <c r="AB43" i="4" s="1"/>
  <c r="AC13" i="4" s="1"/>
  <c r="AC15" i="4" s="1"/>
  <c r="AC16" i="4" s="1"/>
  <c r="AC17" i="4" s="1"/>
  <c r="AC29" i="4" s="1"/>
  <c r="AB32" i="4"/>
  <c r="AC19" i="4" l="1"/>
  <c r="AC22" i="4" s="1"/>
  <c r="AC34" i="4" s="1"/>
  <c r="AC30" i="4"/>
  <c r="AC32" i="4" l="1"/>
  <c r="AC35" i="4"/>
  <c r="AC36" i="4" s="1"/>
  <c r="AC43" i="4" s="1"/>
  <c r="AD13" i="4" s="1"/>
  <c r="AD15" i="4" s="1"/>
  <c r="AD16" i="4" s="1"/>
  <c r="AD17" i="4" s="1"/>
  <c r="AD29" i="4" s="1"/>
  <c r="AD19" i="4" l="1"/>
  <c r="AD22" i="4" s="1"/>
  <c r="AD34" i="4" s="1"/>
  <c r="AD30" i="4"/>
  <c r="AD32" i="4" s="1"/>
  <c r="AD35" i="4" l="1"/>
  <c r="AD36" i="4" s="1"/>
  <c r="AD43" i="4" s="1"/>
  <c r="AE13" i="4" s="1"/>
  <c r="AE15" i="4" s="1"/>
  <c r="AE16" i="4" s="1"/>
  <c r="AE17" i="4" s="1"/>
  <c r="AE29" i="4" s="1"/>
  <c r="D36" i="4"/>
  <c r="AE30" i="4" l="1"/>
  <c r="AE35" i="4" s="1"/>
  <c r="AE19" i="4"/>
  <c r="AE22" i="4" s="1"/>
  <c r="AE34" i="4" s="1"/>
  <c r="B63" i="17"/>
  <c r="AE36" i="4" l="1"/>
  <c r="AE43" i="4" s="1"/>
  <c r="AF13" i="4" s="1"/>
  <c r="AF15" i="4" s="1"/>
  <c r="AF16" i="4" s="1"/>
  <c r="AF17" i="4" s="1"/>
  <c r="AF29" i="4" s="1"/>
  <c r="AE32" i="4"/>
  <c r="AF19" i="4" l="1"/>
  <c r="AF22" i="4" s="1"/>
  <c r="AF34" i="4" s="1"/>
  <c r="D72" i="4" s="1"/>
  <c r="AF30" i="4"/>
  <c r="AF32" i="4" l="1"/>
  <c r="AF35" i="4"/>
  <c r="AF36" i="4" l="1"/>
  <c r="AF43" i="4" s="1"/>
  <c r="D71" i="4" s="1"/>
  <c r="D73" i="4" s="1"/>
  <c r="D76" i="4" l="1"/>
  <c r="D75" i="4" s="1"/>
  <c r="E72" i="4"/>
  <c r="E71" i="4"/>
  <c r="E79" i="4" l="1"/>
  <c r="J42" i="1"/>
  <c r="H40" i="1"/>
  <c r="E7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tc={B8360AB7-5DB1-45D3-ABF9-3AFEF51621D6}</author>
    <author>tc={D17B5162-9C54-4F03-8882-3A424C1A2E60}</author>
    <author>tc={74106D0B-4568-4C95-B1A7-D780E3BD20D3}</author>
    <author>Eduardo Ferreira</author>
  </authors>
  <commentList>
    <comment ref="B2" authorId="0" shapeId="0" xr:uid="{B8360AB7-5DB1-45D3-ABF9-3AFEF51621D6}">
      <text>
        <t>[Threaded comment]
Your version of Excel allows you to read this threaded comment; however, any edits to it will get removed if the file is opened in a newer version of Excel. Learn more: https://go.microsoft.com/fwlink/?linkid=870924
Comment:
    Date of last update of the report</t>
      </text>
    </comment>
    <comment ref="D2" authorId="1" shapeId="0" xr:uid="{D17B5162-9C54-4F03-8882-3A424C1A2E60}">
      <text>
        <t>[Threaded comment]
Your version of Excel allows you to read this threaded comment; however, any edits to it will get removed if the file is opened in a newer version of Excel. Learn more: https://go.microsoft.com/fwlink/?linkid=870924
Comment:
    Insert the date when the company will issue their next quarter/annual report</t>
      </text>
    </comment>
    <comment ref="L2" authorId="2" shapeId="0" xr:uid="{74106D0B-4568-4C95-B1A7-D780E3BD20D3}">
      <text>
        <t>[Threaded comment]
Your version of Excel allows you to read this threaded comment; however, any edits to it will get removed if the file is opened in a newer version of Excel. Learn more: https://go.microsoft.com/fwlink/?linkid=870924
Comment:
    In what exchange the company is listed in (Input the main exchange)</t>
      </text>
    </comment>
    <comment ref="D45" authorId="3" shapeId="0" xr:uid="{3E3FFF3C-33A9-994C-B6DA-EFA3EDE9D6C0}">
      <text>
        <r>
          <rPr>
            <sz val="12"/>
            <color rgb="FFFFFFFF"/>
            <rFont val="Calibri"/>
            <family val="2"/>
          </rPr>
          <t>Eduardo Ferreira:</t>
        </r>
        <r>
          <rPr>
            <sz val="10"/>
            <color rgb="FF000000"/>
            <rFont val="Arial"/>
            <family val="2"/>
          </rPr>
          <t xml:space="preserve">
</t>
        </r>
        <r>
          <rPr>
            <sz val="10"/>
            <color rgb="FF000000"/>
            <rFont val="Arial"/>
            <family val="2"/>
          </rPr>
          <t xml:space="preserve">Op. Earnings is Earnings after Cost of good solds, regular selling, general, and adminin costs of running a business, excluding interest and taxes. (EBIT)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Damião Carvalho Perdigão Gonçalves Ribeiro</author>
  </authors>
  <commentList>
    <comment ref="K1" authorId="0" shapeId="0" xr:uid="{184A6058-1AB3-4A28-A1D1-6239237C27B5}">
      <text>
        <r>
          <rPr>
            <sz val="10"/>
            <rFont val="Arial"/>
            <family val="2"/>
          </rPr>
          <t>Damião Carvalho Perdigão Gonçalves Ribeiro:
Adjust length of formulas to number of companies provided by Refinitiv</t>
        </r>
      </text>
    </comment>
    <comment ref="V2" authorId="0" shapeId="0" xr:uid="{36153C84-419C-4EE8-AB46-BA7A3B30CBC2}">
      <text>
        <r>
          <rPr>
            <sz val="10"/>
            <rFont val="Arial"/>
            <family val="2"/>
          </rPr>
          <t>Damião Carvalho Perdigão Gonçalves Ribeiro:
Adjust length of formula to number of companies provided by Refinitiv</t>
        </r>
      </text>
    </comment>
    <comment ref="AE2" authorId="0" shapeId="0" xr:uid="{CBFE96F4-6BFC-42E0-B959-E7D7D2199F8A}">
      <text>
        <r>
          <rPr>
            <sz val="10"/>
            <color rgb="FF000000"/>
            <rFont val="Arial"/>
            <family val="2"/>
          </rPr>
          <t xml:space="preserve">Damião Carvalho Perdigão Gonçalves Ribeiro:
</t>
        </r>
        <r>
          <rPr>
            <sz val="10"/>
            <color rgb="FF000000"/>
            <rFont val="Arial"/>
            <family val="2"/>
          </rPr>
          <t>Adjust length of formula to number of companies provided by Refinitiv</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Manuel Torre do Vale e de Sequeira Mateus</author>
  </authors>
  <commentList>
    <comment ref="N20" authorId="0" shapeId="0" xr:uid="{3577CA2F-ADDF-4582-A1EB-75EB21221666}">
      <text>
        <r>
          <rPr>
            <sz val="10"/>
            <color rgb="FF000000"/>
            <rFont val="Arial"/>
            <family val="2"/>
          </rPr>
          <t xml:space="preserve">Manuel Torre do Vale e de Sequeira Mateus:
</t>
        </r>
        <r>
          <rPr>
            <sz val="10"/>
            <color rgb="FF000000"/>
            <rFont val="Arial"/>
            <family val="2"/>
          </rPr>
          <t xml:space="preserve">
</t>
        </r>
        <r>
          <rPr>
            <sz val="10"/>
            <color rgb="FF000000"/>
            <rFont val="Arial"/>
            <family val="2"/>
          </rPr>
          <t xml:space="preserve">
</t>
        </r>
        <r>
          <rPr>
            <sz val="10"/>
            <color rgb="FF000000"/>
            <rFont val="Arial"/>
            <family val="2"/>
          </rPr>
          <t>Companies who are requested to disclose their data and fail to do so, or fail to provide sufficient information to CDP to be evaluated will receive an F. An F does not indicate a failure in environmental stewardship.</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Maja</author>
    <author>l59267</author>
  </authors>
  <commentList>
    <comment ref="A9" authorId="0" shapeId="0" xr:uid="{21CFE10F-7AD4-164C-BE0A-369E54400B88}">
      <text>
        <r>
          <rPr>
            <b/>
            <sz val="10"/>
            <color rgb="FF000000"/>
            <rFont val="Tahoma"/>
            <family val="2"/>
            <charset val="238"/>
          </rPr>
          <t>Maja:</t>
        </r>
        <r>
          <rPr>
            <sz val="10"/>
            <color rgb="FF000000"/>
            <rFont val="Tahoma"/>
            <family val="2"/>
            <charset val="238"/>
          </rPr>
          <t xml:space="preserve">
</t>
        </r>
        <r>
          <rPr>
            <sz val="10"/>
            <color rgb="FF000000"/>
            <rFont val="Tahoma"/>
            <family val="2"/>
            <charset val="238"/>
          </rPr>
          <t xml:space="preserve">Non-operating income+Minority Interest+Equity in Affiliates+Extraordinaryy Item
</t>
        </r>
        <r>
          <rPr>
            <sz val="10"/>
            <color rgb="FF000000"/>
            <rFont val="Tahoma"/>
            <family val="2"/>
            <charset val="238"/>
          </rPr>
          <t xml:space="preserve">
</t>
        </r>
      </text>
    </comment>
    <comment ref="A10" authorId="0" shapeId="0" xr:uid="{D06BBB60-D6E0-524F-98DA-7B66FB23247A}">
      <text>
        <r>
          <rPr>
            <b/>
            <sz val="10"/>
            <color rgb="FF000000"/>
            <rFont val="Tahoma"/>
            <family val="2"/>
            <charset val="238"/>
          </rPr>
          <t>Maja:</t>
        </r>
        <r>
          <rPr>
            <sz val="10"/>
            <color rgb="FF000000"/>
            <rFont val="Tahoma"/>
            <family val="2"/>
            <charset val="238"/>
          </rPr>
          <t xml:space="preserve">
</t>
        </r>
        <r>
          <rPr>
            <sz val="10"/>
            <color rgb="FF000000"/>
            <rFont val="Tahoma"/>
            <family val="2"/>
            <charset val="238"/>
          </rPr>
          <t xml:space="preserve">Interest income (expense)
</t>
        </r>
      </text>
    </comment>
    <comment ref="A11" authorId="1" shapeId="0" xr:uid="{85757C3C-AF7F-4AA8-B9A8-083B6A597265}">
      <text>
        <r>
          <rPr>
            <b/>
            <sz val="9"/>
            <color rgb="FF000000"/>
            <rFont val="Tahoma"/>
            <family val="2"/>
          </rPr>
          <t>l59267:</t>
        </r>
        <r>
          <rPr>
            <sz val="9"/>
            <color rgb="FF000000"/>
            <rFont val="Tahoma"/>
            <family val="2"/>
          </rPr>
          <t xml:space="preserve">
</t>
        </r>
        <r>
          <rPr>
            <sz val="9"/>
            <color rgb="FF000000"/>
            <rFont val="Tahoma"/>
            <family val="2"/>
          </rPr>
          <t>Provision for income taxes</t>
        </r>
      </text>
    </comment>
    <comment ref="A33" authorId="0" shapeId="0" xr:uid="{55A69FBD-9CEB-C146-8AAF-F43F8B5B5535}">
      <text>
        <r>
          <rPr>
            <b/>
            <sz val="10"/>
            <color rgb="FF000000"/>
            <rFont val="Tahoma"/>
            <family val="2"/>
            <charset val="238"/>
          </rPr>
          <t>Maja:</t>
        </r>
        <r>
          <rPr>
            <sz val="10"/>
            <color rgb="FF000000"/>
            <rFont val="Tahoma"/>
            <family val="2"/>
            <charset val="238"/>
          </rPr>
          <t xml:space="preserve">
</t>
        </r>
        <r>
          <rPr>
            <sz val="10"/>
            <color rgb="FF000000"/>
            <rFont val="Tahoma"/>
            <family val="2"/>
            <charset val="238"/>
          </rPr>
          <t>gross</t>
        </r>
      </text>
    </comment>
    <comment ref="B49" authorId="0" shapeId="0" xr:uid="{7EC67134-0B36-D24D-B20C-00CBB81645A6}">
      <text>
        <r>
          <rPr>
            <b/>
            <sz val="10"/>
            <color rgb="FF000000"/>
            <rFont val="Tahoma"/>
            <family val="2"/>
            <charset val="238"/>
          </rPr>
          <t>Maja:</t>
        </r>
        <r>
          <rPr>
            <sz val="10"/>
            <color rgb="FF000000"/>
            <rFont val="Tahoma"/>
            <family val="2"/>
            <charset val="238"/>
          </rPr>
          <t xml:space="preserve">
</t>
        </r>
        <r>
          <rPr>
            <sz val="10"/>
            <color rgb="FF000000"/>
            <rFont val="Arial"/>
            <family val="2"/>
          </rPr>
          <t>"There have been no significant changes to our leases as disclosed in our Annual Report on Form 10-K for the year ended December 31, 2022."</t>
        </r>
      </text>
    </comment>
    <comment ref="A61" authorId="0" shapeId="0" xr:uid="{85BA8870-980A-924F-B7F4-F726DCCF7E1C}">
      <text>
        <r>
          <rPr>
            <b/>
            <sz val="10"/>
            <color rgb="FF000000"/>
            <rFont val="Tahoma"/>
            <family val="2"/>
            <charset val="238"/>
          </rPr>
          <t>Maja:</t>
        </r>
        <r>
          <rPr>
            <sz val="10"/>
            <color rgb="FF000000"/>
            <rFont val="Tahoma"/>
            <family val="2"/>
            <charset val="238"/>
          </rPr>
          <t xml:space="preserve">
</t>
        </r>
        <r>
          <rPr>
            <sz val="10"/>
            <color rgb="FF000000"/>
            <rFont val="Tahoma"/>
            <family val="2"/>
            <charset val="238"/>
          </rPr>
          <t xml:space="preserve">Depreciation/Depletion  - no info on amortization
</t>
        </r>
      </text>
    </comment>
    <comment ref="A62" authorId="1" shapeId="0" xr:uid="{F590439C-2337-4C59-8218-F2873D9AFFFD}">
      <text>
        <r>
          <rPr>
            <b/>
            <sz val="9"/>
            <color rgb="FF000000"/>
            <rFont val="Tahoma"/>
            <family val="2"/>
          </rPr>
          <t>l59267:</t>
        </r>
        <r>
          <rPr>
            <sz val="9"/>
            <color rgb="FF000000"/>
            <rFont val="Tahoma"/>
            <family val="2"/>
          </rPr>
          <t xml:space="preserve">
</t>
        </r>
        <r>
          <rPr>
            <sz val="9"/>
            <color rgb="FF000000"/>
            <rFont val="Tahoma"/>
            <family val="2"/>
          </rPr>
          <t xml:space="preserve">Changes in operating assets and liabilities
</t>
        </r>
      </text>
    </comment>
    <comment ref="A66" authorId="0" shapeId="0" xr:uid="{79841809-2A60-7D4C-AF2D-E434C4109560}">
      <text>
        <r>
          <rPr>
            <b/>
            <sz val="10"/>
            <color rgb="FF000000"/>
            <rFont val="Tahoma"/>
            <family val="2"/>
            <charset val="238"/>
          </rPr>
          <t>Maja:</t>
        </r>
        <r>
          <rPr>
            <sz val="10"/>
            <color rgb="FF000000"/>
            <rFont val="Tahoma"/>
            <family val="2"/>
            <charset val="238"/>
          </rPr>
          <t xml:space="preserve">
</t>
        </r>
        <r>
          <rPr>
            <sz val="10"/>
            <color rgb="FF000000"/>
            <rFont val="Tahoma"/>
            <family val="2"/>
            <charset val="238"/>
          </rPr>
          <t xml:space="preserve">Sale/Maturity of investment + purchase of investment + Other investing CF </t>
        </r>
      </text>
    </comment>
    <comment ref="A74" authorId="0" shapeId="0" xr:uid="{1DD4E9B9-EF9C-9A4C-BCFD-36C675456F62}">
      <text>
        <r>
          <rPr>
            <b/>
            <sz val="10"/>
            <color rgb="FF000000"/>
            <rFont val="Tahoma"/>
            <family val="2"/>
            <charset val="238"/>
          </rPr>
          <t>Maja:</t>
        </r>
        <r>
          <rPr>
            <sz val="10"/>
            <color rgb="FF000000"/>
            <rFont val="Tahoma"/>
            <family val="2"/>
            <charset val="238"/>
          </rPr>
          <t xml:space="preserve">
</t>
        </r>
        <r>
          <rPr>
            <sz val="10"/>
            <color rgb="FF000000"/>
            <rFont val="Tahoma"/>
            <family val="2"/>
            <charset val="238"/>
          </rPr>
          <t>Repurchase/Retirement of Common</t>
        </r>
      </text>
    </comment>
    <comment ref="A82" authorId="1" shapeId="0" xr:uid="{D48FB922-2B86-4421-ABE4-81B1BACED7C8}">
      <text>
        <r>
          <rPr>
            <b/>
            <sz val="9"/>
            <color rgb="FF000000"/>
            <rFont val="Tahoma"/>
            <family val="2"/>
          </rPr>
          <t>l59267:</t>
        </r>
        <r>
          <rPr>
            <sz val="9"/>
            <color rgb="FF000000"/>
            <rFont val="Tahoma"/>
            <family val="2"/>
          </rPr>
          <t xml:space="preserve">
</t>
        </r>
        <r>
          <rPr>
            <sz val="9"/>
            <color rgb="FF000000"/>
            <rFont val="Tahoma"/>
            <family val="2"/>
          </rPr>
          <t xml:space="preserve"> the number of shares available for trading by the public. It's calculated by taking the number of issued and outstanding shares minus any restricted stock, which may not be publicly traded.</t>
        </r>
      </text>
    </comment>
    <comment ref="A86" authorId="1" shapeId="0" xr:uid="{9614F49A-AA53-442E-91C6-568CFCC3E2FF}">
      <text>
        <r>
          <rPr>
            <b/>
            <sz val="9"/>
            <color rgb="FF000000"/>
            <rFont val="Tahoma"/>
            <family val="2"/>
          </rPr>
          <t>l59267:</t>
        </r>
        <r>
          <rPr>
            <sz val="9"/>
            <color rgb="FF000000"/>
            <rFont val="Tahoma"/>
            <family val="2"/>
          </rPr>
          <t xml:space="preserve">
</t>
        </r>
        <r>
          <rPr>
            <sz val="9"/>
            <color rgb="FF000000"/>
            <rFont val="Tahoma"/>
            <family val="2"/>
          </rPr>
          <t>Avg Vol (3 month)</t>
        </r>
      </text>
    </comment>
    <comment ref="A88" authorId="1" shapeId="0" xr:uid="{76ED4068-2157-4994-A657-7D3D3509080F}">
      <text>
        <r>
          <rPr>
            <b/>
            <sz val="9"/>
            <color rgb="FF000000"/>
            <rFont val="Tahoma"/>
            <family val="2"/>
          </rPr>
          <t>l59267:</t>
        </r>
        <r>
          <rPr>
            <sz val="9"/>
            <color rgb="FF000000"/>
            <rFont val="Tahoma"/>
            <family val="2"/>
          </rPr>
          <t xml:space="preserve">
</t>
        </r>
        <r>
          <rPr>
            <sz val="9"/>
            <color rgb="FF000000"/>
            <rFont val="Tahoma"/>
            <family val="2"/>
          </rPr>
          <t xml:space="preserve"> (Oct 30, 2023)</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9">
    <bk>
      <extLst>
        <ext uri="{3e2802c4-a4d2-4d8b-9148-e3be6c30e623}">
          <xlrd:rvb i="2"/>
        </ext>
      </extLst>
    </bk>
    <bk>
      <extLst>
        <ext uri="{3e2802c4-a4d2-4d8b-9148-e3be6c30e623}">
          <xlrd:rvb i="3"/>
        </ext>
      </extLst>
    </bk>
    <bk>
      <extLst>
        <ext uri="{3e2802c4-a4d2-4d8b-9148-e3be6c30e623}">
          <xlrd:rvb i="6"/>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19"/>
        </ext>
      </extLst>
    </bk>
    <bk>
      <extLst>
        <ext uri="{3e2802c4-a4d2-4d8b-9148-e3be6c30e623}">
          <xlrd:rvb i="20"/>
        </ext>
      </extLst>
    </bk>
  </futureMetadata>
  <futureMetadata name="XLDAPR" count="1">
    <bk>
      <extLst>
        <ext uri="{bdbb8cdc-fa1e-496e-a857-3c3f30c029c3}">
          <xda:dynamicArrayProperties fDynamic="1" fCollapsed="0"/>
        </ext>
      </extLst>
    </bk>
  </futureMetadata>
  <cellMetadata count="1">
    <bk>
      <rc t="2" v="0"/>
    </bk>
  </cellMetadata>
  <valueMetadata count="9">
    <bk>
      <rc t="1" v="0"/>
    </bk>
    <bk>
      <rc t="1" v="1"/>
    </bk>
    <bk>
      <rc t="1" v="2"/>
    </bk>
    <bk>
      <rc t="1" v="3"/>
    </bk>
    <bk>
      <rc t="1" v="4"/>
    </bk>
    <bk>
      <rc t="1" v="5"/>
    </bk>
    <bk>
      <rc t="1" v="6"/>
    </bk>
    <bk>
      <rc t="1" v="7"/>
    </bk>
    <bk>
      <rc t="1" v="8"/>
    </bk>
  </valueMetadata>
</metadata>
</file>

<file path=xl/sharedStrings.xml><?xml version="1.0" encoding="utf-8"?>
<sst xmlns="http://schemas.openxmlformats.org/spreadsheetml/2006/main" count="15526" uniqueCount="9592">
  <si>
    <t>Team 1</t>
  </si>
  <si>
    <t>NYSE</t>
  </si>
  <si>
    <t>SIC: 3577</t>
  </si>
  <si>
    <t>COMPANY DESCRIPTION</t>
  </si>
  <si>
    <t>CEO &amp; BOARD OF DIRECTORS</t>
  </si>
  <si>
    <t>Name (Gender; Age)</t>
  </si>
  <si>
    <t>Tenure</t>
  </si>
  <si>
    <t>Executive?</t>
  </si>
  <si>
    <t>Other roles</t>
  </si>
  <si>
    <t>Kenneth Xie (M, 60)</t>
  </si>
  <si>
    <t>Co-Founder, Chairman, CEO</t>
  </si>
  <si>
    <t>Founder of Netscreen Technologies and Stanford Infosystems Intl, Ken Xie 2007 Annuity Trust Trustee</t>
  </si>
  <si>
    <t>Michael Xie (M, 54)</t>
  </si>
  <si>
    <t>Co-Founder, President, Director &amp; CTO</t>
  </si>
  <si>
    <t>Relevant past positions: Vice President-Engineering at ServGate Technologies, Software Director at NetScreen Technologies, Senior Software Engineer for Milkyway Networks Corporation</t>
  </si>
  <si>
    <t>William H Neukon (M, 81)</t>
  </si>
  <si>
    <t>Lead Independent Director</t>
  </si>
  <si>
    <t>Founder of World Justice Project and Neukom Family Foundation, board member of The Asia Foundation, Pacific Council on International Policy and Center for Advanced Study in the Behavioral Sciences; Relevant past positions: Partner at K&amp;L Gates and Preston Gates &amp; Ellis, Chairman of Kirkpatrick &amp; Lockhart, Preston Gates &amp; Ellis and Volterra, EVP-Law &amp; Corporate Affairs at Microsoft, Semiconductor, President at American Bar Association</t>
  </si>
  <si>
    <t>Ming Hsieh(M, 67)</t>
  </si>
  <si>
    <t>Independent Director</t>
  </si>
  <si>
    <t>Founder of Gemalto Cogent, A-MAX Technology and Cogent and Founder, Chairman &amp; CEO of Fulgent Genetics, Board Member of the University of Southern California, Fudan University and Fulgent Pharma</t>
  </si>
  <si>
    <t>Judith Sim (F, 54)</t>
  </si>
  <si>
    <t>Board member of DataStax and First Advantage; Relevant past postions: Chiief Marketing Officer of Oracle</t>
  </si>
  <si>
    <t>Jean X Hu (F, 59)</t>
  </si>
  <si>
    <t>CFO, Treasurer &amp; Executive VP of Advanced Micro Devices, CFO at Marvell Technology Holdings; Relevant past positions: CEO &amp; CFO, SVP at QLogic, CEO &amp; CFO at Kinoma, President &amp; CFO at Cavium, CFO, Treasurer &amp; SVP-Business Development at Conexant Systems</t>
  </si>
  <si>
    <t>Kenneth A Goldman (M, 74)</t>
  </si>
  <si>
    <t>President of Hillspire, Member of The Financial Executives Institute, Advisor at Illuminate Ventures and ForgePoint Capital Management, Principal Executive &amp; Financial Officer, Director at Aabaco Holdings, Member of Sustainability Accounting Standards Board, Managing Member at Gv Partners, Board Member of 17 other companies</t>
  </si>
  <si>
    <t>..</t>
  </si>
  <si>
    <t>James G Starvidis (M, 68)</t>
  </si>
  <si>
    <t>Member-Advisory Board at Utilidata, Chairman for The Rockefeller Foundation, Managing Director &amp; Vice Chairman-Global Affairs at The Carlyle Group and Board Member of 21 other companies</t>
  </si>
  <si>
    <t>USD MILLIONS</t>
  </si>
  <si>
    <t>COMPANY OVERVIEW</t>
  </si>
  <si>
    <t>Stock</t>
  </si>
  <si>
    <t>Liquidity and Solvency</t>
  </si>
  <si>
    <t>Segments</t>
  </si>
  <si>
    <t>Profitability (2023 TTM)</t>
  </si>
  <si>
    <t>Multiples</t>
  </si>
  <si>
    <t>Last Price</t>
  </si>
  <si>
    <t>Total Assets</t>
  </si>
  <si>
    <t>Regions</t>
  </si>
  <si>
    <t>% Sales</t>
  </si>
  <si>
    <t>Reporting Year</t>
  </si>
  <si>
    <t>Float</t>
  </si>
  <si>
    <t>Outstanding Shares</t>
  </si>
  <si>
    <t>Total Liabilities</t>
  </si>
  <si>
    <t>Last Report</t>
  </si>
  <si>
    <t>2 November 2023</t>
  </si>
  <si>
    <t>Insiders Own</t>
  </si>
  <si>
    <t>Market Cap.</t>
  </si>
  <si>
    <t>Cash/Share</t>
  </si>
  <si>
    <t>EBITDA</t>
  </si>
  <si>
    <t>b (Yahoo)</t>
  </si>
  <si>
    <t>+Total Debt</t>
  </si>
  <si>
    <t>EBITDA/Net Financial Cost (NFC)</t>
  </si>
  <si>
    <t>Depreciation &amp; Amortization</t>
  </si>
  <si>
    <t>Score (S&amp;P)</t>
  </si>
  <si>
    <t>BBB+</t>
  </si>
  <si>
    <t>-Cash</t>
  </si>
  <si>
    <t>Debt/EBITDA</t>
  </si>
  <si>
    <t>EBIT</t>
  </si>
  <si>
    <t>Price/Book Value</t>
  </si>
  <si>
    <t>=Enterprise Value</t>
  </si>
  <si>
    <t>"Others Assets"/Asset</t>
  </si>
  <si>
    <t>Net Income</t>
  </si>
  <si>
    <t>NCF(3y avg)/Asset</t>
  </si>
  <si>
    <t>Holdings (nac/int'l)</t>
  </si>
  <si>
    <t>-</t>
  </si>
  <si>
    <t>Debt/Assets</t>
  </si>
  <si>
    <t>Categories</t>
  </si>
  <si>
    <t>EPS</t>
  </si>
  <si>
    <t>Price/Net Inc. (3y avg)</t>
  </si>
  <si>
    <t>t liq. (Holdings/Vol.)</t>
  </si>
  <si>
    <t>EBITDA Margin (average)</t>
  </si>
  <si>
    <t>ROA</t>
  </si>
  <si>
    <t>EV/Asset</t>
  </si>
  <si>
    <t>% Short</t>
  </si>
  <si>
    <t>Operating Margin (average)</t>
  </si>
  <si>
    <t>ROIC</t>
  </si>
  <si>
    <t>EV/Ebitda (3y average)</t>
  </si>
  <si>
    <t>Traffic ESG</t>
  </si>
  <si>
    <t>Net Income Margin (average)</t>
  </si>
  <si>
    <t>EBITDA (3y average)</t>
  </si>
  <si>
    <t>Price/NCF (3y average)</t>
  </si>
  <si>
    <t>E</t>
  </si>
  <si>
    <t>Net Income (3y average)</t>
  </si>
  <si>
    <t>Bonds 1,3,5a (USD)</t>
  </si>
  <si>
    <t>S</t>
  </si>
  <si>
    <t>Net Financial Cost/Avg Net Debt</t>
  </si>
  <si>
    <t>NCF (3y average)</t>
  </si>
  <si>
    <t>Div+Rep.(3y avg)/Price</t>
  </si>
  <si>
    <t>G</t>
  </si>
  <si>
    <t>Div. Yield</t>
  </si>
  <si>
    <t>INVESTMENT THESIS</t>
  </si>
  <si>
    <t>Pillars of Recommendation</t>
  </si>
  <si>
    <t>Recommendation</t>
  </si>
  <si>
    <t>Valuation Assumptions</t>
  </si>
  <si>
    <t>Pillar</t>
  </si>
  <si>
    <t>Explanation</t>
  </si>
  <si>
    <t>SELL</t>
  </si>
  <si>
    <t>check DCF</t>
  </si>
  <si>
    <t>High Price</t>
  </si>
  <si>
    <t>Fortinet is a well-established company with healthy growth and strong strategy being adapted to constantly changing industry trends. Nevertheless, the share price is too high, which was impossible to justify with our valuation. Having that in mind, we issue recommendation to sell.</t>
  </si>
  <si>
    <t>Risks of Investment</t>
  </si>
  <si>
    <t>Price Target</t>
  </si>
  <si>
    <t>Valuation</t>
  </si>
  <si>
    <t>Risk</t>
  </si>
  <si>
    <t>Discount Rate</t>
  </si>
  <si>
    <t>Price M. Upside</t>
  </si>
  <si>
    <t>adverse economic conditions</t>
  </si>
  <si>
    <t>Stubborn inflation, rising borrowing costs and risk of recession or staglfation might relust in longer sales cycles, increased products' cost structure, higher default rates from channel partners, reduced sales and growth declining in much faster pace</t>
  </si>
  <si>
    <t>high competition</t>
  </si>
  <si>
    <t>Fortinet might fail to innovate enough, develop less effetive products or could not adjust to constantly changing market trends, hence losse its competitive advantage to larger or faster growing competitors. It could result in major decline in sales growth and fall of the share price</t>
  </si>
  <si>
    <t>Upside</t>
  </si>
  <si>
    <t>EV M. Upside</t>
  </si>
  <si>
    <t>debt</t>
  </si>
  <si>
    <t>Company might witness reduced sales growth, hence not be able to maintain its liquidity, taking under consideration recent significant increase of debt. It might affect the assumptions' reliability</t>
  </si>
  <si>
    <t>FINANCIAL PERFORMANCE</t>
  </si>
  <si>
    <t>Year</t>
  </si>
  <si>
    <t>Net Sales</t>
  </si>
  <si>
    <t>Operating Margin</t>
  </si>
  <si>
    <t>Dividends + Share Buyback</t>
  </si>
  <si>
    <t>Net Cash Flow</t>
  </si>
  <si>
    <t>Capex + Investments</t>
  </si>
  <si>
    <t>Cash Flow</t>
  </si>
  <si>
    <t>Operating CF</t>
  </si>
  <si>
    <t>Investing CF</t>
  </si>
  <si>
    <t>Net Capex</t>
  </si>
  <si>
    <t>explain otliers and suuden changes</t>
  </si>
  <si>
    <t>Investments &amp; Acquisitions</t>
  </si>
  <si>
    <t>Financing CF</t>
  </si>
  <si>
    <t>Dividends</t>
  </si>
  <si>
    <t>Share Buyback</t>
  </si>
  <si>
    <t>Annual Growth Rate</t>
  </si>
  <si>
    <t>FX</t>
  </si>
  <si>
    <t>Average Growth Rate</t>
  </si>
  <si>
    <t>Changes in Cash</t>
  </si>
  <si>
    <t>CVAR</t>
  </si>
  <si>
    <r>
      <t>Inventory/</t>
    </r>
    <r>
      <rPr>
        <sz val="10"/>
        <rFont val="Symbol"/>
        <family val="1"/>
        <charset val="2"/>
      </rPr>
      <t>D</t>
    </r>
    <r>
      <rPr>
        <sz val="10"/>
        <rFont val="Arial"/>
        <family val="2"/>
      </rPr>
      <t xml:space="preserve"> Revenues</t>
    </r>
  </si>
  <si>
    <t>Last Year</t>
  </si>
  <si>
    <t>t inversiones; t adq. neto dep.</t>
  </si>
  <si>
    <t>QUALITATIVE ANALYSIS</t>
  </si>
  <si>
    <t>SWOT ANALYSIS</t>
  </si>
  <si>
    <t>HOLDERS (24.11.2023)</t>
  </si>
  <si>
    <t>Pros</t>
  </si>
  <si>
    <t>Cons</t>
  </si>
  <si>
    <t>Name</t>
  </si>
  <si>
    <t>% Stake</t>
  </si>
  <si>
    <t>- Successful record of integrating complimentary firms through M&amp;As.
- Strategic Partnerships with other technology leaders(Google, Microsoft, IBM, Cisco)
- Strong brand and record of consumer driven innovation with R&amp;D
- High and growing operating margins (since 2018 constantly above ‘the rule of 40’ in non-GAAP terms)
- Strong and consistent revenue growth (total CAGR 23,49%)</t>
  </si>
  <si>
    <t>- Significant percentage of the operating expenses that are fixed in nature
- Majority of revenues dependent on only few products that have a discretionary nature
- Reliance on third party channel partners for substantial part of the revenue, and vulnerability to their non-compliance with regulations
- Small number of distributors representing large percentage of revenue and gross accounts receivable
- High and sudden indebtedness (990,4 million in 2022)
- CEO holding position of the Chairman (possible conflict of interest)</t>
  </si>
  <si>
    <t>Xie Michael</t>
  </si>
  <si>
    <t>Vanguard Group Inc</t>
  </si>
  <si>
    <t>Xie Kenneth</t>
  </si>
  <si>
    <t>Blackrock Inc</t>
  </si>
  <si>
    <t>AllianceBernstein LP</t>
  </si>
  <si>
    <t>State Street Corporation</t>
  </si>
  <si>
    <t>Geode Capital Management LLC</t>
  </si>
  <si>
    <t>Invesco Capital Management(QQQ Trust)</t>
  </si>
  <si>
    <t>Walter Scott &amp; Partners Ltd</t>
  </si>
  <si>
    <t>Nordea Funds Oy</t>
  </si>
  <si>
    <t>Opportunities</t>
  </si>
  <si>
    <t>Risks</t>
  </si>
  <si>
    <t>Fidelity Management &amp; Research Company LLC</t>
  </si>
  <si>
    <t>- Rising popularity of new IT solutions - IoT, OT security, AI, cloud computing
- Significant growth opportunities in SASE
- Convergence of Networking &amp; Security on the market, and possible rise of demand for Fortinets’ products in that segment
- Working at home and resulting rise in the need of an additional cybersecurity coverage
- Rising demand for security products due to digital transformation and increasing importance of IT for businesses across all industries
- Rising risk of cyber-attacks giving growth opportunities for cybersecurity companies</t>
  </si>
  <si>
    <t>- International operations that increase compliance regulatory requirements risk, collection risk and currency exchange risk
- Adverse economic conditions (recession, stagflation, rising interest rates)
- Uncertainty of protecting IP rights in some countries
- Vulnerability to protectionist policies, constantly changing industry and political environment
- High competition
- Skills shortage</t>
  </si>
  <si>
    <t>Columbia Threadneedle Investments</t>
  </si>
  <si>
    <t>First Trust Advisors</t>
  </si>
  <si>
    <t>Swedbank Robur Fonder AB</t>
  </si>
  <si>
    <t>Arrowstreet Capital LP</t>
  </si>
  <si>
    <t>Viking Global Investors LP</t>
  </si>
  <si>
    <t>T. Rowe Price Investment Management Inc</t>
  </si>
  <si>
    <t>Norges Bank Investment Management</t>
  </si>
  <si>
    <t>T. Rowe Price Associates Inc</t>
  </si>
  <si>
    <t>Legal and General Investment Management Ltd</t>
  </si>
  <si>
    <t>NOTES</t>
  </si>
  <si>
    <t>STOCK PERFORMANCE (5 years)</t>
  </si>
  <si>
    <t xml:space="preserve">
Latest News: 
-	Michael Xie bought 10,6M worth of shares on 20.11.2023, having become the largest shareholder of Fortinet
-	Fortinet announced acquiring above 8M of shares of Oring Industrial Networking Corp. in august 2023
-	Fortinet's FTNT short percent of float has fallen 11.44% since its last report
-	NetworkWorld reported that Fortinet introduced new AI and ML-based security services utilizing telemetry from its global network
-	In 2023, Fortinet Fortiguard devices were revealed by Microsoft and members of the Five Eyes intelligence network to be the subject of a wide-ranging and ongoing cyberattack by a state-sponsored entity in China
-	Fortinet expands its Global SASE Points-of-Presence with Google Cloud
-	Foertinet expand its Universal SASE Offering to securely connect any user to any application
-	Fortinet Named a SD-WAN Leader Challenger in the 2023 Gartner Magic Quadrant for single-vendor SASE</t>
  </si>
  <si>
    <t>Products</t>
  </si>
  <si>
    <t>Nominal value</t>
  </si>
  <si>
    <t>YoY Growth</t>
  </si>
  <si>
    <t>Weight</t>
  </si>
  <si>
    <t>Region</t>
  </si>
  <si>
    <t>United States</t>
  </si>
  <si>
    <t>Other Americas</t>
  </si>
  <si>
    <t>Europe, Middle East and Africa (EMEA)</t>
  </si>
  <si>
    <t>Asia Pacific (APAC)</t>
  </si>
  <si>
    <t>TOTAL</t>
  </si>
  <si>
    <t>Category</t>
  </si>
  <si>
    <t>Security subscription</t>
  </si>
  <si>
    <t>Technical support and other</t>
  </si>
  <si>
    <t>Description</t>
  </si>
  <si>
    <t>Graphs</t>
  </si>
  <si>
    <t>FortiGate network security
products, Fortinet Security Fabric platform products and other products</t>
  </si>
  <si>
    <t>Security Subscription</t>
  </si>
  <si>
    <t>Subscriptions for online security solutions for applications; content; web traffic; devices; and users.</t>
  </si>
  <si>
    <t xml:space="preserve">Technical Support and other </t>
  </si>
  <si>
    <t>Service to ensure efficient, effective operations and maintenance of their products</t>
  </si>
  <si>
    <t>Industry</t>
  </si>
  <si>
    <t>Graphs (Industry Forecasts)</t>
  </si>
  <si>
    <t>Drivers</t>
  </si>
  <si>
    <t>Security Driven Networking</t>
  </si>
  <si>
    <t xml:space="preserve">Heightned awareness </t>
  </si>
  <si>
    <t>Increased Investments</t>
  </si>
  <si>
    <t>Sales forecast</t>
  </si>
  <si>
    <t>Source</t>
  </si>
  <si>
    <t>Market Growth CAGR</t>
  </si>
  <si>
    <t>Period</t>
  </si>
  <si>
    <t>Mordor Intelligence</t>
  </si>
  <si>
    <t>2018-2028</t>
  </si>
  <si>
    <t>Business Research Insights</t>
  </si>
  <si>
    <t>2022-2031</t>
  </si>
  <si>
    <t>Vault</t>
  </si>
  <si>
    <t>2019-2015</t>
  </si>
  <si>
    <t>Statista</t>
  </si>
  <si>
    <t>2023-2028</t>
  </si>
  <si>
    <t>Average</t>
  </si>
  <si>
    <t>Company's Strategy / Extra Notes</t>
  </si>
  <si>
    <t>Invertir</t>
  </si>
  <si>
    <t>NO invertir</t>
  </si>
  <si>
    <t>Mantener sin elevar posición</t>
  </si>
  <si>
    <t>Mantener (y seguir comprando)</t>
  </si>
  <si>
    <t>Liquidar</t>
  </si>
  <si>
    <t>PENDIENTE</t>
  </si>
  <si>
    <t>Peer Logo</t>
  </si>
  <si>
    <t>Peer Name</t>
  </si>
  <si>
    <t>Palo Alto NetWorks, Inc. is a gloval cybersecurity provider. The Company's platforms and services help secure entreprise users, networks, clouds and endpoints dy delivering  value in four areas, NetWork Security, Cloud Secuirty, Secuirty Operations, Threat Intelligence and Secuirty Consulting. Those solutions are delivered through its Cortex portfolio.</t>
  </si>
  <si>
    <t>CrowdStrike Holdings, Inc. is a cybersecuirty company that provides cloud-delivered protection of endpoints, cloud workloads, identity and data via a software-as-a-service (SaaS) subscription-based model. The comapny offers Falcon platform in a SaaS  subscription-based model, which delivers technologies that deliver protection and performance, while reducing costumer complexity.</t>
  </si>
  <si>
    <t>Check Point develops, markets and supports a wide range of products and services for IT security by offering a multilevel security architecture that defends enterprises’ cloud, network, mobile devices, Endpoints information and IOT solutions. Their solutions operate under a unified security architecture, Infinity, that enables end-to-end security with a single line of unified security gateways and allow a single agent for all endpoint security that can be managed from a single unified management console.</t>
  </si>
  <si>
    <t>Cisco designs and sells a broad range of technologies that power the Internet. They are integrating a product portfolios across networking, security, collaboration, applications and the cloud to create highly secure, intelligent platforms for its customers’ digital businesses. The End-to-End Security product category, the segment where Cisco competes with Fortinet, consists of Cloud and Application Security, Industrial Security, Network Security, and User and Device Security offerings. Cisco continues to invest in resources across the security portfolio focused on cloud-based offerings, AI-driven threat detection and end-to-end security architectures. Additionally, the company is invesnting in expanding their SASE architecture by delivering combined network and security functionality in a single cloud-native service.</t>
  </si>
  <si>
    <t>Zscaler, Inc. is a cloud security company that developed a platform incorporating core security functionalities needed to enable fast and secure access to cloud resources based on identity, context and organization’s policies. Their solution is a purpose-built, multi-tenant, distributed cloud platform that incorporates the security functionality needed to enable users, applications, and devices to safely and efficiently utilize authorized applications and services based on an organization’s business policies. Zscaler delivers solutions using a software-as-a-service ("SaaS") business model and sell subscriptions to customers to access our cloud platform, together with related support services.</t>
  </si>
  <si>
    <t>In Millions USD</t>
  </si>
  <si>
    <t>AVERAGE</t>
  </si>
  <si>
    <t>Deviation from Average</t>
  </si>
  <si>
    <t>Company Info</t>
  </si>
  <si>
    <t>TRAFFIC</t>
  </si>
  <si>
    <t>Market Cap</t>
  </si>
  <si>
    <t>Best Value</t>
  </si>
  <si>
    <t>Net Sales (current)</t>
  </si>
  <si>
    <t>Profitability</t>
  </si>
  <si>
    <t>Important Value</t>
  </si>
  <si>
    <t>Sales Growth (ttm)</t>
  </si>
  <si>
    <t>Sales Growth (36m)</t>
  </si>
  <si>
    <t>Worst Value</t>
  </si>
  <si>
    <t>Net Income Margin</t>
  </si>
  <si>
    <t>Return on Equity (RoE)</t>
  </si>
  <si>
    <t>Return on Invested Capital (ROIC)</t>
  </si>
  <si>
    <t>Solvency</t>
  </si>
  <si>
    <t>Net Debt/EBITDA</t>
  </si>
  <si>
    <t>Interest Coverage Ratio</t>
  </si>
  <si>
    <t>Liquidity</t>
  </si>
  <si>
    <t>Current Ratio</t>
  </si>
  <si>
    <t>Quick Ratio</t>
  </si>
  <si>
    <t>Activity</t>
  </si>
  <si>
    <t>Inventory Turnover</t>
  </si>
  <si>
    <t>Acc. Receivable Turnover</t>
  </si>
  <si>
    <t>Price/Sales</t>
  </si>
  <si>
    <t>Payables Turnover</t>
  </si>
  <si>
    <t>Fixed Asset Turnover</t>
  </si>
  <si>
    <t>Total Asset Turnover</t>
  </si>
  <si>
    <t>Price/Earnings</t>
  </si>
  <si>
    <t>Negative</t>
  </si>
  <si>
    <t>Price/Book</t>
  </si>
  <si>
    <t>EV/Sales</t>
  </si>
  <si>
    <t>EV/EBITDA</t>
  </si>
  <si>
    <t>Stock Info</t>
  </si>
  <si>
    <t>93,46%</t>
  </si>
  <si>
    <t>77,92%</t>
  </si>
  <si>
    <t>60,86%</t>
  </si>
  <si>
    <r>
      <t xml:space="preserve">b </t>
    </r>
    <r>
      <rPr>
        <b/>
        <sz val="10"/>
        <rFont val="Arial"/>
        <family val="2"/>
      </rPr>
      <t>(Yahoo)</t>
    </r>
  </si>
  <si>
    <t>1,05</t>
  </si>
  <si>
    <t>1,17</t>
  </si>
  <si>
    <t>0,64</t>
  </si>
  <si>
    <t>0,87</t>
  </si>
  <si>
    <t>Dividend Yield (yahoo finance)</t>
  </si>
  <si>
    <t>Stock Performance</t>
  </si>
  <si>
    <t>1y</t>
  </si>
  <si>
    <t>0,33%</t>
  </si>
  <si>
    <t>76,13%</t>
  </si>
  <si>
    <t>110,62%</t>
  </si>
  <si>
    <t>9,86%</t>
  </si>
  <si>
    <t>72,63%</t>
  </si>
  <si>
    <t>3y</t>
  </si>
  <si>
    <t>205,2%</t>
  </si>
  <si>
    <t>296,6%</t>
  </si>
  <si>
    <t>22,34%</t>
  </si>
  <si>
    <t>28,73%</t>
  </si>
  <si>
    <t>Current Price</t>
  </si>
  <si>
    <t>293,59</t>
  </si>
  <si>
    <t>239,72</t>
  </si>
  <si>
    <t>144,5</t>
  </si>
  <si>
    <t>200,20</t>
  </si>
  <si>
    <t>Average Target Price</t>
  </si>
  <si>
    <t>282,66</t>
  </si>
  <si>
    <t>236,00</t>
  </si>
  <si>
    <t>143,09</t>
  </si>
  <si>
    <t>210,14</t>
  </si>
  <si>
    <t>Upside/Downside</t>
  </si>
  <si>
    <t>Extra</t>
  </si>
  <si>
    <t>3y Operating Cash Flow</t>
  </si>
  <si>
    <t>268,17%</t>
  </si>
  <si>
    <t>1093,11%</t>
  </si>
  <si>
    <t>582,90%</t>
  </si>
  <si>
    <t>R&amp;D/Net Sales</t>
  </si>
  <si>
    <t>Financial Data</t>
  </si>
  <si>
    <t>IS</t>
  </si>
  <si>
    <t>Net Sales (36m ago)</t>
  </si>
  <si>
    <t>Net Sales (12m ago)</t>
  </si>
  <si>
    <t>COGS</t>
  </si>
  <si>
    <t>Operating Income</t>
  </si>
  <si>
    <t>Net Financial Cost</t>
  </si>
  <si>
    <t>Taxes</t>
  </si>
  <si>
    <t>R&amp;D</t>
  </si>
  <si>
    <t>Cash &amp; Eq.</t>
  </si>
  <si>
    <t>Acc. Receivables</t>
  </si>
  <si>
    <t>Inventory</t>
  </si>
  <si>
    <t>Current Assets</t>
  </si>
  <si>
    <t>Fixed Assets</t>
  </si>
  <si>
    <t>Acc. Payable</t>
  </si>
  <si>
    <t>Current Liabilities</t>
  </si>
  <si>
    <t>Total Debt</t>
  </si>
  <si>
    <t>Total Equity</t>
  </si>
  <si>
    <t>Note: Total Debt=convertible senior notes + long-term leases</t>
  </si>
  <si>
    <t>Cisco Net sales are TTM End-to-end segment sales reported on their financial statements</t>
  </si>
  <si>
    <t>Net sales (32m ago) are the 2020 TTM sales. Current sales are the ttm and 12m ago sales are ttm for the last year</t>
  </si>
  <si>
    <t>Asset base, liabilities, depreciation, interest expenses and other financial metrics</t>
  </si>
  <si>
    <t>2022 TTM data is used for net sales(12m ago)</t>
  </si>
  <si>
    <t xml:space="preserve">can't be attributed to a specific segment. As such, only net sales are benchamarked and </t>
  </si>
  <si>
    <t>2020 data is used for net sales(36m ago)</t>
  </si>
  <si>
    <t xml:space="preserve">the business model are compared qualitatively, as Cisco is the industry leader </t>
  </si>
  <si>
    <t>2022 data is used for financial cost. There's no data for TTM</t>
  </si>
  <si>
    <t>through it's network products ecossystem.</t>
  </si>
  <si>
    <t>WC Simplified</t>
  </si>
  <si>
    <t>WC Simplified/Current Sales</t>
  </si>
  <si>
    <t>Average of Peers</t>
  </si>
  <si>
    <t>qualitative analysis</t>
  </si>
  <si>
    <t xml:space="preserve">CrowdStrike is in financial distress due to its excessive debt burden. The company feed its growth with debt. To restore their financial health, CrowdStrike needs to lower their selling cost to gain control over their operating margin and pay interest and </t>
  </si>
  <si>
    <t>CrowdStrike cash flow was negative untill 2020, year which it turned positive. Since then, it has had great free cash flow growth despite negative net income and high debt.</t>
  </si>
  <si>
    <t>Fortinet has negative net debt, deriving from its strong cash position. It gives Fortinet the possibility to do strategic acquisitions as a groth strategy and also take on debt to fuel growth through spending</t>
  </si>
  <si>
    <t>The high PB ratio of Fortinet comes from its particular financing and equity structure</t>
  </si>
  <si>
    <t>Its the best operatig margin when taking into consideration sales growth</t>
  </si>
  <si>
    <t xml:space="preserve">Palo Alto is </t>
  </si>
  <si>
    <t>Variables</t>
  </si>
  <si>
    <t>Rankings</t>
  </si>
  <si>
    <t>Difference</t>
  </si>
  <si>
    <t>Results</t>
  </si>
  <si>
    <t>Additional Information</t>
  </si>
  <si>
    <t>Selected Peers</t>
  </si>
  <si>
    <t>Price Multiples (TTM)</t>
  </si>
  <si>
    <t>Enterprise Value Multiples (TTM)</t>
  </si>
  <si>
    <t>Ticker</t>
  </si>
  <si>
    <t>Company Name</t>
  </si>
  <si>
    <t>TRBC Industry</t>
  </si>
  <si>
    <t>Country</t>
  </si>
  <si>
    <t>ROE</t>
  </si>
  <si>
    <t>DEBT/EBIT</t>
  </si>
  <si>
    <t>EPS Growth (2019-2023) (Refinitiv Smart Estimate)</t>
  </si>
  <si>
    <t>EBIT Margin</t>
  </si>
  <si>
    <t>EPS Growth</t>
  </si>
  <si>
    <t>SARD Result</t>
  </si>
  <si>
    <t>SARD Peers</t>
  </si>
  <si>
    <t>SARD Peers adjusted Rank</t>
  </si>
  <si>
    <t>Suitability</t>
  </si>
  <si>
    <t>Relevant Information Missing</t>
  </si>
  <si>
    <t>Author's Override</t>
  </si>
  <si>
    <t>Observations</t>
  </si>
  <si>
    <t>P / E</t>
  </si>
  <si>
    <t>P / B</t>
  </si>
  <si>
    <t>Price / Sales</t>
  </si>
  <si>
    <t>EV / Sales</t>
  </si>
  <si>
    <t>EV / EBITDA</t>
  </si>
  <si>
    <t>Benchmark</t>
  </si>
  <si>
    <t>Fortinet</t>
  </si>
  <si>
    <t>Software</t>
  </si>
  <si>
    <t>United States of America</t>
  </si>
  <si>
    <t>Comparison</t>
  </si>
  <si>
    <t>MSFT.OQ</t>
  </si>
  <si>
    <t>Microsoft Corp</t>
  </si>
  <si>
    <t>4.75</t>
  </si>
  <si>
    <t>18.09</t>
  </si>
  <si>
    <t>6.02</t>
  </si>
  <si>
    <t>135.55</t>
  </si>
  <si>
    <t>268,966,447.00</t>
  </si>
  <si>
    <t>ORCL.N</t>
  </si>
  <si>
    <t>Oracle Corp</t>
  </si>
  <si>
    <t>19.40</t>
  </si>
  <si>
    <t>44.78</t>
  </si>
  <si>
    <t>20.15</t>
  </si>
  <si>
    <t>1,118.06</t>
  </si>
  <si>
    <t>24,713,557.00</t>
  </si>
  <si>
    <t>ADBE.OQ</t>
  </si>
  <si>
    <t>Adobe Inc</t>
  </si>
  <si>
    <t>0.78</t>
  </si>
  <si>
    <t>13.59</t>
  </si>
  <si>
    <t>0.07</t>
  </si>
  <si>
    <t>160,694,556.00</t>
  </si>
  <si>
    <t>SAPG.DE</t>
  </si>
  <si>
    <t>SAP SE</t>
  </si>
  <si>
    <t>-4,05</t>
  </si>
  <si>
    <t>5.80</t>
  </si>
  <si>
    <t>22.73</t>
  </si>
  <si>
    <t>4.83</t>
  </si>
  <si>
    <t>159.92</t>
  </si>
  <si>
    <t>1,228,504,232.00</t>
  </si>
  <si>
    <t>NOW.N</t>
  </si>
  <si>
    <t>ServiceNow Inc</t>
  </si>
  <si>
    <t>0.01</t>
  </si>
  <si>
    <t>1,411,269,476.00</t>
  </si>
  <si>
    <t>PANW.OQ</t>
  </si>
  <si>
    <t>Palo Alto Networks Inc</t>
  </si>
  <si>
    <t>2.83</t>
  </si>
  <si>
    <t>0.73</t>
  </si>
  <si>
    <t>34.85</t>
  </si>
  <si>
    <t>65,514,133.00</t>
  </si>
  <si>
    <t>Median</t>
  </si>
  <si>
    <t>SNPS.OQ</t>
  </si>
  <si>
    <t>Synopsys Inc</t>
  </si>
  <si>
    <t>14.47</t>
  </si>
  <si>
    <t>37.56</t>
  </si>
  <si>
    <t>13.63</t>
  </si>
  <si>
    <t>608.78</t>
  </si>
  <si>
    <t>455,300,000.00</t>
  </si>
  <si>
    <t>Benchmark Data</t>
  </si>
  <si>
    <t>Price / Share</t>
  </si>
  <si>
    <t>WDAY.OQ</t>
  </si>
  <si>
    <t>Workday Inc</t>
  </si>
  <si>
    <t>0.00</t>
  </si>
  <si>
    <t>25,990,731.00</t>
  </si>
  <si>
    <t>Multiplier</t>
  </si>
  <si>
    <t># Shares</t>
  </si>
  <si>
    <t>-Debt + Cash</t>
  </si>
  <si>
    <t>CDNS.OQ</t>
  </si>
  <si>
    <t>Cadence Design Systems Inc</t>
  </si>
  <si>
    <t>-13,3930423</t>
  </si>
  <si>
    <t>2.34</t>
  </si>
  <si>
    <t>23.03</t>
  </si>
  <si>
    <t>0.42</t>
  </si>
  <si>
    <t>10.15</t>
  </si>
  <si>
    <t>34,166,450.00</t>
  </si>
  <si>
    <t>DAST.PA</t>
  </si>
  <si>
    <t>Dassault Systemes SE</t>
  </si>
  <si>
    <t>10.63</t>
  </si>
  <si>
    <t>26.13</t>
  </si>
  <si>
    <t>14.17</t>
  </si>
  <si>
    <t>534.80</t>
  </si>
  <si>
    <t>106,822,117.00</t>
  </si>
  <si>
    <t>By Consolidated Average</t>
  </si>
  <si>
    <t>ROP.OQ</t>
  </si>
  <si>
    <t>Roper Technologies Inc</t>
  </si>
  <si>
    <t>2.52</t>
  </si>
  <si>
    <t>-0.03</t>
  </si>
  <si>
    <t>0.85</t>
  </si>
  <si>
    <t>2,144,492,465.00</t>
  </si>
  <si>
    <t>CSU.TO</t>
  </si>
  <si>
    <t>Constellation Software Inc</t>
  </si>
  <si>
    <t>15.62</t>
  </si>
  <si>
    <t>0.03</t>
  </si>
  <si>
    <t>16,331,032.00</t>
  </si>
  <si>
    <t>TEAM.OQ</t>
  </si>
  <si>
    <t>Atlassian Corp</t>
  </si>
  <si>
    <t>-3,1%</t>
  </si>
  <si>
    <t>14.01</t>
  </si>
  <si>
    <t>0.06</t>
  </si>
  <si>
    <t>121,556,731.00</t>
  </si>
  <si>
    <t>ADSK.OQ</t>
  </si>
  <si>
    <t>Autodesk Inc</t>
  </si>
  <si>
    <t>-5,338907642</t>
  </si>
  <si>
    <t>2.59</t>
  </si>
  <si>
    <t>11.60</t>
  </si>
  <si>
    <t>0.20</t>
  </si>
  <si>
    <t>3.06</t>
  </si>
  <si>
    <t>252,577,656.00</t>
  </si>
  <si>
    <t>FTNT.OQ</t>
  </si>
  <si>
    <t>Fortinet Inc</t>
  </si>
  <si>
    <t>0.93</t>
  </si>
  <si>
    <t>0.26</t>
  </si>
  <si>
    <t>108,008,562.00</t>
  </si>
  <si>
    <t>DDOG.OQ</t>
  </si>
  <si>
    <t>Datadog Inc</t>
  </si>
  <si>
    <t>-2,8%</t>
  </si>
  <si>
    <t>1.19</t>
  </si>
  <si>
    <t>232.61</t>
  </si>
  <si>
    <t>1.76</t>
  </si>
  <si>
    <t>6,574,863.00</t>
  </si>
  <si>
    <t>PLTR.N</t>
  </si>
  <si>
    <t>Palantir Technologies Inc</t>
  </si>
  <si>
    <t>-12,58790357</t>
  </si>
  <si>
    <t>1.47</t>
  </si>
  <si>
    <t>6.21</t>
  </si>
  <si>
    <t>0.13</t>
  </si>
  <si>
    <t>1.62</t>
  </si>
  <si>
    <t>14,535,195.00</t>
  </si>
  <si>
    <t>EA.OQ</t>
  </si>
  <si>
    <t>Electronic Arts Inc</t>
  </si>
  <si>
    <t>2.31</t>
  </si>
  <si>
    <t>12.77</t>
  </si>
  <si>
    <t>1.05</t>
  </si>
  <si>
    <t>83,207,397.00</t>
  </si>
  <si>
    <t>TTD.OQ</t>
  </si>
  <si>
    <t>Trade Desk Inc</t>
  </si>
  <si>
    <t>9.02</t>
  </si>
  <si>
    <t>38.02</t>
  </si>
  <si>
    <t>6.60</t>
  </si>
  <si>
    <t>223.84</t>
  </si>
  <si>
    <t>213,915,325.00</t>
  </si>
  <si>
    <t>ZS.OQ</t>
  </si>
  <si>
    <t>Zscaler Inc</t>
  </si>
  <si>
    <t>-7,9%</t>
  </si>
  <si>
    <t>0.18</t>
  </si>
  <si>
    <t>0.30</t>
  </si>
  <si>
    <t>14,920,585.00</t>
  </si>
  <si>
    <t>MDB.OQ</t>
  </si>
  <si>
    <t>MongoDB Inc</t>
  </si>
  <si>
    <t>-4,995788973</t>
  </si>
  <si>
    <t>-14,0%</t>
  </si>
  <si>
    <t>3,302,597.00</t>
  </si>
  <si>
    <t>FICO.N</t>
  </si>
  <si>
    <t>Fair Isaac Corp</t>
  </si>
  <si>
    <t>-3,430076012</t>
  </si>
  <si>
    <t>1.01</t>
  </si>
  <si>
    <t>14.27</t>
  </si>
  <si>
    <t>1.42</t>
  </si>
  <si>
    <t>44,732,379.00</t>
  </si>
  <si>
    <t>TTWO.OQ</t>
  </si>
  <si>
    <t>Take-Two Interactive Software Inc</t>
  </si>
  <si>
    <t>-15,03</t>
  </si>
  <si>
    <t>1.92</t>
  </si>
  <si>
    <t>10.41</t>
  </si>
  <si>
    <t>0.09</t>
  </si>
  <si>
    <t>83,874,458.00</t>
  </si>
  <si>
    <t>SPLK.OQ</t>
  </si>
  <si>
    <t>Splunk Inc</t>
  </si>
  <si>
    <t>-3,342522249</t>
  </si>
  <si>
    <t>1.85</t>
  </si>
  <si>
    <t>15.54</t>
  </si>
  <si>
    <t>0.12</t>
  </si>
  <si>
    <t>3.35</t>
  </si>
  <si>
    <t>57,337,611.00</t>
  </si>
  <si>
    <t>RBLX.N</t>
  </si>
  <si>
    <t>Roblox Corp</t>
  </si>
  <si>
    <t>-16,45369969</t>
  </si>
  <si>
    <t>-38,4%</t>
  </si>
  <si>
    <t>1.15</t>
  </si>
  <si>
    <t>8.84</t>
  </si>
  <si>
    <t>2.24</t>
  </si>
  <si>
    <t>21,187,619.00</t>
  </si>
  <si>
    <t>ANSS.OQ</t>
  </si>
  <si>
    <t>ANSYS Inc</t>
  </si>
  <si>
    <t>-1,07057927</t>
  </si>
  <si>
    <t>0.46</t>
  </si>
  <si>
    <t>5.77</t>
  </si>
  <si>
    <t>24.22</t>
  </si>
  <si>
    <t>0.39</t>
  </si>
  <si>
    <t>14.79</t>
  </si>
  <si>
    <t>1,024,369,074.00</t>
  </si>
  <si>
    <t>HUBS.N</t>
  </si>
  <si>
    <t>HubSpot Inc</t>
  </si>
  <si>
    <t>-1,6%</t>
  </si>
  <si>
    <t>4.36</t>
  </si>
  <si>
    <t>0.08</t>
  </si>
  <si>
    <t>124,603,134.00</t>
  </si>
  <si>
    <t>SNAP.N</t>
  </si>
  <si>
    <t>Snap Inc</t>
  </si>
  <si>
    <t>-4,163362389</t>
  </si>
  <si>
    <t>-27,6%</t>
  </si>
  <si>
    <t>0.04</t>
  </si>
  <si>
    <t>10,004,131.00</t>
  </si>
  <si>
    <t>SE.N</t>
  </si>
  <si>
    <t>Sea Ltd</t>
  </si>
  <si>
    <t>-3,102332063</t>
  </si>
  <si>
    <t>-18,65</t>
  </si>
  <si>
    <t>0.94</t>
  </si>
  <si>
    <t>0.89</t>
  </si>
  <si>
    <t>6.34</t>
  </si>
  <si>
    <t>1.02</t>
  </si>
  <si>
    <t>9.62</t>
  </si>
  <si>
    <t>49,093,055.00</t>
  </si>
  <si>
    <t>ZM.OQ</t>
  </si>
  <si>
    <t>Zoom Video Communications Inc</t>
  </si>
  <si>
    <t>-4,229138283</t>
  </si>
  <si>
    <t>5.11</t>
  </si>
  <si>
    <t>17.92</t>
  </si>
  <si>
    <t>54.99</t>
  </si>
  <si>
    <t>4.23</t>
  </si>
  <si>
    <t>259.47</t>
  </si>
  <si>
    <t>272,062,000.00</t>
  </si>
  <si>
    <t>688111.SS</t>
  </si>
  <si>
    <t>Beijing Kingsoft Office Software Inc</t>
  </si>
  <si>
    <t>11.28</t>
  </si>
  <si>
    <t>12.38</t>
  </si>
  <si>
    <t>24.56</t>
  </si>
  <si>
    <t>9.69</t>
  </si>
  <si>
    <t>370.95</t>
  </si>
  <si>
    <t>7,432,262,329.00</t>
  </si>
  <si>
    <t>PTC.OQ</t>
  </si>
  <si>
    <t>PTC Inc</t>
  </si>
  <si>
    <t>2.86</t>
  </si>
  <si>
    <t>10.91</t>
  </si>
  <si>
    <t>10.68</t>
  </si>
  <si>
    <t>45,589,575.00</t>
  </si>
  <si>
    <t>DIDIY.PK</t>
  </si>
  <si>
    <t>DiDi Global Inc</t>
  </si>
  <si>
    <t>-21,8%</t>
  </si>
  <si>
    <t>8.68</t>
  </si>
  <si>
    <t>5.00</t>
  </si>
  <si>
    <t>20.08</t>
  </si>
  <si>
    <t>7.51</t>
  </si>
  <si>
    <t>199.32</t>
  </si>
  <si>
    <t>63,330,441.00</t>
  </si>
  <si>
    <t>IOT.N</t>
  </si>
  <si>
    <t>Samsara Inc</t>
  </si>
  <si>
    <t>-0,288371877</t>
  </si>
  <si>
    <t>-28,8%</t>
  </si>
  <si>
    <t>0.88</t>
  </si>
  <si>
    <t>428,707,430.00</t>
  </si>
  <si>
    <t>TYL.N</t>
  </si>
  <si>
    <t>Tyler Technologies Inc</t>
  </si>
  <si>
    <t>2.75</t>
  </si>
  <si>
    <t>2.76</t>
  </si>
  <si>
    <t>11.55</t>
  </si>
  <si>
    <t>51.27</t>
  </si>
  <si>
    <t>143,500,000.00</t>
  </si>
  <si>
    <t>CHKP.OQ</t>
  </si>
  <si>
    <t>Check Point Software Technologies Ltd</t>
  </si>
  <si>
    <t>0.99</t>
  </si>
  <si>
    <t>5.52</t>
  </si>
  <si>
    <t>2.35</t>
  </si>
  <si>
    <t>4.65</t>
  </si>
  <si>
    <t>30,901,440.00</t>
  </si>
  <si>
    <t>002230.SZ</t>
  </si>
  <si>
    <t>iFLYTEK Co Ltd</t>
  </si>
  <si>
    <t>-2,5%</t>
  </si>
  <si>
    <t>5.57</t>
  </si>
  <si>
    <t>7.58</t>
  </si>
  <si>
    <t>18.83</t>
  </si>
  <si>
    <t>5.04</t>
  </si>
  <si>
    <t>112.87</t>
  </si>
  <si>
    <t>2,739,376,061.00</t>
  </si>
  <si>
    <t>WTC.AX</t>
  </si>
  <si>
    <t>WiseTech Global Ltd</t>
  </si>
  <si>
    <t>29,273,376.00</t>
  </si>
  <si>
    <t>BSY.OQ</t>
  </si>
  <si>
    <t>Bentley Systems Inc</t>
  </si>
  <si>
    <t>4.89</t>
  </si>
  <si>
    <t>9.95</t>
  </si>
  <si>
    <t>35.90</t>
  </si>
  <si>
    <t>4.27</t>
  </si>
  <si>
    <t>163.24</t>
  </si>
  <si>
    <t>119,244,754.00</t>
  </si>
  <si>
    <t>SGE.L</t>
  </si>
  <si>
    <t>Sage Group PLC</t>
  </si>
  <si>
    <t>-3.52</t>
  </si>
  <si>
    <t>1,150,623,769.00</t>
  </si>
  <si>
    <t>GEN.OQ</t>
  </si>
  <si>
    <t>Gen Digital Inc</t>
  </si>
  <si>
    <t>0.57</t>
  </si>
  <si>
    <t>43.36</t>
  </si>
  <si>
    <t>0.68</t>
  </si>
  <si>
    <t>83,875,016.00</t>
  </si>
  <si>
    <t>PATH.N</t>
  </si>
  <si>
    <t>UiPath Inc</t>
  </si>
  <si>
    <t>-15,8%</t>
  </si>
  <si>
    <t>1.34</t>
  </si>
  <si>
    <t>3.65</t>
  </si>
  <si>
    <t>920,766,869.00</t>
  </si>
  <si>
    <t>NICE.TA</t>
  </si>
  <si>
    <t>Nice Ltd</t>
  </si>
  <si>
    <t>9.51</t>
  </si>
  <si>
    <t>118.15</t>
  </si>
  <si>
    <t>84.33</t>
  </si>
  <si>
    <t>25,373,280.00</t>
  </si>
  <si>
    <t>TWLO.N</t>
  </si>
  <si>
    <t>Twilio Inc</t>
  </si>
  <si>
    <t>-5,4%</t>
  </si>
  <si>
    <t>1.07</t>
  </si>
  <si>
    <t>9.00</t>
  </si>
  <si>
    <t>1.77</t>
  </si>
  <si>
    <t>49,262,803.00</t>
  </si>
  <si>
    <t>AZPN.OQ</t>
  </si>
  <si>
    <t>Aspen Technology Inc</t>
  </si>
  <si>
    <t>-1,001722635</t>
  </si>
  <si>
    <t>-2,87</t>
  </si>
  <si>
    <t>4.34</t>
  </si>
  <si>
    <t>12.73</t>
  </si>
  <si>
    <t>4.10</t>
  </si>
  <si>
    <t>53.09</t>
  </si>
  <si>
    <t>43,565,346.00</t>
  </si>
  <si>
    <t>APP.OQ</t>
  </si>
  <si>
    <t>Applovin Corp</t>
  </si>
  <si>
    <t>317,009,000.00</t>
  </si>
  <si>
    <t>600845.SS</t>
  </si>
  <si>
    <t>Shanghai Baosight Software Co Ltd</t>
  </si>
  <si>
    <t>0.34</t>
  </si>
  <si>
    <t>1.59</t>
  </si>
  <si>
    <t>20,990,819.00</t>
  </si>
  <si>
    <t>GRAB.OQ</t>
  </si>
  <si>
    <t>Grab Holdings Ltd</t>
  </si>
  <si>
    <t>-20,3%</t>
  </si>
  <si>
    <t>1.26</t>
  </si>
  <si>
    <t>3.58</t>
  </si>
  <si>
    <t>0.37</t>
  </si>
  <si>
    <t>113,294,832.00</t>
  </si>
  <si>
    <t>U.N</t>
  </si>
  <si>
    <t>Unity Software Inc</t>
  </si>
  <si>
    <t>-1,061430793</t>
  </si>
  <si>
    <t>-18,5%</t>
  </si>
  <si>
    <t>22,212,217.00</t>
  </si>
  <si>
    <t>TRMB.OQ</t>
  </si>
  <si>
    <t>Trimble Inc</t>
  </si>
  <si>
    <t>-3,242295693</t>
  </si>
  <si>
    <t>1.21</t>
  </si>
  <si>
    <t>10.03</t>
  </si>
  <si>
    <t>22.47</t>
  </si>
  <si>
    <t>47.16</t>
  </si>
  <si>
    <t>75,404,000.00</t>
  </si>
  <si>
    <t>ESTC.N</t>
  </si>
  <si>
    <t>Elastic NV</t>
  </si>
  <si>
    <t>-9,8%</t>
  </si>
  <si>
    <t>2.94</t>
  </si>
  <si>
    <t>26.30</t>
  </si>
  <si>
    <t>0.11</t>
  </si>
  <si>
    <t>2.96</t>
  </si>
  <si>
    <t>78,941,800.00</t>
  </si>
  <si>
    <t>PAYC.N</t>
  </si>
  <si>
    <t>Paycom Software Inc</t>
  </si>
  <si>
    <t>-3,120133922</t>
  </si>
  <si>
    <t>5,049,255,341.00</t>
  </si>
  <si>
    <t>OTEX.TO</t>
  </si>
  <si>
    <t>Open Text Corp</t>
  </si>
  <si>
    <t>-0,04</t>
  </si>
  <si>
    <t>753,377,447.00</t>
  </si>
  <si>
    <t>CDAY.N</t>
  </si>
  <si>
    <t>Ceridian HCM Holding Inc</t>
  </si>
  <si>
    <t>44,701,000.00</t>
  </si>
  <si>
    <t>XRO.AX</t>
  </si>
  <si>
    <t>Xero Ltd</t>
  </si>
  <si>
    <t>0.02</t>
  </si>
  <si>
    <t>47,722,000.00</t>
  </si>
  <si>
    <t>4716.T</t>
  </si>
  <si>
    <t>Oracle Corp Japan</t>
  </si>
  <si>
    <t>-6,42</t>
  </si>
  <si>
    <t>10,800,200.00</t>
  </si>
  <si>
    <t>DOCU.OQ</t>
  </si>
  <si>
    <t>DocuSign Inc</t>
  </si>
  <si>
    <t>32,227,406.00</t>
  </si>
  <si>
    <t>NEKG.DE</t>
  </si>
  <si>
    <t>Nemetschek SE</t>
  </si>
  <si>
    <t>-13,76534324</t>
  </si>
  <si>
    <t>1.83</t>
  </si>
  <si>
    <t>4.92</t>
  </si>
  <si>
    <t>0.38</t>
  </si>
  <si>
    <t>91,449,602.00</t>
  </si>
  <si>
    <t>DBX.OQ</t>
  </si>
  <si>
    <t>Dropbox Inc</t>
  </si>
  <si>
    <t>7.77</t>
  </si>
  <si>
    <t>9.12</t>
  </si>
  <si>
    <t>49.79</t>
  </si>
  <si>
    <t>7.60</t>
  </si>
  <si>
    <t>402.14</t>
  </si>
  <si>
    <t>42,124,186.00</t>
  </si>
  <si>
    <t>GTLB.OQ</t>
  </si>
  <si>
    <t>GitLab Inc</t>
  </si>
  <si>
    <t>-34,5%</t>
  </si>
  <si>
    <t>1.86</t>
  </si>
  <si>
    <t>12.09</t>
  </si>
  <si>
    <t>1.17</t>
  </si>
  <si>
    <t>4,242,957.00</t>
  </si>
  <si>
    <t>688256.SS</t>
  </si>
  <si>
    <t>Cambricon Technologies Corp Ltd</t>
  </si>
  <si>
    <t>-567,6%</t>
  </si>
  <si>
    <t>1.97</t>
  </si>
  <si>
    <t>6.13</t>
  </si>
  <si>
    <t>13.58</t>
  </si>
  <si>
    <t>1.78</t>
  </si>
  <si>
    <t>22.27</t>
  </si>
  <si>
    <t>640,715,270.00</t>
  </si>
  <si>
    <t>9697.T</t>
  </si>
  <si>
    <t>Capcom Co Ltd</t>
  </si>
  <si>
    <t>-0,071316163</t>
  </si>
  <si>
    <t>2.44</t>
  </si>
  <si>
    <t>294,382,630.00</t>
  </si>
  <si>
    <t>PCTY.OQ</t>
  </si>
  <si>
    <t>Paylocity Holding Corp</t>
  </si>
  <si>
    <t>0.92</t>
  </si>
  <si>
    <t>3.71</t>
  </si>
  <si>
    <t>12.36</t>
  </si>
  <si>
    <t>1.03</t>
  </si>
  <si>
    <t>24.81</t>
  </si>
  <si>
    <t>55,256,617.00</t>
  </si>
  <si>
    <t>CYBR.OQ</t>
  </si>
  <si>
    <t>Cyberark Software Ltd</t>
  </si>
  <si>
    <t>-17,6%</t>
  </si>
  <si>
    <t>1.57</t>
  </si>
  <si>
    <t>0.91</t>
  </si>
  <si>
    <t>5.25</t>
  </si>
  <si>
    <t>1.12</t>
  </si>
  <si>
    <t>19.97</t>
  </si>
  <si>
    <t>13,997,173.00</t>
  </si>
  <si>
    <t>MNDY.OQ</t>
  </si>
  <si>
    <t>Monday.Com Ltd</t>
  </si>
  <si>
    <t>-3,734627747</t>
  </si>
  <si>
    <t>-5,8%</t>
  </si>
  <si>
    <t>2.63</t>
  </si>
  <si>
    <t>3.89</t>
  </si>
  <si>
    <t>18.51</t>
  </si>
  <si>
    <t>2.65</t>
  </si>
  <si>
    <t>46.75</t>
  </si>
  <si>
    <t>248,767,565.00</t>
  </si>
  <si>
    <t>PCOR.N</t>
  </si>
  <si>
    <t>Procore Technologies Inc</t>
  </si>
  <si>
    <t>-20,0%</t>
  </si>
  <si>
    <t>1.40</t>
  </si>
  <si>
    <t>7.72</t>
  </si>
  <si>
    <t>17.62</t>
  </si>
  <si>
    <t>1.25</t>
  </si>
  <si>
    <t>33.50</t>
  </si>
  <si>
    <t>266,505,623.00</t>
  </si>
  <si>
    <t>DLB.N</t>
  </si>
  <si>
    <t>Dolby Laboratories Inc</t>
  </si>
  <si>
    <t>-0,168765922</t>
  </si>
  <si>
    <t>-1,44</t>
  </si>
  <si>
    <t>0.28</t>
  </si>
  <si>
    <t>2.80</t>
  </si>
  <si>
    <t>11,417,900.00</t>
  </si>
  <si>
    <t>600588.SS</t>
  </si>
  <si>
    <t>Yonyou Network Technology Co Ltd</t>
  </si>
  <si>
    <t>-11,6%</t>
  </si>
  <si>
    <t>0.79</t>
  </si>
  <si>
    <t>4.80</t>
  </si>
  <si>
    <t>0.76</t>
  </si>
  <si>
    <t>10.46</t>
  </si>
  <si>
    <t>18,287,000.00</t>
  </si>
  <si>
    <t>TOST.N</t>
  </si>
  <si>
    <t>Toast Inc</t>
  </si>
  <si>
    <t>-8,4%</t>
  </si>
  <si>
    <t>0.35</t>
  </si>
  <si>
    <t>142,697,197.00</t>
  </si>
  <si>
    <t>GWRE.N</t>
  </si>
  <si>
    <t>Guidewire Software Inc</t>
  </si>
  <si>
    <t>-10,1%</t>
  </si>
  <si>
    <t>1.95</t>
  </si>
  <si>
    <t>27.31</t>
  </si>
  <si>
    <t>38,666,746.00</t>
  </si>
  <si>
    <t>301269.SZ</t>
  </si>
  <si>
    <t>Empyrean Technology Co Ltd</t>
  </si>
  <si>
    <t>-2,710121391</t>
  </si>
  <si>
    <t>1.66</t>
  </si>
  <si>
    <t>2.23</t>
  </si>
  <si>
    <t>5.03</t>
  </si>
  <si>
    <t>-3.85</t>
  </si>
  <si>
    <t>26.22</t>
  </si>
  <si>
    <t>127,416,314.00</t>
  </si>
  <si>
    <t>INFA.N</t>
  </si>
  <si>
    <t>Informatica Inc</t>
  </si>
  <si>
    <t>13.61</t>
  </si>
  <si>
    <t>13.64</t>
  </si>
  <si>
    <t>49.54</t>
  </si>
  <si>
    <t>11.09</t>
  </si>
  <si>
    <t>534.15</t>
  </si>
  <si>
    <t>152,053,000.00</t>
  </si>
  <si>
    <t>4704.T</t>
  </si>
  <si>
    <t>Trend Micro Inc</t>
  </si>
  <si>
    <t>-12,24</t>
  </si>
  <si>
    <t>106.50</t>
  </si>
  <si>
    <t>1,093,332,092.00</t>
  </si>
  <si>
    <t>MSTR.OQ</t>
  </si>
  <si>
    <t>Microstrategy Inc</t>
  </si>
  <si>
    <t>15,090,902.00</t>
  </si>
  <si>
    <t>600570.SS</t>
  </si>
  <si>
    <t>Hundsun Technologies Inc</t>
  </si>
  <si>
    <t>0.29</t>
  </si>
  <si>
    <t>123,071,379.00</t>
  </si>
  <si>
    <t>YMM.N</t>
  </si>
  <si>
    <t>Full Truck Alliance Co Ltd</t>
  </si>
  <si>
    <t>20,687,833.00</t>
  </si>
  <si>
    <t>BILL.N</t>
  </si>
  <si>
    <t>BILL Holdings Inc</t>
  </si>
  <si>
    <t>-15,3%</t>
  </si>
  <si>
    <t>143.94</t>
  </si>
  <si>
    <t>268,074,709.00</t>
  </si>
  <si>
    <t>CCCS.OQ</t>
  </si>
  <si>
    <t>CCC Intelligent Solutions Holdings Inc</t>
  </si>
  <si>
    <t>-6,220405514</t>
  </si>
  <si>
    <t>0.61</t>
  </si>
  <si>
    <t>1.30</t>
  </si>
  <si>
    <t>7.87</t>
  </si>
  <si>
    <t>7.61</t>
  </si>
  <si>
    <t>24,753,028.00</t>
  </si>
  <si>
    <t>9766.T</t>
  </si>
  <si>
    <t>Konami Group Corp</t>
  </si>
  <si>
    <t>-7,22</t>
  </si>
  <si>
    <t>1.38</t>
  </si>
  <si>
    <t>8.57</t>
  </si>
  <si>
    <t>90,477,798.00</t>
  </si>
  <si>
    <t>CFLT.OQ</t>
  </si>
  <si>
    <t>Confluent Inc</t>
  </si>
  <si>
    <t>-63,5%</t>
  </si>
  <si>
    <t>16.36</t>
  </si>
  <si>
    <t>33,578,100.00</t>
  </si>
  <si>
    <t>DSG.TO</t>
  </si>
  <si>
    <t>Descartes Systems Group Inc</t>
  </si>
  <si>
    <t>-2,34398302</t>
  </si>
  <si>
    <t>506,286,159.00</t>
  </si>
  <si>
    <t>S.N</t>
  </si>
  <si>
    <t>SentinelOne Inc</t>
  </si>
  <si>
    <t>-63,2%</t>
  </si>
  <si>
    <t>0.25</t>
  </si>
  <si>
    <t>10.21</t>
  </si>
  <si>
    <t>23.16</t>
  </si>
  <si>
    <t>7.79</t>
  </si>
  <si>
    <t>80,926,511.00</t>
  </si>
  <si>
    <t>SPSC.OQ</t>
  </si>
  <si>
    <t>SPS Commerce Inc</t>
  </si>
  <si>
    <t>52,773,718.00</t>
  </si>
  <si>
    <t>TEMN.S</t>
  </si>
  <si>
    <t>Temenos AG</t>
  </si>
  <si>
    <t>-4,61</t>
  </si>
  <si>
    <t>-0.28</t>
  </si>
  <si>
    <t>-13.58</t>
  </si>
  <si>
    <t>2,584,293.00</t>
  </si>
  <si>
    <t>APPF.OQ</t>
  </si>
  <si>
    <t>Appfolio Inc</t>
  </si>
  <si>
    <t>141,591,534.00</t>
  </si>
  <si>
    <t>TTEX.NS</t>
  </si>
  <si>
    <t>Tata Elxsi Ltd</t>
  </si>
  <si>
    <t>125,169,865.00</t>
  </si>
  <si>
    <t>SMAR.N</t>
  </si>
  <si>
    <t>Smartsheet Inc</t>
  </si>
  <si>
    <t>-13,2%</t>
  </si>
  <si>
    <t>48,242,605.00</t>
  </si>
  <si>
    <t>FRSH.OQ</t>
  </si>
  <si>
    <t>Freshworks Inc</t>
  </si>
  <si>
    <t>-31,8%</t>
  </si>
  <si>
    <t>0.62</t>
  </si>
  <si>
    <t>14.49</t>
  </si>
  <si>
    <t>4,526,135,442.00</t>
  </si>
  <si>
    <t>HQY.OQ</t>
  </si>
  <si>
    <t>Healthequity Inc</t>
  </si>
  <si>
    <t>-8,02</t>
  </si>
  <si>
    <t>-0.16</t>
  </si>
  <si>
    <t>324,778,056.00</t>
  </si>
  <si>
    <t>FIVN.OQ</t>
  </si>
  <si>
    <t>Five9 Inc</t>
  </si>
  <si>
    <t>-4,0%</t>
  </si>
  <si>
    <t>1.73</t>
  </si>
  <si>
    <t>3.32</t>
  </si>
  <si>
    <t>189.64</t>
  </si>
  <si>
    <t>-0.04</t>
  </si>
  <si>
    <t>51.84</t>
  </si>
  <si>
    <t>83,555,919.00</t>
  </si>
  <si>
    <t>ALTTU.PA</t>
  </si>
  <si>
    <t>TaTaTu SpA</t>
  </si>
  <si>
    <t>-10,04946184</t>
  </si>
  <si>
    <t>3.13</t>
  </si>
  <si>
    <t>5.24</t>
  </si>
  <si>
    <t>39.27</t>
  </si>
  <si>
    <t>3.56</t>
  </si>
  <si>
    <t>154.21</t>
  </si>
  <si>
    <t>170,067,620.00</t>
  </si>
  <si>
    <t>TOI.V</t>
  </si>
  <si>
    <t>Topicus.com Inc</t>
  </si>
  <si>
    <t>0.65</t>
  </si>
  <si>
    <t>5.27</t>
  </si>
  <si>
    <t>9,100,000.00</t>
  </si>
  <si>
    <t>DV.N</t>
  </si>
  <si>
    <t>DoubleVerify Holdings Inc</t>
  </si>
  <si>
    <t>0.23</t>
  </si>
  <si>
    <t>10.81</t>
  </si>
  <si>
    <t>26.76</t>
  </si>
  <si>
    <t>9.80</t>
  </si>
  <si>
    <t>325,676,272.00</t>
  </si>
  <si>
    <t>0020.HK</t>
  </si>
  <si>
    <t>SenseTime Group Inc</t>
  </si>
  <si>
    <t>-75,7%</t>
  </si>
  <si>
    <t>2.95</t>
  </si>
  <si>
    <t>16.85</t>
  </si>
  <si>
    <t>161,155,072.00</t>
  </si>
  <si>
    <t>BRZE.OQ</t>
  </si>
  <si>
    <t>Braze Inc</t>
  </si>
  <si>
    <t>-1,386429832</t>
  </si>
  <si>
    <t>-32,8%</t>
  </si>
  <si>
    <t>0.58</t>
  </si>
  <si>
    <t>5.63</t>
  </si>
  <si>
    <t>12.59</t>
  </si>
  <si>
    <t>22,000,000.00</t>
  </si>
  <si>
    <t>300496.SZ</t>
  </si>
  <si>
    <t>Thunder Software Technology Co Ltd</t>
  </si>
  <si>
    <t>1,156,380,000.00</t>
  </si>
  <si>
    <t>WK.N</t>
  </si>
  <si>
    <t>Workiva Inc</t>
  </si>
  <si>
    <t>-14,4%</t>
  </si>
  <si>
    <t>46.81</t>
  </si>
  <si>
    <t>5,404,331.00</t>
  </si>
  <si>
    <t>HCP.OQ</t>
  </si>
  <si>
    <t>HashiCorp Inc</t>
  </si>
  <si>
    <t>-4,030488635</t>
  </si>
  <si>
    <t>0.45</t>
  </si>
  <si>
    <t>4.08</t>
  </si>
  <si>
    <t>1.35</t>
  </si>
  <si>
    <t>6,713,640.00</t>
  </si>
  <si>
    <t>300454.SZ</t>
  </si>
  <si>
    <t>Sangfor Technologies Inc</t>
  </si>
  <si>
    <t>1.33</t>
  </si>
  <si>
    <t>5.55</t>
  </si>
  <si>
    <t>1.90</t>
  </si>
  <si>
    <t>4,682,910.00</t>
  </si>
  <si>
    <t>TENB.OQ</t>
  </si>
  <si>
    <t>Tenable Holdings Inc</t>
  </si>
  <si>
    <t>-31,49415456</t>
  </si>
  <si>
    <t>-2,9%</t>
  </si>
  <si>
    <t>193,480,489.00</t>
  </si>
  <si>
    <t>KPIE.NS</t>
  </si>
  <si>
    <t>KPIT Technologies Ltd</t>
  </si>
  <si>
    <t>-5,668640709</t>
  </si>
  <si>
    <t>1.71</t>
  </si>
  <si>
    <t>1,533,271,336.00</t>
  </si>
  <si>
    <t>VRNS.OQ</t>
  </si>
  <si>
    <t>Varonis Systems Inc</t>
  </si>
  <si>
    <t>-23,7%</t>
  </si>
  <si>
    <t>-0.01</t>
  </si>
  <si>
    <t>1.72</t>
  </si>
  <si>
    <t>14.85</t>
  </si>
  <si>
    <t>0.27</t>
  </si>
  <si>
    <t>356,212,925.00</t>
  </si>
  <si>
    <t>CWAN.N</t>
  </si>
  <si>
    <t>Clearwater Analytics Holdings Inc</t>
  </si>
  <si>
    <t>-2,053675718</t>
  </si>
  <si>
    <t>-1,3%</t>
  </si>
  <si>
    <t>17.27</t>
  </si>
  <si>
    <t>745,519,039.00</t>
  </si>
  <si>
    <t>BLKB.OQ</t>
  </si>
  <si>
    <t>Blackbaud Inc</t>
  </si>
  <si>
    <t>-0.08</t>
  </si>
  <si>
    <t>0.48</t>
  </si>
  <si>
    <t>-0.11</t>
  </si>
  <si>
    <t>137,981,678.00</t>
  </si>
  <si>
    <t>PWSC.N</t>
  </si>
  <si>
    <t>PowerSchool Holdings Inc</t>
  </si>
  <si>
    <t>17,997,946.00</t>
  </si>
  <si>
    <t>002410.SZ</t>
  </si>
  <si>
    <t>Glodon Co Ltd</t>
  </si>
  <si>
    <t>0.82</t>
  </si>
  <si>
    <t>260,442,506.00</t>
  </si>
  <si>
    <t>VERX.OQ</t>
  </si>
  <si>
    <t>Vertex Inc</t>
  </si>
  <si>
    <t>2,335,606,702.00</t>
  </si>
  <si>
    <t>ALIT.N</t>
  </si>
  <si>
    <t>Alight Inc</t>
  </si>
  <si>
    <t>-10,86937237</t>
  </si>
  <si>
    <t>754,961,813.00</t>
  </si>
  <si>
    <t>3888.HK</t>
  </si>
  <si>
    <t>Kingsoft Corp Ltd</t>
  </si>
  <si>
    <t>TOTS3.SA</t>
  </si>
  <si>
    <t>Totvs SA</t>
  </si>
  <si>
    <t>92.66</t>
  </si>
  <si>
    <t>26,580,678.00</t>
  </si>
  <si>
    <t>PEGA.OQ</t>
  </si>
  <si>
    <t>Pegasystems Inc</t>
  </si>
  <si>
    <t>10,200,000.00</t>
  </si>
  <si>
    <t>ORCL.NS</t>
  </si>
  <si>
    <t>Oracle Financial Services Software Ltd</t>
  </si>
  <si>
    <t>-6,771565787</t>
  </si>
  <si>
    <t>-48,77</t>
  </si>
  <si>
    <t>0.87</t>
  </si>
  <si>
    <t>3.34</t>
  </si>
  <si>
    <t>12.50</t>
  </si>
  <si>
    <t>0.90</t>
  </si>
  <si>
    <t>22.62</t>
  </si>
  <si>
    <t>30,382,784.00</t>
  </si>
  <si>
    <t>600536.SS</t>
  </si>
  <si>
    <t>China National Software &amp; Service Co Ltd</t>
  </si>
  <si>
    <t>411,239,719.00</t>
  </si>
  <si>
    <t>ASAN.N</t>
  </si>
  <si>
    <t>Asana Inc</t>
  </si>
  <si>
    <t>-43,7%</t>
  </si>
  <si>
    <t>1.80</t>
  </si>
  <si>
    <t>11.99</t>
  </si>
  <si>
    <t>51.40</t>
  </si>
  <si>
    <t>22,932,677.00</t>
  </si>
  <si>
    <t>002153.SZ</t>
  </si>
  <si>
    <t>Beijing Shiji Information Technology Co Ltd</t>
  </si>
  <si>
    <t>-0,116901909</t>
  </si>
  <si>
    <t>-32,7%</t>
  </si>
  <si>
    <t>1.20</t>
  </si>
  <si>
    <t>1.00</t>
  </si>
  <si>
    <t>11.36</t>
  </si>
  <si>
    <t>34,806,286.00</t>
  </si>
  <si>
    <t>688561.SS</t>
  </si>
  <si>
    <t>Qi An Xin Technology Group Inc</t>
  </si>
  <si>
    <t>-0,237793704</t>
  </si>
  <si>
    <t>-19,6%</t>
  </si>
  <si>
    <t>2.15</t>
  </si>
  <si>
    <t>387.79</t>
  </si>
  <si>
    <t>20,267,372.00</t>
  </si>
  <si>
    <t>AUR.OQ</t>
  </si>
  <si>
    <t>Aurora Innovation Inc</t>
  </si>
  <si>
    <t>-1,878015428</t>
  </si>
  <si>
    <t>41,141,211.00</t>
  </si>
  <si>
    <t>ALU.AX</t>
  </si>
  <si>
    <t>Altium Ltd</t>
  </si>
  <si>
    <t>2.66</t>
  </si>
  <si>
    <t>12.67</t>
  </si>
  <si>
    <t>11.52</t>
  </si>
  <si>
    <t>10,693,079.00</t>
  </si>
  <si>
    <t>ESMT.N</t>
  </si>
  <si>
    <t>EngageSmart Inc</t>
  </si>
  <si>
    <t>37,667,581.00</t>
  </si>
  <si>
    <t>INST.N</t>
  </si>
  <si>
    <t>Instructure Holdings Inc</t>
  </si>
  <si>
    <t>15,916,235.00</t>
  </si>
  <si>
    <t>PYCR.OQ</t>
  </si>
  <si>
    <t>Paycor HCM Inc</t>
  </si>
  <si>
    <t>-141,1464748</t>
  </si>
  <si>
    <t>3,442,250.00</t>
  </si>
  <si>
    <t>BL.OQ</t>
  </si>
  <si>
    <t>Blackline Inc</t>
  </si>
  <si>
    <t>-0,006701042</t>
  </si>
  <si>
    <t>9,592,886.00</t>
  </si>
  <si>
    <t>4733.T</t>
  </si>
  <si>
    <t>Obic Business Consultants Co Ltd</t>
  </si>
  <si>
    <t>-48,65658019</t>
  </si>
  <si>
    <t>-2,27</t>
  </si>
  <si>
    <t>2.06</t>
  </si>
  <si>
    <t>9.25</t>
  </si>
  <si>
    <t>1.91</t>
  </si>
  <si>
    <t>36.15</t>
  </si>
  <si>
    <t>53,734,576.00</t>
  </si>
  <si>
    <t>BOX.N</t>
  </si>
  <si>
    <t>Box Inc</t>
  </si>
  <si>
    <t>0.19</t>
  </si>
  <si>
    <t>1.89</t>
  </si>
  <si>
    <t>19,870,527.00</t>
  </si>
  <si>
    <t>RPD.OQ</t>
  </si>
  <si>
    <t>Rapid7 Inc</t>
  </si>
  <si>
    <t>-1,4%</t>
  </si>
  <si>
    <t>62,386,490.00</t>
  </si>
  <si>
    <t>FNOX.ST</t>
  </si>
  <si>
    <t>Fortnox AB</t>
  </si>
  <si>
    <t>-7,317984915</t>
  </si>
  <si>
    <t>1.54</t>
  </si>
  <si>
    <t>7.74</t>
  </si>
  <si>
    <t>35.61</t>
  </si>
  <si>
    <t>4,600,000.00</t>
  </si>
  <si>
    <t>UBIP.PA</t>
  </si>
  <si>
    <t>Ubisoft Entertainment SA</t>
  </si>
  <si>
    <t>27.30</t>
  </si>
  <si>
    <t>224,212,906.00</t>
  </si>
  <si>
    <t>NCNO.OQ</t>
  </si>
  <si>
    <t>nCino Inc</t>
  </si>
  <si>
    <t>-5,097970174</t>
  </si>
  <si>
    <t>-37,86</t>
  </si>
  <si>
    <t>-0,4%</t>
  </si>
  <si>
    <t>0.60</t>
  </si>
  <si>
    <t>521,175.00</t>
  </si>
  <si>
    <t>CVLT.OQ</t>
  </si>
  <si>
    <t>Commvault Systems Inc</t>
  </si>
  <si>
    <t>-1,14395198</t>
  </si>
  <si>
    <t>112,821,495.00</t>
  </si>
  <si>
    <t>002405.SZ</t>
  </si>
  <si>
    <t>NavInfo Co Ltd</t>
  </si>
  <si>
    <t>-16,79</t>
  </si>
  <si>
    <t>-25,8%</t>
  </si>
  <si>
    <t>-1.76</t>
  </si>
  <si>
    <t>6,038,744.00</t>
  </si>
  <si>
    <t>TNE.AX</t>
  </si>
  <si>
    <t>TechnologyOne Ltd</t>
  </si>
  <si>
    <t>-0,494257794</t>
  </si>
  <si>
    <t>0.63</t>
  </si>
  <si>
    <t>14.38</t>
  </si>
  <si>
    <t>39.42</t>
  </si>
  <si>
    <t>0.50</t>
  </si>
  <si>
    <t>30.13</t>
  </si>
  <si>
    <t>131,926,838.00</t>
  </si>
  <si>
    <t>KXS.TO</t>
  </si>
  <si>
    <t>Kinaxis Inc</t>
  </si>
  <si>
    <t>490,336,486.00</t>
  </si>
  <si>
    <t>YOU.N</t>
  </si>
  <si>
    <t>Clear Secure Inc</t>
  </si>
  <si>
    <t>-1,2%</t>
  </si>
  <si>
    <t>0.56</t>
  </si>
  <si>
    <t>7.88</t>
  </si>
  <si>
    <t>25,515,594.00</t>
  </si>
  <si>
    <t>3923.T</t>
  </si>
  <si>
    <t>Rakus Co Ltd</t>
  </si>
  <si>
    <t>-21,02</t>
  </si>
  <si>
    <t>-13.46</t>
  </si>
  <si>
    <t>29,222,504.00</t>
  </si>
  <si>
    <t>DARK.L</t>
  </si>
  <si>
    <t>Darktrace PLC</t>
  </si>
  <si>
    <t>51.00</t>
  </si>
  <si>
    <t>421,952,476.00</t>
  </si>
  <si>
    <t>AI.N</t>
  </si>
  <si>
    <t>C3.ai Inc</t>
  </si>
  <si>
    <t>-101,6%</t>
  </si>
  <si>
    <t>122,590,730.00</t>
  </si>
  <si>
    <t>RNG.N</t>
  </si>
  <si>
    <t>RingCentral Inc</t>
  </si>
  <si>
    <t>4.19</t>
  </si>
  <si>
    <t>13.46</t>
  </si>
  <si>
    <t>16.62</t>
  </si>
  <si>
    <t>26,773,324.00</t>
  </si>
  <si>
    <t>SPT.OQ</t>
  </si>
  <si>
    <t>Sprout Social Inc</t>
  </si>
  <si>
    <t>-4,479151744</t>
  </si>
  <si>
    <t>22,412,578.00</t>
  </si>
  <si>
    <t>FROG.OQ</t>
  </si>
  <si>
    <t>Jfrog Ltd</t>
  </si>
  <si>
    <t>-18,2%</t>
  </si>
  <si>
    <t>1,714,889.00</t>
  </si>
  <si>
    <t>CXM.N</t>
  </si>
  <si>
    <t>Sprinklr Inc</t>
  </si>
  <si>
    <t>1.39</t>
  </si>
  <si>
    <t>1,213,413,212.00</t>
  </si>
  <si>
    <t>SRAD.OQ</t>
  </si>
  <si>
    <t>Sportradar Group AG</t>
  </si>
  <si>
    <t>-0,43</t>
  </si>
  <si>
    <t>1.31</t>
  </si>
  <si>
    <t>9.97</t>
  </si>
  <si>
    <t>31.61</t>
  </si>
  <si>
    <t>1.23</t>
  </si>
  <si>
    <t>47.72</t>
  </si>
  <si>
    <t>1,336,449,712.00</t>
  </si>
  <si>
    <t>AYX.N</t>
  </si>
  <si>
    <t>Alteryx Inc</t>
  </si>
  <si>
    <t>-25,1%</t>
  </si>
  <si>
    <t>3,708,518.00</t>
  </si>
  <si>
    <t>300339.SZ</t>
  </si>
  <si>
    <t>Jiangsu Hoperun Software Co Ltd</t>
  </si>
  <si>
    <t>-3,567432198</t>
  </si>
  <si>
    <t>325,649,947.00</t>
  </si>
  <si>
    <t>300459.SZ</t>
  </si>
  <si>
    <t>Zhejiang Jinke Tom Culture Industry Co Ltd</t>
  </si>
  <si>
    <t>0.31</t>
  </si>
  <si>
    <t>20,870,494.00</t>
  </si>
  <si>
    <t>002261.SZ</t>
  </si>
  <si>
    <t>Talkweb Information System Co Ltd</t>
  </si>
  <si>
    <t>-42,2%</t>
  </si>
  <si>
    <t>13.49</t>
  </si>
  <si>
    <t>2.41</t>
  </si>
  <si>
    <t>132,380,282.00</t>
  </si>
  <si>
    <t>ALRM.OQ</t>
  </si>
  <si>
    <t>Alarm.com Holdings Inc</t>
  </si>
  <si>
    <t>-4,804980701</t>
  </si>
  <si>
    <t>18.61</t>
  </si>
  <si>
    <t>428,312,087.00</t>
  </si>
  <si>
    <t>CDR.WA</t>
  </si>
  <si>
    <t>CD Projekt SA</t>
  </si>
  <si>
    <t>-25,83</t>
  </si>
  <si>
    <t>2.53</t>
  </si>
  <si>
    <t>2,083,191.00</t>
  </si>
  <si>
    <t>APPN.OQ</t>
  </si>
  <si>
    <t>Appian Corp</t>
  </si>
  <si>
    <t>-23,6%</t>
  </si>
  <si>
    <t>-0.72</t>
  </si>
  <si>
    <t>0.15</t>
  </si>
  <si>
    <t>-6.99</t>
  </si>
  <si>
    <t>39,596,102.00</t>
  </si>
  <si>
    <t>300682.SZ</t>
  </si>
  <si>
    <t>Longshine Technology Group Co Ltd</t>
  </si>
  <si>
    <t>-0,967229223</t>
  </si>
  <si>
    <t>8.05</t>
  </si>
  <si>
    <t>25.19</t>
  </si>
  <si>
    <t>9.91</t>
  </si>
  <si>
    <t>18,158,205.00</t>
  </si>
  <si>
    <t>300002.SZ</t>
  </si>
  <si>
    <t>Beijing Ultrapower Software Co Ltd</t>
  </si>
  <si>
    <t>8.56</t>
  </si>
  <si>
    <t>11.57</t>
  </si>
  <si>
    <t>36.12</t>
  </si>
  <si>
    <t>286.11</t>
  </si>
  <si>
    <t>86,872,803.00</t>
  </si>
  <si>
    <t>002195.SZ</t>
  </si>
  <si>
    <t>Shanghai Stonehill Technology Co Ltd</t>
  </si>
  <si>
    <t>-16,4%</t>
  </si>
  <si>
    <t>17,797,519.00</t>
  </si>
  <si>
    <t>CERT.OQ</t>
  </si>
  <si>
    <t>Certara Inc</t>
  </si>
  <si>
    <t>4.98</t>
  </si>
  <si>
    <t>40,301,224.00</t>
  </si>
  <si>
    <t>603927.SS</t>
  </si>
  <si>
    <t>Sinosoft Co Ltd</t>
  </si>
  <si>
    <t>107,728,612.00</t>
  </si>
  <si>
    <t>TMV.DE</t>
  </si>
  <si>
    <t>TeamViewer SE</t>
  </si>
  <si>
    <t>17,117,100.00</t>
  </si>
  <si>
    <t>SOWGn.DE</t>
  </si>
  <si>
    <t>Software AG</t>
  </si>
  <si>
    <t>-23,27</t>
  </si>
  <si>
    <t>25,458,746.00</t>
  </si>
  <si>
    <t>INTA.OQ</t>
  </si>
  <si>
    <t>Intapp Inc</t>
  </si>
  <si>
    <t>10.24</t>
  </si>
  <si>
    <t>64.03</t>
  </si>
  <si>
    <t>87,588,047.00</t>
  </si>
  <si>
    <t>LSPD.TO</t>
  </si>
  <si>
    <t>Lightspeed Commerce Inc</t>
  </si>
  <si>
    <t>-14,5%</t>
  </si>
  <si>
    <t>20,197,911.00</t>
  </si>
  <si>
    <t>688088.SS</t>
  </si>
  <si>
    <t>ArcSoft Corp Ltd</t>
  </si>
  <si>
    <t>-0,0908468</t>
  </si>
  <si>
    <t>-20,17</t>
  </si>
  <si>
    <t>4.11</t>
  </si>
  <si>
    <t>12.06</t>
  </si>
  <si>
    <t>375,787,000.00</t>
  </si>
  <si>
    <t>SDGR.OQ</t>
  </si>
  <si>
    <t>Schrodinger Inc</t>
  </si>
  <si>
    <t>-18,10</t>
  </si>
  <si>
    <t>-98,0%</t>
  </si>
  <si>
    <t>3.53</t>
  </si>
  <si>
    <t>7.95</t>
  </si>
  <si>
    <t>PRGS.OQ</t>
  </si>
  <si>
    <t>Progress Software Corp</t>
  </si>
  <si>
    <t>0.47</t>
  </si>
  <si>
    <t>5.43</t>
  </si>
  <si>
    <t>6.92</t>
  </si>
  <si>
    <t>10,649,000.00</t>
  </si>
  <si>
    <t>BB.TO</t>
  </si>
  <si>
    <t>BlackBerry Ltd</t>
  </si>
  <si>
    <t>15.09</t>
  </si>
  <si>
    <t>50.53</t>
  </si>
  <si>
    <t>1.44</t>
  </si>
  <si>
    <t>100.38</t>
  </si>
  <si>
    <t>62,276,440.00</t>
  </si>
  <si>
    <t>RAMP.N</t>
  </si>
  <si>
    <t>Liveramp Holdings Inc</t>
  </si>
  <si>
    <t>-4,64556962</t>
  </si>
  <si>
    <t>-3,0%</t>
  </si>
  <si>
    <t>2.26</t>
  </si>
  <si>
    <t>9.71</t>
  </si>
  <si>
    <t>119,247,633.00</t>
  </si>
  <si>
    <t>ENV.N</t>
  </si>
  <si>
    <t>Envestnet Inc</t>
  </si>
  <si>
    <t>-8,43</t>
  </si>
  <si>
    <t>4.76</t>
  </si>
  <si>
    <t>3.68</t>
  </si>
  <si>
    <t>12.24</t>
  </si>
  <si>
    <t>3.27</t>
  </si>
  <si>
    <t>39.80</t>
  </si>
  <si>
    <t>271,514,728.00</t>
  </si>
  <si>
    <t>NABL.N</t>
  </si>
  <si>
    <t>N-Able Inc</t>
  </si>
  <si>
    <t>-216,8058184</t>
  </si>
  <si>
    <t>4.70</t>
  </si>
  <si>
    <t>12.48</t>
  </si>
  <si>
    <t>2,623,227.00</t>
  </si>
  <si>
    <t>QTWO.N</t>
  </si>
  <si>
    <t>Q2 Holdings Inc</t>
  </si>
  <si>
    <t>8.86</t>
  </si>
  <si>
    <t>10.96</t>
  </si>
  <si>
    <t>5,548,979.00</t>
  </si>
  <si>
    <t>PDXI.ST</t>
  </si>
  <si>
    <t>Paradox Interactive AB (publ)</t>
  </si>
  <si>
    <t>-7,398426695</t>
  </si>
  <si>
    <t>256,282,837.00</t>
  </si>
  <si>
    <t>AGYS.OQ</t>
  </si>
  <si>
    <t>Agilysys Inc</t>
  </si>
  <si>
    <t>8.12</t>
  </si>
  <si>
    <t>13,444,073.00</t>
  </si>
  <si>
    <t>JAMF.OQ</t>
  </si>
  <si>
    <t>Jamf Holding Corp</t>
  </si>
  <si>
    <t>-11,7%</t>
  </si>
  <si>
    <t>1.48</t>
  </si>
  <si>
    <t>10.74</t>
  </si>
  <si>
    <t>36.74</t>
  </si>
  <si>
    <t>1.60</t>
  </si>
  <si>
    <t>84.89</t>
  </si>
  <si>
    <t>115,500,000.00</t>
  </si>
  <si>
    <t>300229.SZ</t>
  </si>
  <si>
    <t>TRS Information Technology Co Ltd</t>
  </si>
  <si>
    <t>-2,729618008</t>
  </si>
  <si>
    <t>0.16</t>
  </si>
  <si>
    <t>6.28</t>
  </si>
  <si>
    <t>33.67</t>
  </si>
  <si>
    <t>6.56</t>
  </si>
  <si>
    <t>2,402,590,537.00</t>
  </si>
  <si>
    <t>9890.HK</t>
  </si>
  <si>
    <t>ZX Inc</t>
  </si>
  <si>
    <t>8.34</t>
  </si>
  <si>
    <t>6.47</t>
  </si>
  <si>
    <t>16.33</t>
  </si>
  <si>
    <t>7.31</t>
  </si>
  <si>
    <t>144.55</t>
  </si>
  <si>
    <t>116,993,749.00</t>
  </si>
  <si>
    <t>300624.SZ</t>
  </si>
  <si>
    <t>Wondershare Technology Group Co Ltd</t>
  </si>
  <si>
    <t>2.51</t>
  </si>
  <si>
    <t>5.89</t>
  </si>
  <si>
    <t>1.32</t>
  </si>
  <si>
    <t>17.68</t>
  </si>
  <si>
    <t>20,700,000.00</t>
  </si>
  <si>
    <t>PD.N</t>
  </si>
  <si>
    <t>PagerDuty Inc</t>
  </si>
  <si>
    <t>-14,7%</t>
  </si>
  <si>
    <t>47,190,745.00</t>
  </si>
  <si>
    <t>603171.SS</t>
  </si>
  <si>
    <t>Servyou Software Group Co Ltd</t>
  </si>
  <si>
    <t>-2,361837656</t>
  </si>
  <si>
    <t>10,402,755.00</t>
  </si>
  <si>
    <t>SWI.N</t>
  </si>
  <si>
    <t>SolarWinds Corp</t>
  </si>
  <si>
    <t>-23,02</t>
  </si>
  <si>
    <t>351,789,480.00</t>
  </si>
  <si>
    <t>COP1n.DE</t>
  </si>
  <si>
    <t>CompuGroup Medical SE &amp; Co KgaA</t>
  </si>
  <si>
    <t>-11,54</t>
  </si>
  <si>
    <t>0.64</t>
  </si>
  <si>
    <t>5.31</t>
  </si>
  <si>
    <t>0.55</t>
  </si>
  <si>
    <t>8.37</t>
  </si>
  <si>
    <t>125,344,384.00</t>
  </si>
  <si>
    <t>301153.SZ</t>
  </si>
  <si>
    <t>Beijing CTJ Information Technology Co Ltd</t>
  </si>
  <si>
    <t>5.67</t>
  </si>
  <si>
    <t>22.03</t>
  </si>
  <si>
    <t>64,224,800.00</t>
  </si>
  <si>
    <t>603039.SS</t>
  </si>
  <si>
    <t>Weaver Network Technology Co Ltd</t>
  </si>
  <si>
    <t>83,971,813.00</t>
  </si>
  <si>
    <t>AOFG.DE</t>
  </si>
  <si>
    <t>Atoss Software AG</t>
  </si>
  <si>
    <t>1.22</t>
  </si>
  <si>
    <t>-0.35</t>
  </si>
  <si>
    <t>0.81</t>
  </si>
  <si>
    <t>71,925,856.00</t>
  </si>
  <si>
    <t>EVCM.OQ</t>
  </si>
  <si>
    <t>EverCommerce Inc</t>
  </si>
  <si>
    <t>0.67</t>
  </si>
  <si>
    <t>13.65</t>
  </si>
  <si>
    <t>15.99</t>
  </si>
  <si>
    <t>17,719,160.00</t>
  </si>
  <si>
    <t>600728.SS</t>
  </si>
  <si>
    <t>PCI Technology Group Co Ltd</t>
  </si>
  <si>
    <t>-23,49638649</t>
  </si>
  <si>
    <t>-3,3%</t>
  </si>
  <si>
    <t>3.31</t>
  </si>
  <si>
    <t>23.68</t>
  </si>
  <si>
    <t>25,708,318.00</t>
  </si>
  <si>
    <t>688232.SS</t>
  </si>
  <si>
    <t>Guotai Epoint Software Co Ltd</t>
  </si>
  <si>
    <t>-47,55025718</t>
  </si>
  <si>
    <t>-4,4%</t>
  </si>
  <si>
    <t>3.25</t>
  </si>
  <si>
    <t>15.80</t>
  </si>
  <si>
    <t>69,307,248.00</t>
  </si>
  <si>
    <t>688083.SS</t>
  </si>
  <si>
    <t>ZWSOFT Co Ltd Guangzhou</t>
  </si>
  <si>
    <t>-12,2%</t>
  </si>
  <si>
    <t>16,889,000.00</t>
  </si>
  <si>
    <t>PRO.N</t>
  </si>
  <si>
    <t>Pros Holdings Inc</t>
  </si>
  <si>
    <t>-0,701535914</t>
  </si>
  <si>
    <t>-29,22</t>
  </si>
  <si>
    <t>-14,8%</t>
  </si>
  <si>
    <t>57,572,401.00</t>
  </si>
  <si>
    <t>VITb.ST</t>
  </si>
  <si>
    <t>Vitec Software Group AB (publ)</t>
  </si>
  <si>
    <t>-3,597817315</t>
  </si>
  <si>
    <t>588.98</t>
  </si>
  <si>
    <t>520,796,074,663.00</t>
  </si>
  <si>
    <t>ZETA.N</t>
  </si>
  <si>
    <t>Zeta Global Holdings Corp</t>
  </si>
  <si>
    <t>-19,1%</t>
  </si>
  <si>
    <t>465,618,093.00</t>
  </si>
  <si>
    <t>QTCOM.HE</t>
  </si>
  <si>
    <t>Qt Group Oyj</t>
  </si>
  <si>
    <t>-0,71109436</t>
  </si>
  <si>
    <t>31,777,601.00</t>
  </si>
  <si>
    <t>300674.SZ</t>
  </si>
  <si>
    <t>Yusys Technologies Co Ltd</t>
  </si>
  <si>
    <t>3.22</t>
  </si>
  <si>
    <t>0.59</t>
  </si>
  <si>
    <t>6.63</t>
  </si>
  <si>
    <t>31,839,986.00</t>
  </si>
  <si>
    <t>BYIT.L</t>
  </si>
  <si>
    <t>Bytes Technology Group PLC</t>
  </si>
  <si>
    <t>5.37</t>
  </si>
  <si>
    <t>0.10</t>
  </si>
  <si>
    <t>55,774,000.00</t>
  </si>
  <si>
    <t>300166.SZ</t>
  </si>
  <si>
    <t>Business-intelligence of Oriental Nations Corp Ltd</t>
  </si>
  <si>
    <t>-3,59</t>
  </si>
  <si>
    <t>-10,7%</t>
  </si>
  <si>
    <t>16,293,303,446.00</t>
  </si>
  <si>
    <t>CLBT.OQ</t>
  </si>
  <si>
    <t>Cellebrite DI Ltd</t>
  </si>
  <si>
    <t>-8,947409593</t>
  </si>
  <si>
    <t>10.89</t>
  </si>
  <si>
    <t>30.86</t>
  </si>
  <si>
    <t>15,457,106.00</t>
  </si>
  <si>
    <t>600718.SS</t>
  </si>
  <si>
    <t>Neusoft Corp</t>
  </si>
  <si>
    <t>2.61</t>
  </si>
  <si>
    <t>25.85</t>
  </si>
  <si>
    <t>55,157,597.00</t>
  </si>
  <si>
    <t>SEMR.N</t>
  </si>
  <si>
    <t>SEMrush Holdings Inc</t>
  </si>
  <si>
    <t>-34,78331106</t>
  </si>
  <si>
    <t>-6,3%</t>
  </si>
  <si>
    <t>0.17</t>
  </si>
  <si>
    <t>1.43</t>
  </si>
  <si>
    <t>19.94</t>
  </si>
  <si>
    <t>24.71</t>
  </si>
  <si>
    <t>15,697,366.00</t>
  </si>
  <si>
    <t>293490.KQ</t>
  </si>
  <si>
    <t>Kakao Games Corp</t>
  </si>
  <si>
    <t>11.83</t>
  </si>
  <si>
    <t>40.02</t>
  </si>
  <si>
    <t>5.75</t>
  </si>
  <si>
    <t>195.46</t>
  </si>
  <si>
    <t>63,699,354.00</t>
  </si>
  <si>
    <t>300075.SZ</t>
  </si>
  <si>
    <t>Beijing eGOVA Co Ltd</t>
  </si>
  <si>
    <t>1.74</t>
  </si>
  <si>
    <t>10,106,683,403.00</t>
  </si>
  <si>
    <t>KAHOT.OL</t>
  </si>
  <si>
    <t>Kahoot ASA</t>
  </si>
  <si>
    <t>16,859,180.00</t>
  </si>
  <si>
    <t>002777.SZ</t>
  </si>
  <si>
    <t>Sichuan Jiuyuan Yinhai Software Co Ltd</t>
  </si>
  <si>
    <t>-1,362189688</t>
  </si>
  <si>
    <t>-17,63</t>
  </si>
  <si>
    <t>-0.14</t>
  </si>
  <si>
    <t>3.77</t>
  </si>
  <si>
    <t>-0.20</t>
  </si>
  <si>
    <t>40,826,455.00</t>
  </si>
  <si>
    <t>002605.SZ</t>
  </si>
  <si>
    <t>Shanghai Yaoji Technology Co Ltd</t>
  </si>
  <si>
    <t>12,843,356.00</t>
  </si>
  <si>
    <t>300525.SZ</t>
  </si>
  <si>
    <t>Fujian Boss Software Corp</t>
  </si>
  <si>
    <t>0.40</t>
  </si>
  <si>
    <t>3.23</t>
  </si>
  <si>
    <t>19.79</t>
  </si>
  <si>
    <t>14,052,400.00</t>
  </si>
  <si>
    <t>3994.T</t>
  </si>
  <si>
    <t>Money Forward Inc</t>
  </si>
  <si>
    <t>-16,8%</t>
  </si>
  <si>
    <t>1.24</t>
  </si>
  <si>
    <t>8.77</t>
  </si>
  <si>
    <t>0.84</t>
  </si>
  <si>
    <t>18.63</t>
  </si>
  <si>
    <t>13,006,250.00</t>
  </si>
  <si>
    <t>CEIF.NS</t>
  </si>
  <si>
    <t>CE Info Systems Ltd</t>
  </si>
  <si>
    <t>-1,995697754</t>
  </si>
  <si>
    <t>6.16</t>
  </si>
  <si>
    <t>1.96</t>
  </si>
  <si>
    <t>57,206,910.00</t>
  </si>
  <si>
    <t>DCBO.TO</t>
  </si>
  <si>
    <t>Docebo Inc</t>
  </si>
  <si>
    <t>3.12</t>
  </si>
  <si>
    <t>5.39</t>
  </si>
  <si>
    <t>27.34</t>
  </si>
  <si>
    <t>3.30</t>
  </si>
  <si>
    <t>158.43</t>
  </si>
  <si>
    <t>6,024,520.00</t>
  </si>
  <si>
    <t>SPNS.OQ</t>
  </si>
  <si>
    <t>Sapiens International Corporation NV</t>
  </si>
  <si>
    <t>-0,442615851</t>
  </si>
  <si>
    <t>2.67</t>
  </si>
  <si>
    <t>15.86</t>
  </si>
  <si>
    <t>1.64</t>
  </si>
  <si>
    <t>56.44</t>
  </si>
  <si>
    <t>17,149,052.00</t>
  </si>
  <si>
    <t>4686.T</t>
  </si>
  <si>
    <t>Justsystems Corp</t>
  </si>
  <si>
    <t>-1,26</t>
  </si>
  <si>
    <t>7.49</t>
  </si>
  <si>
    <t>21.30</t>
  </si>
  <si>
    <t>2.78</t>
  </si>
  <si>
    <t>87.80</t>
  </si>
  <si>
    <t>75,171,084.00</t>
  </si>
  <si>
    <t>300768.SZ</t>
  </si>
  <si>
    <t>Hangzhou DPtech Technologies Co Ltd</t>
  </si>
  <si>
    <t>3.73</t>
  </si>
  <si>
    <t>0.21</t>
  </si>
  <si>
    <t>174,608,629.00</t>
  </si>
  <si>
    <t>SABR.OQ</t>
  </si>
  <si>
    <t>Sabre Corp</t>
  </si>
  <si>
    <t>-32,74</t>
  </si>
  <si>
    <t>28.66</t>
  </si>
  <si>
    <t>31,724,631.00</t>
  </si>
  <si>
    <t>300036.SZ</t>
  </si>
  <si>
    <t>Beijing SuperMap Software Co Ltd</t>
  </si>
  <si>
    <t>-22,79120673</t>
  </si>
  <si>
    <t>-12,5%</t>
  </si>
  <si>
    <t>9,944,800.00</t>
  </si>
  <si>
    <t>ENGH.TO</t>
  </si>
  <si>
    <t>Enghouse Systems Ltd</t>
  </si>
  <si>
    <t>-0,2274311</t>
  </si>
  <si>
    <t>-5,57</t>
  </si>
  <si>
    <t>484,354.00</t>
  </si>
  <si>
    <t>GRND.N</t>
  </si>
  <si>
    <t>Grindr Inc</t>
  </si>
  <si>
    <t>3.57</t>
  </si>
  <si>
    <t>103,883,551.00</t>
  </si>
  <si>
    <t>AMPL.OQ</t>
  </si>
  <si>
    <t>Amplitude Inc</t>
  </si>
  <si>
    <t>2.18</t>
  </si>
  <si>
    <t>11.75</t>
  </si>
  <si>
    <t>23,467,449.00</t>
  </si>
  <si>
    <t>300687.SZ</t>
  </si>
  <si>
    <t>Guangzhou Sie Consulting Co Ltd</t>
  </si>
  <si>
    <t>1,724,577,160.00</t>
  </si>
  <si>
    <t>688562.SS</t>
  </si>
  <si>
    <t>Beijing Shenzhou Aerospace Software Technology Co Ltd</t>
  </si>
  <si>
    <t>-0,6%</t>
  </si>
  <si>
    <t>40,664,635.00</t>
  </si>
  <si>
    <t>DH.OQ</t>
  </si>
  <si>
    <t>Definitive Healthcare Corp</t>
  </si>
  <si>
    <t>1.55</t>
  </si>
  <si>
    <t>7.71</t>
  </si>
  <si>
    <t>11.11</t>
  </si>
  <si>
    <t>24,179,744.00</t>
  </si>
  <si>
    <t>PERI.OQ</t>
  </si>
  <si>
    <t>Perion Network Ltd</t>
  </si>
  <si>
    <t>-8,933461746</t>
  </si>
  <si>
    <t>31.00</t>
  </si>
  <si>
    <t>3.72</t>
  </si>
  <si>
    <t>52,197,139.00</t>
  </si>
  <si>
    <t>VTEX.N</t>
  </si>
  <si>
    <t>VTEX</t>
  </si>
  <si>
    <t>3.83</t>
  </si>
  <si>
    <t>101,858,024.00</t>
  </si>
  <si>
    <t>FINV.N</t>
  </si>
  <si>
    <t>FinVolution Group</t>
  </si>
  <si>
    <t>-0,135980288</t>
  </si>
  <si>
    <t>2.68</t>
  </si>
  <si>
    <t>4.72</t>
  </si>
  <si>
    <t>8,766,820.00</t>
  </si>
  <si>
    <t>TUYA.N</t>
  </si>
  <si>
    <t>Tuya Inc</t>
  </si>
  <si>
    <t>-56,5%</t>
  </si>
  <si>
    <t>1,156,300,612.00</t>
  </si>
  <si>
    <t>MOMO.OQ</t>
  </si>
  <si>
    <t>Hello Group Inc</t>
  </si>
  <si>
    <t>8.48</t>
  </si>
  <si>
    <t>0.66</t>
  </si>
  <si>
    <t>27,219,332.00</t>
  </si>
  <si>
    <t>ENFN.N</t>
  </si>
  <si>
    <t>Enfusion Inc</t>
  </si>
  <si>
    <t>0.36</t>
  </si>
  <si>
    <t>1,177,110,622.00</t>
  </si>
  <si>
    <t>SVMB.PK</t>
  </si>
  <si>
    <t>Savmobi Technology Inc</t>
  </si>
  <si>
    <t>-176,8%</t>
  </si>
  <si>
    <t>3.50</t>
  </si>
  <si>
    <t>13.84</t>
  </si>
  <si>
    <t>1.79</t>
  </si>
  <si>
    <t>56.02</t>
  </si>
  <si>
    <t>140,834,104.00</t>
  </si>
  <si>
    <t>ZUO.N</t>
  </si>
  <si>
    <t>Zuora Inc</t>
  </si>
  <si>
    <t>-4,944903202</t>
  </si>
  <si>
    <t>-11,8%</t>
  </si>
  <si>
    <t>6.09</t>
  </si>
  <si>
    <t>36,343,691.00</t>
  </si>
  <si>
    <t>2432.T</t>
  </si>
  <si>
    <t>DeNA Co Ltd</t>
  </si>
  <si>
    <t>-2,052772276</t>
  </si>
  <si>
    <t>0.70</t>
  </si>
  <si>
    <t>8.17</t>
  </si>
  <si>
    <t>8,367,758.00</t>
  </si>
  <si>
    <t>NEWG.NS</t>
  </si>
  <si>
    <t>Newgen Software Technologies Ltd</t>
  </si>
  <si>
    <t>6.18</t>
  </si>
  <si>
    <t>0.33</t>
  </si>
  <si>
    <t>249,488,384.00</t>
  </si>
  <si>
    <t>4478.T</t>
  </si>
  <si>
    <t>freee KK</t>
  </si>
  <si>
    <t>8.60</t>
  </si>
  <si>
    <t>131,427,135.00</t>
  </si>
  <si>
    <t>HLAN.TA</t>
  </si>
  <si>
    <t>Hilan Ltd</t>
  </si>
  <si>
    <t>2.69</t>
  </si>
  <si>
    <t>170.80</t>
  </si>
  <si>
    <t>-0.18</t>
  </si>
  <si>
    <t>3.93</t>
  </si>
  <si>
    <t>583,684,455.00</t>
  </si>
  <si>
    <t>ETWO.N</t>
  </si>
  <si>
    <t>E2open Parent Holdings Inc</t>
  </si>
  <si>
    <t>18.19</t>
  </si>
  <si>
    <t>34.23</t>
  </si>
  <si>
    <t>74,000,000.00</t>
  </si>
  <si>
    <t>688031.SS</t>
  </si>
  <si>
    <t>Transwarp Technology Shanghai Co Ltd</t>
  </si>
  <si>
    <t>-97,54940092</t>
  </si>
  <si>
    <t>-116,5%</t>
  </si>
  <si>
    <t>131,304,499.00</t>
  </si>
  <si>
    <t>300369.SZ</t>
  </si>
  <si>
    <t>NSFOCUS Technologies Group Co Ltd</t>
  </si>
  <si>
    <t>-0,125682861</t>
  </si>
  <si>
    <t>2.58</t>
  </si>
  <si>
    <t>13.50</t>
  </si>
  <si>
    <t>5.08</t>
  </si>
  <si>
    <t>23,573,677.00</t>
  </si>
  <si>
    <t>2013.HK</t>
  </si>
  <si>
    <t>Weimob Inc</t>
  </si>
  <si>
    <t>-32,3%</t>
  </si>
  <si>
    <t>124,339,535.00</t>
  </si>
  <si>
    <t>688225.SS</t>
  </si>
  <si>
    <t>Asiainfo Security Technologies Co Ltd</t>
  </si>
  <si>
    <t>-2,39812243</t>
  </si>
  <si>
    <t>-13,0%</t>
  </si>
  <si>
    <t>6.53</t>
  </si>
  <si>
    <t>368,410,521.00</t>
  </si>
  <si>
    <t>300348.SZ</t>
  </si>
  <si>
    <t>Shenzhen Sunline Tech Co Ltd</t>
  </si>
  <si>
    <t>3.43</t>
  </si>
  <si>
    <t>11.03</t>
  </si>
  <si>
    <t>0.43</t>
  </si>
  <si>
    <t>11.56</t>
  </si>
  <si>
    <t>13,660,291.00</t>
  </si>
  <si>
    <t>300598.SZ</t>
  </si>
  <si>
    <t>ArcherMind Technology Nanjing Co Ltd</t>
  </si>
  <si>
    <t>-8,8%</t>
  </si>
  <si>
    <t>2.00</t>
  </si>
  <si>
    <t>5,473,043.00</t>
  </si>
  <si>
    <t>688095.SS</t>
  </si>
  <si>
    <t>Fujian Foxit Software Development Joint Stock Co Ltd</t>
  </si>
  <si>
    <t>-21,0%</t>
  </si>
  <si>
    <t>128,247,561.00</t>
  </si>
  <si>
    <t>002401.SZ</t>
  </si>
  <si>
    <t>COSCO SHIPPING Technology Co Ltd</t>
  </si>
  <si>
    <t>-1,123162114</t>
  </si>
  <si>
    <t>1.06</t>
  </si>
  <si>
    <t>1.04</t>
  </si>
  <si>
    <t>176,098,739.00</t>
  </si>
  <si>
    <t>1675.HK</t>
  </si>
  <si>
    <t>AsiaInfo Technologies Ltd</t>
  </si>
  <si>
    <t>387,335,203.00</t>
  </si>
  <si>
    <t>TBLA.OQ</t>
  </si>
  <si>
    <t>Taboola.com Ltd</t>
  </si>
  <si>
    <t>3.70</t>
  </si>
  <si>
    <t>15.10</t>
  </si>
  <si>
    <t>15,807,075.00</t>
  </si>
  <si>
    <t>TRUEb.ST</t>
  </si>
  <si>
    <t>Truecaller AB</t>
  </si>
  <si>
    <t>-17,59273095</t>
  </si>
  <si>
    <t>2.17</t>
  </si>
  <si>
    <t>16.64</t>
  </si>
  <si>
    <t>47,253,890.00</t>
  </si>
  <si>
    <t>MTGb.ST</t>
  </si>
  <si>
    <t>Modern Times Group MTG AB</t>
  </si>
  <si>
    <t>120,976,351.00</t>
  </si>
  <si>
    <t>ESIG.PA</t>
  </si>
  <si>
    <t>ESI Group SA</t>
  </si>
  <si>
    <t>2.92</t>
  </si>
  <si>
    <t>5.82</t>
  </si>
  <si>
    <t>17.39</t>
  </si>
  <si>
    <t>3.08</t>
  </si>
  <si>
    <t>79.24</t>
  </si>
  <si>
    <t>128,284,771.00</t>
  </si>
  <si>
    <t>OPRA.OQ</t>
  </si>
  <si>
    <t>Opera Ltd</t>
  </si>
  <si>
    <t>-21,34406624</t>
  </si>
  <si>
    <t>-6,09</t>
  </si>
  <si>
    <t>3,237,718.00</t>
  </si>
  <si>
    <t>PHR.N</t>
  </si>
  <si>
    <t>Phreesia Inc</t>
  </si>
  <si>
    <t>-35,5%</t>
  </si>
  <si>
    <t>2.03</t>
  </si>
  <si>
    <t>7.16</t>
  </si>
  <si>
    <t>4.88</t>
  </si>
  <si>
    <t>58.28</t>
  </si>
  <si>
    <t>4,960,807.00</t>
  </si>
  <si>
    <t>NXUG.DE</t>
  </si>
  <si>
    <t>Nexus AG</t>
  </si>
  <si>
    <t>-0,044729032</t>
  </si>
  <si>
    <t>-0.15</t>
  </si>
  <si>
    <t>19,354,335.00</t>
  </si>
  <si>
    <t>MUMG.DE</t>
  </si>
  <si>
    <t>Mensch und Maschine Software SE</t>
  </si>
  <si>
    <t>1.52</t>
  </si>
  <si>
    <t>73,615,934.00</t>
  </si>
  <si>
    <t>300377.SZ</t>
  </si>
  <si>
    <t>Shenzhen Ysstech Info-Tech Co Ltd</t>
  </si>
  <si>
    <t>-0,7%</t>
  </si>
  <si>
    <t>14.32</t>
  </si>
  <si>
    <t>96,364,554.00</t>
  </si>
  <si>
    <t>300081.SZ</t>
  </si>
  <si>
    <t>Hengxin Shambala Culture Co Ltd</t>
  </si>
  <si>
    <t>-58,2%</t>
  </si>
  <si>
    <t>12.32</t>
  </si>
  <si>
    <t>32.73</t>
  </si>
  <si>
    <t>82.98</t>
  </si>
  <si>
    <t>85,032,600.00</t>
  </si>
  <si>
    <t>NGMS.OQ</t>
  </si>
  <si>
    <t>NeoGames SA</t>
  </si>
  <si>
    <t>-0,461947968</t>
  </si>
  <si>
    <t>2.49</t>
  </si>
  <si>
    <t>6.75</t>
  </si>
  <si>
    <t>23.50</t>
  </si>
  <si>
    <t>166.20</t>
  </si>
  <si>
    <t>6,094,431.00</t>
  </si>
  <si>
    <t>ALESK.PA</t>
  </si>
  <si>
    <t>Esker SA</t>
  </si>
  <si>
    <t>-34,27173913</t>
  </si>
  <si>
    <t>24.47</t>
  </si>
  <si>
    <t>19.72</t>
  </si>
  <si>
    <t>459.81</t>
  </si>
  <si>
    <t>-107.94</t>
  </si>
  <si>
    <t>571.09</t>
  </si>
  <si>
    <t>13,672,872.00</t>
  </si>
  <si>
    <t>301382.SZ</t>
  </si>
  <si>
    <t>Fengzhushou Co Ltd</t>
  </si>
  <si>
    <t>1.46</t>
  </si>
  <si>
    <t>13.73</t>
  </si>
  <si>
    <t>0.51</t>
  </si>
  <si>
    <t>76,224,989.00</t>
  </si>
  <si>
    <t>NB2.DE</t>
  </si>
  <si>
    <t>Northern Data AG</t>
  </si>
  <si>
    <t>-171,9%</t>
  </si>
  <si>
    <t>9.84</t>
  </si>
  <si>
    <t>39,887,336.00</t>
  </si>
  <si>
    <t>EVBG.OQ</t>
  </si>
  <si>
    <t>Everbridge Inc</t>
  </si>
  <si>
    <t>2.01</t>
  </si>
  <si>
    <t>19.89</t>
  </si>
  <si>
    <t>6,442,039.00</t>
  </si>
  <si>
    <t>ATEN.N</t>
  </si>
  <si>
    <t>A10 Networks Inc</t>
  </si>
  <si>
    <t>-7,588781361</t>
  </si>
  <si>
    <t>80,209,926.00</t>
  </si>
  <si>
    <t>OLO.N</t>
  </si>
  <si>
    <t>Olo Inc</t>
  </si>
  <si>
    <t>7.62</t>
  </si>
  <si>
    <t>3,055,647.00</t>
  </si>
  <si>
    <t>RATE.NS</t>
  </si>
  <si>
    <t>Rategain Travel Technologies Ltd</t>
  </si>
  <si>
    <t>22,614,930.00</t>
  </si>
  <si>
    <t>BASE.OQ</t>
  </si>
  <si>
    <t>Couchbase Inc</t>
  </si>
  <si>
    <t>-44,4%</t>
  </si>
  <si>
    <t>26,813,830.00</t>
  </si>
  <si>
    <t>360.AX</t>
  </si>
  <si>
    <t>Life360 Inc</t>
  </si>
  <si>
    <t>-10,2%</t>
  </si>
  <si>
    <t>5,700,265.00</t>
  </si>
  <si>
    <t>SDR.AX</t>
  </si>
  <si>
    <t>Siteminder Ltd</t>
  </si>
  <si>
    <t>-0,086310847</t>
  </si>
  <si>
    <t>-16,2%</t>
  </si>
  <si>
    <t>16,273,718.00</t>
  </si>
  <si>
    <t>WKME.OQ</t>
  </si>
  <si>
    <t>Walkme Ltd</t>
  </si>
  <si>
    <t>-0,277314815</t>
  </si>
  <si>
    <t>-24,5%</t>
  </si>
  <si>
    <t>6.71</t>
  </si>
  <si>
    <t>0.24</t>
  </si>
  <si>
    <t>91,796,249.00</t>
  </si>
  <si>
    <t>MODN.N</t>
  </si>
  <si>
    <t>Model N Inc</t>
  </si>
  <si>
    <t>0.41</t>
  </si>
  <si>
    <t>419,688,162.00</t>
  </si>
  <si>
    <t>603859.SS</t>
  </si>
  <si>
    <t>Nancal Technology Co Ltd</t>
  </si>
  <si>
    <t>-68,09764392</t>
  </si>
  <si>
    <t>507,931,477.00</t>
  </si>
  <si>
    <t>600880.SS</t>
  </si>
  <si>
    <t>Chengdu B-ray Media Co Ltd</t>
  </si>
  <si>
    <t>2.22</t>
  </si>
  <si>
    <t>163,714,562.00</t>
  </si>
  <si>
    <t>002279.SZ</t>
  </si>
  <si>
    <t>Beijing Join-Cheer Software Co Ltd</t>
  </si>
  <si>
    <t>-3,4%</t>
  </si>
  <si>
    <t>8.65</t>
  </si>
  <si>
    <t>0.53</t>
  </si>
  <si>
    <t>122,053,924.00</t>
  </si>
  <si>
    <t>HKD.N</t>
  </si>
  <si>
    <t>AMTD Digital Inc</t>
  </si>
  <si>
    <t>-1.38</t>
  </si>
  <si>
    <t>18,421,642,097.00</t>
  </si>
  <si>
    <t>300378.SZ</t>
  </si>
  <si>
    <t>Digiwin Software Co Ltd</t>
  </si>
  <si>
    <t>-24,89</t>
  </si>
  <si>
    <t>2,467,989,728.00</t>
  </si>
  <si>
    <t>688207.SS</t>
  </si>
  <si>
    <t>Beijing Deep Glint Technology Co Ltd</t>
  </si>
  <si>
    <t>-13,3%</t>
  </si>
  <si>
    <t>3.47</t>
  </si>
  <si>
    <t>31.91</t>
  </si>
  <si>
    <t>1.18</t>
  </si>
  <si>
    <t>58,231,712.00</t>
  </si>
  <si>
    <t>300468.SZ</t>
  </si>
  <si>
    <t>Shenzhen Forms Syntron Information Co Ltd</t>
  </si>
  <si>
    <t>-1,565979996</t>
  </si>
  <si>
    <t>2.98</t>
  </si>
  <si>
    <t>41.09</t>
  </si>
  <si>
    <t>2.72</t>
  </si>
  <si>
    <t>14,763,689.00</t>
  </si>
  <si>
    <t>ROVIO.HE</t>
  </si>
  <si>
    <t>Rovio Entertainment Oyj</t>
  </si>
  <si>
    <t>-4,62</t>
  </si>
  <si>
    <t>2.70</t>
  </si>
  <si>
    <t>62.47</t>
  </si>
  <si>
    <t>23.61</t>
  </si>
  <si>
    <t>14,718,286.00</t>
  </si>
  <si>
    <t>002908.SZ</t>
  </si>
  <si>
    <t>Guangdong Tecsun Science &amp; Technology Co Ltd</t>
  </si>
  <si>
    <t>92,558,026.00</t>
  </si>
  <si>
    <t>300520.SZ</t>
  </si>
  <si>
    <t>GuoChuang Software Co Ltd</t>
  </si>
  <si>
    <t>59,209,807.00</t>
  </si>
  <si>
    <t>PUBM.OQ</t>
  </si>
  <si>
    <t>PubMatic Inc</t>
  </si>
  <si>
    <t>-20,49515079</t>
  </si>
  <si>
    <t>7.56</t>
  </si>
  <si>
    <t>20,466,529.00</t>
  </si>
  <si>
    <t>9636.HK</t>
  </si>
  <si>
    <t>JF Wealth Holdings Ltd</t>
  </si>
  <si>
    <t>347,962,742.00</t>
  </si>
  <si>
    <t>225570.KQ</t>
  </si>
  <si>
    <t>Nexon Games Co Ltd</t>
  </si>
  <si>
    <t>-0.61</t>
  </si>
  <si>
    <t>9,245,349.00</t>
  </si>
  <si>
    <t>301221.SZ</t>
  </si>
  <si>
    <t>Wuhan Kotei Informatics Co Ltd</t>
  </si>
  <si>
    <t>4.35</t>
  </si>
  <si>
    <t>89,207,818.00</t>
  </si>
  <si>
    <t>HSTM.OQ</t>
  </si>
  <si>
    <t>HealthStream Inc</t>
  </si>
  <si>
    <t>1.68</t>
  </si>
  <si>
    <t>3.75</t>
  </si>
  <si>
    <t>17.31</t>
  </si>
  <si>
    <t>58.71</t>
  </si>
  <si>
    <t>17,274,695.00</t>
  </si>
  <si>
    <t>5478.TWO</t>
  </si>
  <si>
    <t>Soft-World International Corp</t>
  </si>
  <si>
    <t>10,004,600.00</t>
  </si>
  <si>
    <t>RSKD.N</t>
  </si>
  <si>
    <t>Riskified Ltd</t>
  </si>
  <si>
    <t>-28,2%</t>
  </si>
  <si>
    <t>4.29</t>
  </si>
  <si>
    <t>38.55</t>
  </si>
  <si>
    <t>234.73</t>
  </si>
  <si>
    <t>7,953,136.00</t>
  </si>
  <si>
    <t>002970.SZ</t>
  </si>
  <si>
    <t>Streamax Technology Co Ltd</t>
  </si>
  <si>
    <t>3.42</t>
  </si>
  <si>
    <t>900,714,167.00</t>
  </si>
  <si>
    <t>GBGP.L</t>
  </si>
  <si>
    <t>GB Group PLC</t>
  </si>
  <si>
    <t>-1,216488003</t>
  </si>
  <si>
    <t>3.98</t>
  </si>
  <si>
    <t>4.84</t>
  </si>
  <si>
    <t>7,763,040.00</t>
  </si>
  <si>
    <t>MTTR.OQ</t>
  </si>
  <si>
    <t>Matterport Inc</t>
  </si>
  <si>
    <t>-131,4%</t>
  </si>
  <si>
    <t>5,659,456.00</t>
  </si>
  <si>
    <t>300996.SZ</t>
  </si>
  <si>
    <t>Pansoft Co Ltd</t>
  </si>
  <si>
    <t>-10,4%</t>
  </si>
  <si>
    <t>3.99</t>
  </si>
  <si>
    <t>51,883,958.00</t>
  </si>
  <si>
    <t>688590.SS</t>
  </si>
  <si>
    <t>Shanghai Newtouch Software Co Ltd</t>
  </si>
  <si>
    <t>-8,66</t>
  </si>
  <si>
    <t>44,185,000.00</t>
  </si>
  <si>
    <t>300659.SZ</t>
  </si>
  <si>
    <t>Zhongfu Information Inc</t>
  </si>
  <si>
    <t>-18,79472415</t>
  </si>
  <si>
    <t>-32,33</t>
  </si>
  <si>
    <t>-51,0%</t>
  </si>
  <si>
    <t>15.65</t>
  </si>
  <si>
    <t>42,051,123.00</t>
  </si>
  <si>
    <t>688365.SS</t>
  </si>
  <si>
    <t>Hangzhou Raycloud Technology Co Ltd</t>
  </si>
  <si>
    <t>-0,806335196</t>
  </si>
  <si>
    <t>-18,1%</t>
  </si>
  <si>
    <t>2.45</t>
  </si>
  <si>
    <t>8.11</t>
  </si>
  <si>
    <t>5.61</t>
  </si>
  <si>
    <t>5,685,575.00</t>
  </si>
  <si>
    <t>4432.T</t>
  </si>
  <si>
    <t>WingArc1st Inc</t>
  </si>
  <si>
    <t>-0,994199931</t>
  </si>
  <si>
    <t>7.78</t>
  </si>
  <si>
    <t>20.65</t>
  </si>
  <si>
    <t>51.72</t>
  </si>
  <si>
    <t>34,724,686.00</t>
  </si>
  <si>
    <t>4776.T</t>
  </si>
  <si>
    <t>Cybozu Inc</t>
  </si>
  <si>
    <t>-11,77</t>
  </si>
  <si>
    <t>-0.34</t>
  </si>
  <si>
    <t>-1.77</t>
  </si>
  <si>
    <t>9,991,806.00</t>
  </si>
  <si>
    <t>CRW.L</t>
  </si>
  <si>
    <t>Craneware PLC</t>
  </si>
  <si>
    <t>1.08</t>
  </si>
  <si>
    <t>13.99</t>
  </si>
  <si>
    <t>5.53</t>
  </si>
  <si>
    <t>2,147,826.00</t>
  </si>
  <si>
    <t>CVO.TO</t>
  </si>
  <si>
    <t>Coveo Solutions Inc</t>
  </si>
  <si>
    <t>-0.19</t>
  </si>
  <si>
    <t>7,999,808.00</t>
  </si>
  <si>
    <t>MIATK.IS</t>
  </si>
  <si>
    <t>Mia Teknoloji AS</t>
  </si>
  <si>
    <t>-0,244692587</t>
  </si>
  <si>
    <t>7,465,850,472.00</t>
  </si>
  <si>
    <t>TXTP.WA</t>
  </si>
  <si>
    <t>Text SA</t>
  </si>
  <si>
    <t>3.64</t>
  </si>
  <si>
    <t>19,396,501.00</t>
  </si>
  <si>
    <t>2121.HK</t>
  </si>
  <si>
    <t>Qingdao AInnovation Technology Group Co Ltd</t>
  </si>
  <si>
    <t>2.79</t>
  </si>
  <si>
    <t>11.22</t>
  </si>
  <si>
    <t>21.91</t>
  </si>
  <si>
    <t>11,000,000.00</t>
  </si>
  <si>
    <t>688579.SS</t>
  </si>
  <si>
    <t>Dareway Software Co Ltd</t>
  </si>
  <si>
    <t>-0,499686346</t>
  </si>
  <si>
    <t>-0.80</t>
  </si>
  <si>
    <t>3.37</t>
  </si>
  <si>
    <t>35,355,172.00</t>
  </si>
  <si>
    <t>301162.SZ</t>
  </si>
  <si>
    <t>State Power Rixin Tech Co Ltd</t>
  </si>
  <si>
    <t>42.72</t>
  </si>
  <si>
    <t>7.89</t>
  </si>
  <si>
    <t>31,485,186.00</t>
  </si>
  <si>
    <t>0909.HK</t>
  </si>
  <si>
    <t>Ming Yuan Cloud Group Holdings Ltd</t>
  </si>
  <si>
    <t>-50,2%</t>
  </si>
  <si>
    <t>10.61</t>
  </si>
  <si>
    <t>3.33</t>
  </si>
  <si>
    <t>203,203,388.00</t>
  </si>
  <si>
    <t>002322.SZ</t>
  </si>
  <si>
    <t>Ningbo Ligong Environment and Energy Technology Co Ltd</t>
  </si>
  <si>
    <t>-0,218900487</t>
  </si>
  <si>
    <t>24,072,724.00</t>
  </si>
  <si>
    <t>3738.HK</t>
  </si>
  <si>
    <t>Vobile Group Ltd</t>
  </si>
  <si>
    <t>20.99</t>
  </si>
  <si>
    <t>52,757,800.00</t>
  </si>
  <si>
    <t>CRNC.OQ</t>
  </si>
  <si>
    <t>Cerence Inc</t>
  </si>
  <si>
    <t>-33,09</t>
  </si>
  <si>
    <t>-0,8%</t>
  </si>
  <si>
    <t>21,785.00</t>
  </si>
  <si>
    <t>603189.SS</t>
  </si>
  <si>
    <t>Shanghai Wondertek Software Co Ltd</t>
  </si>
  <si>
    <t>-18,11255071</t>
  </si>
  <si>
    <t>-29,8%</t>
  </si>
  <si>
    <t>3,418,564,159.00</t>
  </si>
  <si>
    <t>NAZA.NS</t>
  </si>
  <si>
    <t>Nazara Technologies Ltd</t>
  </si>
  <si>
    <t>3.52</t>
  </si>
  <si>
    <t>12.52</t>
  </si>
  <si>
    <t>49.06</t>
  </si>
  <si>
    <t>9,350,000.00</t>
  </si>
  <si>
    <t>300523.SZ</t>
  </si>
  <si>
    <t>Beijing Global Safety Technology Co Ltd</t>
  </si>
  <si>
    <t>2.88</t>
  </si>
  <si>
    <t>64,458,043.00</t>
  </si>
  <si>
    <t>301315.SZ</t>
  </si>
  <si>
    <t>Shanghai Wisdom Information Technology Co Ltd</t>
  </si>
  <si>
    <t>10.01</t>
  </si>
  <si>
    <t>400,000.00</t>
  </si>
  <si>
    <t>CBRAIN.CO</t>
  </si>
  <si>
    <t>Cbrain A/S</t>
  </si>
  <si>
    <t>0.32</t>
  </si>
  <si>
    <t>12.39</t>
  </si>
  <si>
    <t>6.76</t>
  </si>
  <si>
    <t>41,876,959.00</t>
  </si>
  <si>
    <t>688435.SS</t>
  </si>
  <si>
    <t>Shanghai Information2 Software Inc</t>
  </si>
  <si>
    <t>0.74</t>
  </si>
  <si>
    <t>0.05</t>
  </si>
  <si>
    <t>1,476,762,040.00</t>
  </si>
  <si>
    <t>002425.SZ</t>
  </si>
  <si>
    <t>Kaiser China Culture Co Ltd</t>
  </si>
  <si>
    <t>-159,1%</t>
  </si>
  <si>
    <t>19.93</t>
  </si>
  <si>
    <t>390,083,306.00</t>
  </si>
  <si>
    <t>1782.HK</t>
  </si>
  <si>
    <t>International Business Digital Technology Ltd</t>
  </si>
  <si>
    <t>-0,596727518</t>
  </si>
  <si>
    <t>-42,3%</t>
  </si>
  <si>
    <t>4.05</t>
  </si>
  <si>
    <t>5.94</t>
  </si>
  <si>
    <t>1,330,149.00</t>
  </si>
  <si>
    <t>688588.SS</t>
  </si>
  <si>
    <t>Linkage Software Co Ltd</t>
  </si>
  <si>
    <t>-0,545909346</t>
  </si>
  <si>
    <t>2.90</t>
  </si>
  <si>
    <t>31,566,235.00</t>
  </si>
  <si>
    <t>HSN.AX</t>
  </si>
  <si>
    <t>Hansen Technologies Ltd</t>
  </si>
  <si>
    <t>158,571,330.00</t>
  </si>
  <si>
    <t>BIGC.OQ</t>
  </si>
  <si>
    <t>Bigcommerce Holdings Inc</t>
  </si>
  <si>
    <t>-21,3%</t>
  </si>
  <si>
    <t>-0.13</t>
  </si>
  <si>
    <t>515.24</t>
  </si>
  <si>
    <t>0.72</t>
  </si>
  <si>
    <t>97,853,011.00</t>
  </si>
  <si>
    <t>DMRC.OQ</t>
  </si>
  <si>
    <t>Digimarc Corp</t>
  </si>
  <si>
    <t>-3,443179384</t>
  </si>
  <si>
    <t>-9,14</t>
  </si>
  <si>
    <t>-131,5%</t>
  </si>
  <si>
    <t>3.38</t>
  </si>
  <si>
    <t>12.99</t>
  </si>
  <si>
    <t>2.56</t>
  </si>
  <si>
    <t>100,000,000.00</t>
  </si>
  <si>
    <t>012510.KS</t>
  </si>
  <si>
    <t>Douzone Bizon Co Ltd</t>
  </si>
  <si>
    <t>-30,18</t>
  </si>
  <si>
    <t>0.44</t>
  </si>
  <si>
    <t>2.57</t>
  </si>
  <si>
    <t>12.94</t>
  </si>
  <si>
    <t>25.88</t>
  </si>
  <si>
    <t>30,285,335.00</t>
  </si>
  <si>
    <t>CINT.N</t>
  </si>
  <si>
    <t>Ci&amp;T Inc</t>
  </si>
  <si>
    <t>1.10</t>
  </si>
  <si>
    <t>5.05</t>
  </si>
  <si>
    <t>34,887,726.00</t>
  </si>
  <si>
    <t>3993.T</t>
  </si>
  <si>
    <t>PKSHA Technology Inc</t>
  </si>
  <si>
    <t>12,417,000.00</t>
  </si>
  <si>
    <t>300299.SZ</t>
  </si>
  <si>
    <t>Fuchun Technology Co Ltd</t>
  </si>
  <si>
    <t>42,233,190.00</t>
  </si>
  <si>
    <t>WEAV.N</t>
  </si>
  <si>
    <t>Weave Communications Inc</t>
  </si>
  <si>
    <t>-6,0%</t>
  </si>
  <si>
    <t>57,635,224.00</t>
  </si>
  <si>
    <t>RDWR.OQ</t>
  </si>
  <si>
    <t>Radware Ltd</t>
  </si>
  <si>
    <t>-0,462518107</t>
  </si>
  <si>
    <t>-4,71</t>
  </si>
  <si>
    <t>0.96</t>
  </si>
  <si>
    <t>7.07</t>
  </si>
  <si>
    <t>3.80</t>
  </si>
  <si>
    <t>6,133,828.00</t>
  </si>
  <si>
    <t>301169.SZ</t>
  </si>
  <si>
    <t>Beijing Dataway Horizon Co Ltd</t>
  </si>
  <si>
    <t>0.83</t>
  </si>
  <si>
    <t>38,534,900.00</t>
  </si>
  <si>
    <t>688369.SS</t>
  </si>
  <si>
    <t>BeiJing Seeyon Internet Software Corp</t>
  </si>
  <si>
    <t>-1,165620977</t>
  </si>
  <si>
    <t>-5,2%</t>
  </si>
  <si>
    <t>1.65</t>
  </si>
  <si>
    <t>10.52</t>
  </si>
  <si>
    <t>14,260,837.00</t>
  </si>
  <si>
    <t>192080.KS</t>
  </si>
  <si>
    <t>DoubleU Games Co Ltd</t>
  </si>
  <si>
    <t>14.00</t>
  </si>
  <si>
    <t>456,185,323.00</t>
  </si>
  <si>
    <t>688201.SS</t>
  </si>
  <si>
    <t>Beijing Infosec Technologies Co Ltd</t>
  </si>
  <si>
    <t>-6,7%</t>
  </si>
  <si>
    <t>27,267,479.00</t>
  </si>
  <si>
    <t>688228.SS</t>
  </si>
  <si>
    <t>Ucap Cloud Information Technology Co Ltd</t>
  </si>
  <si>
    <t>-20,9%</t>
  </si>
  <si>
    <t>31.97</t>
  </si>
  <si>
    <t>1.51</t>
  </si>
  <si>
    <t>40,664,422.00</t>
  </si>
  <si>
    <t>CMG.TO</t>
  </si>
  <si>
    <t>Computer Modelling Group Ltd</t>
  </si>
  <si>
    <t>4,762,892,754.00</t>
  </si>
  <si>
    <t>VMEO.OQ</t>
  </si>
  <si>
    <t>Vimeo Inc</t>
  </si>
  <si>
    <t>52.35</t>
  </si>
  <si>
    <t>102.17</t>
  </si>
  <si>
    <t>7.45</t>
  </si>
  <si>
    <t>301159.SZ</t>
  </si>
  <si>
    <t>Beijing SunwayWorld Science &amp; Technology Co Ltd</t>
  </si>
  <si>
    <t>-75,2%</t>
  </si>
  <si>
    <t>8.41</t>
  </si>
  <si>
    <t>4.59</t>
  </si>
  <si>
    <t>39,806,000.00</t>
  </si>
  <si>
    <t>300311.SZ</t>
  </si>
  <si>
    <t>Surfilter Network Technology Co Ltd</t>
  </si>
  <si>
    <t>-0,588854181</t>
  </si>
  <si>
    <t>-33,3%</t>
  </si>
  <si>
    <t>13.72</t>
  </si>
  <si>
    <t>6.05</t>
  </si>
  <si>
    <t>127,474,300.00</t>
  </si>
  <si>
    <t>BGNH.ST</t>
  </si>
  <si>
    <t>Byggfakta Group Nordic HoldCo AB</t>
  </si>
  <si>
    <t>-3,67218733</t>
  </si>
  <si>
    <t>4,796,393.00</t>
  </si>
  <si>
    <t>MTWO.PK</t>
  </si>
  <si>
    <t>M2i Global Inc</t>
  </si>
  <si>
    <t>1.09</t>
  </si>
  <si>
    <t>318,956,206.00</t>
  </si>
  <si>
    <t>058970.KQ</t>
  </si>
  <si>
    <t>Emro Incorporated</t>
  </si>
  <si>
    <t>-0,737507526</t>
  </si>
  <si>
    <t>1.41</t>
  </si>
  <si>
    <t>12.08</t>
  </si>
  <si>
    <t>33.89</t>
  </si>
  <si>
    <t>10,040,000.00</t>
  </si>
  <si>
    <t>APSL.NS</t>
  </si>
  <si>
    <t>Aurionpro Solutions Ltd</t>
  </si>
  <si>
    <t>23,989,029.00</t>
  </si>
  <si>
    <t>PGRU.N</t>
  </si>
  <si>
    <t>PropertyGuru Group Ltd</t>
  </si>
  <si>
    <t>159,867,733.00</t>
  </si>
  <si>
    <t>688039.SS</t>
  </si>
  <si>
    <t>Hangzhou Arcvideo Technology Co Ltd</t>
  </si>
  <si>
    <t>-0,70279582</t>
  </si>
  <si>
    <t>-68,2%</t>
  </si>
  <si>
    <t>26,480,000.00</t>
  </si>
  <si>
    <t>APPS.OQ</t>
  </si>
  <si>
    <t>Digital Turbine Inc</t>
  </si>
  <si>
    <t>-1,096845233</t>
  </si>
  <si>
    <t>19,903,902.00</t>
  </si>
  <si>
    <t>AGROT.IS</t>
  </si>
  <si>
    <t>Agrotech Yuksek Teknoloji ve Yatirim AS</t>
  </si>
  <si>
    <t>25,648.00</t>
  </si>
  <si>
    <t>AXW.PA</t>
  </si>
  <si>
    <t>Axway Software SA</t>
  </si>
  <si>
    <t>277,000,000.00</t>
  </si>
  <si>
    <t>300078.SZ</t>
  </si>
  <si>
    <t>Hangzhou Century Co Ltd</t>
  </si>
  <si>
    <t>-3,194641836</t>
  </si>
  <si>
    <t>-223,4%</t>
  </si>
  <si>
    <t>-7.75</t>
  </si>
  <si>
    <t>780,423.00</t>
  </si>
  <si>
    <t>376300.KQ</t>
  </si>
  <si>
    <t>Dear U Co Ltd</t>
  </si>
  <si>
    <t>-4,418169355</t>
  </si>
  <si>
    <t>2.40</t>
  </si>
  <si>
    <t>7,125,031.00</t>
  </si>
  <si>
    <t>300359.SZ</t>
  </si>
  <si>
    <t>Qtone Education Group Guangdong Co Ltd</t>
  </si>
  <si>
    <t>-5,6%</t>
  </si>
  <si>
    <t>5.84</t>
  </si>
  <si>
    <t>5,894,111.00</t>
  </si>
  <si>
    <t>301428.SZ</t>
  </si>
  <si>
    <t>Shijihengtong Technology Co Ltd</t>
  </si>
  <si>
    <t>-1.09</t>
  </si>
  <si>
    <t>58,819,692.00</t>
  </si>
  <si>
    <t>688244.SS</t>
  </si>
  <si>
    <t>Integrity Technology Group Inc</t>
  </si>
  <si>
    <t>-18,0%</t>
  </si>
  <si>
    <t>32,076,000.00</t>
  </si>
  <si>
    <t>SFRG.ST</t>
  </si>
  <si>
    <t>Stillfront Group AB (publ)</t>
  </si>
  <si>
    <t>2.27</t>
  </si>
  <si>
    <t>16.84</t>
  </si>
  <si>
    <t>55.45</t>
  </si>
  <si>
    <t>10,013,855.00</t>
  </si>
  <si>
    <t>2660.HK</t>
  </si>
  <si>
    <t>Zengame Technology Holding Ltd</t>
  </si>
  <si>
    <t>4.99</t>
  </si>
  <si>
    <t>15,347,600.00</t>
  </si>
  <si>
    <t>300830.SZ</t>
  </si>
  <si>
    <t>JinXianDai Information Industry Co Ltd</t>
  </si>
  <si>
    <t>-12,6%</t>
  </si>
  <si>
    <t>9.73</t>
  </si>
  <si>
    <t>18.24</t>
  </si>
  <si>
    <t>12,418,460.00</t>
  </si>
  <si>
    <t>RWWI.PK</t>
  </si>
  <si>
    <t>Rand Worldwide Inc</t>
  </si>
  <si>
    <t>9,863,160,978.00</t>
  </si>
  <si>
    <t>PLWP.WA</t>
  </si>
  <si>
    <t>Playway SA</t>
  </si>
  <si>
    <t>69.81</t>
  </si>
  <si>
    <t>28,217,081.00</t>
  </si>
  <si>
    <t>053800.KQ</t>
  </si>
  <si>
    <t>Ahnlab Inc</t>
  </si>
  <si>
    <t>0.95</t>
  </si>
  <si>
    <t>10.00</t>
  </si>
  <si>
    <t>8.19</t>
  </si>
  <si>
    <t>20,798,988.00</t>
  </si>
  <si>
    <t>DND.TO</t>
  </si>
  <si>
    <t>Dye &amp; Durham Ltd</t>
  </si>
  <si>
    <t>3.41</t>
  </si>
  <si>
    <t>6.99</t>
  </si>
  <si>
    <t>2,466,000.00</t>
  </si>
  <si>
    <t>688651.SS</t>
  </si>
  <si>
    <t>WebRAY Tech Beijing Co Ltd</t>
  </si>
  <si>
    <t>-4,1%</t>
  </si>
  <si>
    <t>5.35</t>
  </si>
  <si>
    <t>4.78</t>
  </si>
  <si>
    <t>20,394,221.00</t>
  </si>
  <si>
    <t>CER.L</t>
  </si>
  <si>
    <t>Cerillion PLC</t>
  </si>
  <si>
    <t>345,519,459.00</t>
  </si>
  <si>
    <t>688030.SS</t>
  </si>
  <si>
    <t>Hillstone Networks Co Ltd</t>
  </si>
  <si>
    <t>-67,6%</t>
  </si>
  <si>
    <t>1.53</t>
  </si>
  <si>
    <t>10.42</t>
  </si>
  <si>
    <t>34,633,000.00</t>
  </si>
  <si>
    <t>078340.KQ</t>
  </si>
  <si>
    <t>Com2uSCorp</t>
  </si>
  <si>
    <t>-2,157466837</t>
  </si>
  <si>
    <t>49,160,599.00</t>
  </si>
  <si>
    <t>688657.SS</t>
  </si>
  <si>
    <t>Gstarsoft Co Ltd</t>
  </si>
  <si>
    <t>-19,0441787</t>
  </si>
  <si>
    <t>444,448,237.00</t>
  </si>
  <si>
    <t>603390.SS</t>
  </si>
  <si>
    <t>Guangzhou Tongda Auto Electric Co Ltd</t>
  </si>
  <si>
    <t>-3,8%</t>
  </si>
  <si>
    <t>25,429,284.00</t>
  </si>
  <si>
    <t>GKSG.H</t>
  </si>
  <si>
    <t>GK Software SE</t>
  </si>
  <si>
    <t>-0,920219464</t>
  </si>
  <si>
    <t>6.14</t>
  </si>
  <si>
    <t>125,973,472.00</t>
  </si>
  <si>
    <t>688479.SS</t>
  </si>
  <si>
    <t>Yonyou Auto Information Technology Shanghai Co Ltd</t>
  </si>
  <si>
    <t>9.55</t>
  </si>
  <si>
    <t>15.63</t>
  </si>
  <si>
    <t>27.95</t>
  </si>
  <si>
    <t>99,910,510.00</t>
  </si>
  <si>
    <t>301378.SZ</t>
  </si>
  <si>
    <t>Nanjing TDH Technology Co Ltd</t>
  </si>
  <si>
    <t>88,841,082.00</t>
  </si>
  <si>
    <t>DAO.N</t>
  </si>
  <si>
    <t>Youdao Inc</t>
  </si>
  <si>
    <t>-19,56</t>
  </si>
  <si>
    <t>71,850,644.00</t>
  </si>
  <si>
    <t>300467.SZ</t>
  </si>
  <si>
    <t>Sichuan Xunyou Network Technology Co Ltd</t>
  </si>
  <si>
    <t>-1,807643156</t>
  </si>
  <si>
    <t>542,289,901.00</t>
  </si>
  <si>
    <t>688015.SS</t>
  </si>
  <si>
    <t>Traffic Control Technology Co Ltd</t>
  </si>
  <si>
    <t>-17,75</t>
  </si>
  <si>
    <t>-0.02</t>
  </si>
  <si>
    <t>2.43</t>
  </si>
  <si>
    <t>136,358,300.00</t>
  </si>
  <si>
    <t>MITK.OQ</t>
  </si>
  <si>
    <t>Mitek Systems Inc</t>
  </si>
  <si>
    <t>7.66</t>
  </si>
  <si>
    <t>741,558,604.00</t>
  </si>
  <si>
    <t>CCSI.OQ</t>
  </si>
  <si>
    <t>Consensus Cloud Solutions Inc</t>
  </si>
  <si>
    <t>2,670,716.00</t>
  </si>
  <si>
    <t>002253.SZ</t>
  </si>
  <si>
    <t>Wisesoft Co Ltd</t>
  </si>
  <si>
    <t>-38,8%</t>
  </si>
  <si>
    <t>18,175,192.00</t>
  </si>
  <si>
    <t>603232.SS</t>
  </si>
  <si>
    <t>Koal Software Co Ltd</t>
  </si>
  <si>
    <t>-2,354305423</t>
  </si>
  <si>
    <t>-24,4%</t>
  </si>
  <si>
    <t>7.08</t>
  </si>
  <si>
    <t>4.09</t>
  </si>
  <si>
    <t>4,073,757.00</t>
  </si>
  <si>
    <t>MGIC.OQ</t>
  </si>
  <si>
    <t>Magic Software Enterprises Ltd</t>
  </si>
  <si>
    <t>-0,2474652</t>
  </si>
  <si>
    <t>4.07</t>
  </si>
  <si>
    <t>167,439,734.00</t>
  </si>
  <si>
    <t>603776.SS</t>
  </si>
  <si>
    <t>Youon Technology Co Ltd</t>
  </si>
  <si>
    <t>90,327,847.00</t>
  </si>
  <si>
    <t>2326.T</t>
  </si>
  <si>
    <t>Digital Arts Inc</t>
  </si>
  <si>
    <t>-5,699660521</t>
  </si>
  <si>
    <t>895,678,131.00</t>
  </si>
  <si>
    <t>4746.T</t>
  </si>
  <si>
    <t>Toukei Computer Co Ltd</t>
  </si>
  <si>
    <t>3.48</t>
  </si>
  <si>
    <t>10.56</t>
  </si>
  <si>
    <t>13.17</t>
  </si>
  <si>
    <t>3,300,000.00</t>
  </si>
  <si>
    <t>003007.SZ</t>
  </si>
  <si>
    <t>Beijing ZZNodeTechnologies Co Ltd</t>
  </si>
  <si>
    <t>-16,0%</t>
  </si>
  <si>
    <t>5.45</t>
  </si>
  <si>
    <t>859,750,476.00</t>
  </si>
  <si>
    <t>301396.SZ</t>
  </si>
  <si>
    <t>Glory View Technology Co Ltd</t>
  </si>
  <si>
    <t>0.71</t>
  </si>
  <si>
    <t>5.09</t>
  </si>
  <si>
    <t>7.93</t>
  </si>
  <si>
    <t>15,474,430.00</t>
  </si>
  <si>
    <t>301213.SZ</t>
  </si>
  <si>
    <t>Sichuan Discovery Dream Science &amp; Technology Co Ltd</t>
  </si>
  <si>
    <t>-11,4%</t>
  </si>
  <si>
    <t>20,570,343.00</t>
  </si>
  <si>
    <t>DSP.OQ</t>
  </si>
  <si>
    <t>Viant Technology Inc</t>
  </si>
  <si>
    <t>-503,663334</t>
  </si>
  <si>
    <t>-7,7%</t>
  </si>
  <si>
    <t>16.57</t>
  </si>
  <si>
    <t>3,719,482,593.00</t>
  </si>
  <si>
    <t>NSEL.NS</t>
  </si>
  <si>
    <t>Nucleus Software Exports Ltd</t>
  </si>
  <si>
    <t>157,201,261.00</t>
  </si>
  <si>
    <t>301313.SZ</t>
  </si>
  <si>
    <t>Guangzhou Frontop Digital Creative Technology Co Ltd</t>
  </si>
  <si>
    <t>-10,3%</t>
  </si>
  <si>
    <t>3.07</t>
  </si>
  <si>
    <t>32,024,727.00</t>
  </si>
  <si>
    <t>HPS.CS</t>
  </si>
  <si>
    <t>Hightech Payment Systems SA</t>
  </si>
  <si>
    <t>5.34</t>
  </si>
  <si>
    <t>2.64</t>
  </si>
  <si>
    <t>49.57</t>
  </si>
  <si>
    <t>86,617,747.00</t>
  </si>
  <si>
    <t>LINK.OL</t>
  </si>
  <si>
    <t>Link Mobility Group Holding ASA</t>
  </si>
  <si>
    <t>11.66</t>
  </si>
  <si>
    <t>3.45</t>
  </si>
  <si>
    <t>8,558,040.00</t>
  </si>
  <si>
    <t>HCAT.OQ</t>
  </si>
  <si>
    <t>Health Catalyst Inc</t>
  </si>
  <si>
    <t>-41,46</t>
  </si>
  <si>
    <t>480,000,000.00</t>
  </si>
  <si>
    <t>300096.SZ</t>
  </si>
  <si>
    <t>YLZ Information Technology Co Ltd</t>
  </si>
  <si>
    <t>-1,725061494</t>
  </si>
  <si>
    <t>4,940,896.00</t>
  </si>
  <si>
    <t>EQSn.DE</t>
  </si>
  <si>
    <t>EQS Group AG</t>
  </si>
  <si>
    <t>-0,744459363</t>
  </si>
  <si>
    <t>1.58</t>
  </si>
  <si>
    <t>4.66</t>
  </si>
  <si>
    <t>9.74</t>
  </si>
  <si>
    <t>32.96</t>
  </si>
  <si>
    <t>14,133,000.00</t>
  </si>
  <si>
    <t>XPER.N</t>
  </si>
  <si>
    <t>Xperi Inc</t>
  </si>
  <si>
    <t>-9,282355735</t>
  </si>
  <si>
    <t>-11,9%</t>
  </si>
  <si>
    <t>8.21</t>
  </si>
  <si>
    <t>5,487,768.00</t>
  </si>
  <si>
    <t>HUGP.WA</t>
  </si>
  <si>
    <t>Huuuge Inc</t>
  </si>
  <si>
    <t>-0,385347545</t>
  </si>
  <si>
    <t>4.81</t>
  </si>
  <si>
    <t>22.64</t>
  </si>
  <si>
    <t>5.91</t>
  </si>
  <si>
    <t>38,043,488.00</t>
  </si>
  <si>
    <t>6741.TWO</t>
  </si>
  <si>
    <t>91APP Inc</t>
  </si>
  <si>
    <t>15,126,733.00</t>
  </si>
  <si>
    <t>OPFI.N</t>
  </si>
  <si>
    <t>OppFi Inc</t>
  </si>
  <si>
    <t>69,717,713.00</t>
  </si>
  <si>
    <t>301248.SZ</t>
  </si>
  <si>
    <t>Nexwise Intelligence China Ltd</t>
  </si>
  <si>
    <t>-2,6%</t>
  </si>
  <si>
    <t>3,057,453,752.00</t>
  </si>
  <si>
    <t>194480.KQ</t>
  </si>
  <si>
    <t>Devsisters Corp</t>
  </si>
  <si>
    <t>-28,3%</t>
  </si>
  <si>
    <t>896,183,566.00</t>
  </si>
  <si>
    <t>300235.SZ</t>
  </si>
  <si>
    <t>Shenzhen Fangzhi Science &amp; Technology Co Ltd</t>
  </si>
  <si>
    <t>-1,000033949</t>
  </si>
  <si>
    <t>2.82</t>
  </si>
  <si>
    <t>62,437,140.00</t>
  </si>
  <si>
    <t>GDEV.OQ</t>
  </si>
  <si>
    <t>GDEV Inc.</t>
  </si>
  <si>
    <t>0.22</t>
  </si>
  <si>
    <t>4.24</t>
  </si>
  <si>
    <t>5,255,000.00</t>
  </si>
  <si>
    <t>ABSP.WA</t>
  </si>
  <si>
    <t>Asseco Business Solutions SA</t>
  </si>
  <si>
    <t>5,305,836,058.00</t>
  </si>
  <si>
    <t>688078.SS</t>
  </si>
  <si>
    <t>Beijing LongRuan Technologies Inc</t>
  </si>
  <si>
    <t>-31,36</t>
  </si>
  <si>
    <t>9.22</t>
  </si>
  <si>
    <t>285,038,925.00</t>
  </si>
  <si>
    <t>LAW.N</t>
  </si>
  <si>
    <t>CS Disco Inc</t>
  </si>
  <si>
    <t>-41,8%</t>
  </si>
  <si>
    <t>69.86</t>
  </si>
  <si>
    <t>117,766,850.00</t>
  </si>
  <si>
    <t>GTK.NZ</t>
  </si>
  <si>
    <t>Gentrack Group Ltd</t>
  </si>
  <si>
    <t>-0,003314394</t>
  </si>
  <si>
    <t>4.93</t>
  </si>
  <si>
    <t>1,193,489,250.00</t>
  </si>
  <si>
    <t>688058.SS</t>
  </si>
  <si>
    <t>Beijing Baolande Software Corp</t>
  </si>
  <si>
    <t>-4,2%</t>
  </si>
  <si>
    <t>8,136,348.00</t>
  </si>
  <si>
    <t>9928.T</t>
  </si>
  <si>
    <t>Miroku Jyoho Service Co Ltd</t>
  </si>
  <si>
    <t>-0,118212363</t>
  </si>
  <si>
    <t>217.59</t>
  </si>
  <si>
    <t>707.96</t>
  </si>
  <si>
    <t>99,962,110.00</t>
  </si>
  <si>
    <t>PSAGn.DE</t>
  </si>
  <si>
    <t>PSI Software SE</t>
  </si>
  <si>
    <t>3.63</t>
  </si>
  <si>
    <t>14.89</t>
  </si>
  <si>
    <t>24,377,795.00</t>
  </si>
  <si>
    <t>VRCP.WA</t>
  </si>
  <si>
    <t>Vercom SA</t>
  </si>
  <si>
    <t>2.47</t>
  </si>
  <si>
    <t>8.25</t>
  </si>
  <si>
    <t>10,280,000.00</t>
  </si>
  <si>
    <t>BLND.N</t>
  </si>
  <si>
    <t>Blend Labs Inc</t>
  </si>
  <si>
    <t>-110,0%</t>
  </si>
  <si>
    <t>82.76</t>
  </si>
  <si>
    <t>596,669,231.00</t>
  </si>
  <si>
    <t>OSPN.OQ</t>
  </si>
  <si>
    <t>OneSpan Inc</t>
  </si>
  <si>
    <t>-0,77092475</t>
  </si>
  <si>
    <t>-6,4%</t>
  </si>
  <si>
    <t>7.05</t>
  </si>
  <si>
    <t>22,172,630.00</t>
  </si>
  <si>
    <t>CGNT.OQ</t>
  </si>
  <si>
    <t>Cognyte Software Ltd</t>
  </si>
  <si>
    <t>-15,9%</t>
  </si>
  <si>
    <t>22.92</t>
  </si>
  <si>
    <t>0.69</t>
  </si>
  <si>
    <t>127,698,740.00</t>
  </si>
  <si>
    <t>IFM.AX</t>
  </si>
  <si>
    <t>Infomedia Ltd</t>
  </si>
  <si>
    <t>7.68</t>
  </si>
  <si>
    <t>47.67</t>
  </si>
  <si>
    <t>4.12</t>
  </si>
  <si>
    <t>1,900,006,442.00</t>
  </si>
  <si>
    <t>NXL.AX</t>
  </si>
  <si>
    <t>Nuix Ltd</t>
  </si>
  <si>
    <t>1,272,640,000.00</t>
  </si>
  <si>
    <t>SMWB.N</t>
  </si>
  <si>
    <t>Similarweb Ltd</t>
  </si>
  <si>
    <t>-1,916551724</t>
  </si>
  <si>
    <t>-14,6%</t>
  </si>
  <si>
    <t>1,235,363,301.00</t>
  </si>
  <si>
    <t>REMEDY.HE</t>
  </si>
  <si>
    <t>Remedy Entertainment Oyj</t>
  </si>
  <si>
    <t>-0,295973575</t>
  </si>
  <si>
    <t>6.78</t>
  </si>
  <si>
    <t>8,226,132.00</t>
  </si>
  <si>
    <t>4431.T</t>
  </si>
  <si>
    <t>Smaregi Inc</t>
  </si>
  <si>
    <t>-3,68383659</t>
  </si>
  <si>
    <t>13.45</t>
  </si>
  <si>
    <t>31.22</t>
  </si>
  <si>
    <t>5,120,000.00</t>
  </si>
  <si>
    <t>688168.SS</t>
  </si>
  <si>
    <t>Beijing ABT Networks Co Ltd</t>
  </si>
  <si>
    <t>-27,2%</t>
  </si>
  <si>
    <t>5,495,710,503.00</t>
  </si>
  <si>
    <t>IDOX.L</t>
  </si>
  <si>
    <t>Idox PLC</t>
  </si>
  <si>
    <t>-15,69675402</t>
  </si>
  <si>
    <t>32.27</t>
  </si>
  <si>
    <t>961,062,008.00</t>
  </si>
  <si>
    <t>FCL.AX</t>
  </si>
  <si>
    <t>FINEOS Corporation Holdings PLC</t>
  </si>
  <si>
    <t>2.55</t>
  </si>
  <si>
    <t>8,874,400.00</t>
  </si>
  <si>
    <t>688619.SS</t>
  </si>
  <si>
    <t>ROPEOK Technology Group Co Ltd</t>
  </si>
  <si>
    <t>-0,241442524</t>
  </si>
  <si>
    <t>-69,5%</t>
  </si>
  <si>
    <t>3.17</t>
  </si>
  <si>
    <t>9,702,706.00</t>
  </si>
  <si>
    <t>MTLS.OQ</t>
  </si>
  <si>
    <t>Materialise NV</t>
  </si>
  <si>
    <t>-1,764407202</t>
  </si>
  <si>
    <t>5.96</t>
  </si>
  <si>
    <t>417,719,415.00</t>
  </si>
  <si>
    <t>DOTD.L</t>
  </si>
  <si>
    <t>dotDigital Group PLC</t>
  </si>
  <si>
    <t>-3,700082244</t>
  </si>
  <si>
    <t>26.11</t>
  </si>
  <si>
    <t>84.12</t>
  </si>
  <si>
    <t>53,852,615.00</t>
  </si>
  <si>
    <t>3673.T</t>
  </si>
  <si>
    <t>Broadleaf Co Ltd</t>
  </si>
  <si>
    <t>2.97</t>
  </si>
  <si>
    <t>14,719,810.00</t>
  </si>
  <si>
    <t>9790.T</t>
  </si>
  <si>
    <t>Fukui Computer Holdings Inc</t>
  </si>
  <si>
    <t>-2,256077819</t>
  </si>
  <si>
    <t>-4,08</t>
  </si>
  <si>
    <t>18.72</t>
  </si>
  <si>
    <t>10,523,770.00</t>
  </si>
  <si>
    <t>300851.SZ</t>
  </si>
  <si>
    <t>Beijing Jiaoda Singal Technology Co Ltd</t>
  </si>
  <si>
    <t>1,300,855,984.00</t>
  </si>
  <si>
    <t>688288.SS</t>
  </si>
  <si>
    <t>Hangzhou Hopechart IoT Technology Co Ltd</t>
  </si>
  <si>
    <t>-31,5%</t>
  </si>
  <si>
    <t>26,946,456.00</t>
  </si>
  <si>
    <t>LIMET.ST</t>
  </si>
  <si>
    <t>Lime Technologies AB (publ)</t>
  </si>
  <si>
    <t>-0,606934169</t>
  </si>
  <si>
    <t>18.22</t>
  </si>
  <si>
    <t>6,690,500.00</t>
  </si>
  <si>
    <t>TRCS.L</t>
  </si>
  <si>
    <t>Tracsis PLC</t>
  </si>
  <si>
    <t>1,272,917.00</t>
  </si>
  <si>
    <t>FSECURE.HE</t>
  </si>
  <si>
    <t>F-Secure Oyj</t>
  </si>
  <si>
    <t>62.13</t>
  </si>
  <si>
    <t>118,301,043.00</t>
  </si>
  <si>
    <t>TCS.TO</t>
  </si>
  <si>
    <t>Tecsys Inc</t>
  </si>
  <si>
    <t>-30,57</t>
  </si>
  <si>
    <t>9.26</t>
  </si>
  <si>
    <t>1,210,952,783.00</t>
  </si>
  <si>
    <t>AMSWA.OQ</t>
  </si>
  <si>
    <t>American Software Inc</t>
  </si>
  <si>
    <t>110,790,200.00</t>
  </si>
  <si>
    <t>3798.HK</t>
  </si>
  <si>
    <t>Homeland Interactive Technology Ltd</t>
  </si>
  <si>
    <t>-0.42</t>
  </si>
  <si>
    <t>199.90</t>
  </si>
  <si>
    <t>0.80</t>
  </si>
  <si>
    <t>75,097,249.00</t>
  </si>
  <si>
    <t>PERF.N</t>
  </si>
  <si>
    <t>Perfect Corp</t>
  </si>
  <si>
    <t>-4,5%</t>
  </si>
  <si>
    <t>5.79</t>
  </si>
  <si>
    <t>21.79</t>
  </si>
  <si>
    <t>88.09</t>
  </si>
  <si>
    <t>95,276,004.00</t>
  </si>
  <si>
    <t>11B.WA</t>
  </si>
  <si>
    <t>11 Bit Studios SA</t>
  </si>
  <si>
    <t>18.31</t>
  </si>
  <si>
    <t>122,145,545.00</t>
  </si>
  <si>
    <t>SHCR.OQ</t>
  </si>
  <si>
    <t>Sharecare Inc</t>
  </si>
  <si>
    <t>-9,6%</t>
  </si>
  <si>
    <t>2.62</t>
  </si>
  <si>
    <t>13.31</t>
  </si>
  <si>
    <t>2.37</t>
  </si>
  <si>
    <t>54,217,825.00</t>
  </si>
  <si>
    <t>MYPS.OQ</t>
  </si>
  <si>
    <t>Playstudios Inc</t>
  </si>
  <si>
    <t>2.30</t>
  </si>
  <si>
    <t>15,609,800.00</t>
  </si>
  <si>
    <t>6633.HK</t>
  </si>
  <si>
    <t>Qingci Games Inc</t>
  </si>
  <si>
    <t>-0.37</t>
  </si>
  <si>
    <t>40,812,152.00</t>
  </si>
  <si>
    <t>IXXG.DE</t>
  </si>
  <si>
    <t>init innovation in traffic systems SE</t>
  </si>
  <si>
    <t>4,680,000.00</t>
  </si>
  <si>
    <t>688227.SS</t>
  </si>
  <si>
    <t>Bingo Software Co Ltd</t>
  </si>
  <si>
    <t>-22,5%</t>
  </si>
  <si>
    <t>17,155,427.00</t>
  </si>
  <si>
    <t>300935.SZ</t>
  </si>
  <si>
    <t>Beijing YJK Building Software Co Ltd</t>
  </si>
  <si>
    <t>-54,1%</t>
  </si>
  <si>
    <t>9.14</t>
  </si>
  <si>
    <t>20,002,200.00</t>
  </si>
  <si>
    <t>IBEX.OQ</t>
  </si>
  <si>
    <t>Ibex Ltd</t>
  </si>
  <si>
    <t>-0,289170501</t>
  </si>
  <si>
    <t>6,943,600.00</t>
  </si>
  <si>
    <t>SMCRT.OL</t>
  </si>
  <si>
    <t>Smartcraft ASA</t>
  </si>
  <si>
    <t>13,073,408,163.00</t>
  </si>
  <si>
    <t>DOMO.OQ</t>
  </si>
  <si>
    <t>Domo Inc</t>
  </si>
  <si>
    <t>-28,18</t>
  </si>
  <si>
    <t>-15,5%</t>
  </si>
  <si>
    <t>22,284,500.00</t>
  </si>
  <si>
    <t>PAGERO.ST</t>
  </si>
  <si>
    <t>Pagero Group AB (publ)</t>
  </si>
  <si>
    <t>-1,222047191</t>
  </si>
  <si>
    <t>-7,3%</t>
  </si>
  <si>
    <t>290.04</t>
  </si>
  <si>
    <t>52,478,665.00</t>
  </si>
  <si>
    <t>000004.SZ</t>
  </si>
  <si>
    <t>Shenzhen GuoHua Network Security Technology Co Ltd</t>
  </si>
  <si>
    <t>-1,665013424</t>
  </si>
  <si>
    <t>-230,1%</t>
  </si>
  <si>
    <t>4.67</t>
  </si>
  <si>
    <t>15.47</t>
  </si>
  <si>
    <t>11.95</t>
  </si>
  <si>
    <t>18,392,724.00</t>
  </si>
  <si>
    <t>ATATP.IS</t>
  </si>
  <si>
    <t>Atp Yazilim ve Teknoloji AS</t>
  </si>
  <si>
    <t>-0,134975521</t>
  </si>
  <si>
    <t>-1.27</t>
  </si>
  <si>
    <t>1,449,409,090.00</t>
  </si>
  <si>
    <t>300807.SZ</t>
  </si>
  <si>
    <t>Zhengzhou Tiamaes Technology Co Ltd</t>
  </si>
  <si>
    <t>-45,4%</t>
  </si>
  <si>
    <t>9.39</t>
  </si>
  <si>
    <t>69.95</t>
  </si>
  <si>
    <t>18.78</t>
  </si>
  <si>
    <t>16,499,266.00</t>
  </si>
  <si>
    <t>CPLF.TO</t>
  </si>
  <si>
    <t>Copperleaf Technologies Inc</t>
  </si>
  <si>
    <t>-4,949560047</t>
  </si>
  <si>
    <t>-36,0%</t>
  </si>
  <si>
    <t>6.31</t>
  </si>
  <si>
    <t>29.02</t>
  </si>
  <si>
    <t>24.09</t>
  </si>
  <si>
    <t>24,600,165.00</t>
  </si>
  <si>
    <t>688109.SS</t>
  </si>
  <si>
    <t>Pinming Technology Co Ltd</t>
  </si>
  <si>
    <t>-0,041270548</t>
  </si>
  <si>
    <t>-11,3%</t>
  </si>
  <si>
    <t>40.65</t>
  </si>
  <si>
    <t>153.25</t>
  </si>
  <si>
    <t>1,467,926.00</t>
  </si>
  <si>
    <t>CBF.WA</t>
  </si>
  <si>
    <t>Cyber_Folks SA</t>
  </si>
  <si>
    <t>-0,16307789</t>
  </si>
  <si>
    <t>197.84</t>
  </si>
  <si>
    <t>14,582,291.00</t>
  </si>
  <si>
    <t>CHG1.DE</t>
  </si>
  <si>
    <t>CHAPTERS Group AG</t>
  </si>
  <si>
    <t>7,478,100.00</t>
  </si>
  <si>
    <t>3694.T</t>
  </si>
  <si>
    <t>OPTiM Corp</t>
  </si>
  <si>
    <t>-10,66578212</t>
  </si>
  <si>
    <t>-4,14</t>
  </si>
  <si>
    <t>156,798,114.00</t>
  </si>
  <si>
    <t>1463.HK</t>
  </si>
  <si>
    <t>C-Link Squared Ltd</t>
  </si>
  <si>
    <t>68.37</t>
  </si>
  <si>
    <t>104,874,730.00</t>
  </si>
  <si>
    <t>ONTF.N</t>
  </si>
  <si>
    <t>ON24 Inc</t>
  </si>
  <si>
    <t>-29,3%</t>
  </si>
  <si>
    <t>775,612,852.00</t>
  </si>
  <si>
    <t>SSTI.OQ</t>
  </si>
  <si>
    <t>SoundThinking Inc</t>
  </si>
  <si>
    <t>-0,028399282</t>
  </si>
  <si>
    <t>10,102,500.00</t>
  </si>
  <si>
    <t>319400.KQ</t>
  </si>
  <si>
    <t>Huyndai Movex Co Ltd</t>
  </si>
  <si>
    <t>18,344,042.00</t>
  </si>
  <si>
    <t>300845.SZ</t>
  </si>
  <si>
    <t>Zhengzhou Jiean Hi-Tech Co Ltd</t>
  </si>
  <si>
    <t>4.01</t>
  </si>
  <si>
    <t>89,836,923.00</t>
  </si>
  <si>
    <t>BAND.OQ</t>
  </si>
  <si>
    <t>Bandwidth Inc</t>
  </si>
  <si>
    <t>-8,83</t>
  </si>
  <si>
    <t>-2.55</t>
  </si>
  <si>
    <t>-0.17</t>
  </si>
  <si>
    <t>2,981,792.00</t>
  </si>
  <si>
    <t>9911.HK</t>
  </si>
  <si>
    <t>Newborn Town Inc</t>
  </si>
  <si>
    <t>-17,80900707</t>
  </si>
  <si>
    <t>4.18</t>
  </si>
  <si>
    <t>36.22</t>
  </si>
  <si>
    <t>49,725,498.00</t>
  </si>
  <si>
    <t>688296.SS</t>
  </si>
  <si>
    <t>Zhejiang Heda Technology Co Ltd</t>
  </si>
  <si>
    <t>98.83</t>
  </si>
  <si>
    <t>2,012,230,283.00</t>
  </si>
  <si>
    <t>LDSV.PA</t>
  </si>
  <si>
    <t>Linedata Services SA</t>
  </si>
  <si>
    <t>14.46</t>
  </si>
  <si>
    <t>71,135,730.00</t>
  </si>
  <si>
    <t>9669.HK</t>
  </si>
  <si>
    <t>Beisen Holding Ltd</t>
  </si>
  <si>
    <t>-50,1%</t>
  </si>
  <si>
    <t>5.92</t>
  </si>
  <si>
    <t>1.87</t>
  </si>
  <si>
    <t>27.80</t>
  </si>
  <si>
    <t>47,039,488.00</t>
  </si>
  <si>
    <t>ACSO.L</t>
  </si>
  <si>
    <t>accesso Technology Group PLC</t>
  </si>
  <si>
    <t>-25,72094616</t>
  </si>
  <si>
    <t>3.88</t>
  </si>
  <si>
    <t>2,593,100.00</t>
  </si>
  <si>
    <t>RDVT.OQ</t>
  </si>
  <si>
    <t>Red Violet Inc</t>
  </si>
  <si>
    <t>3.28</t>
  </si>
  <si>
    <t>224,892,555.00</t>
  </si>
  <si>
    <t>3687.T</t>
  </si>
  <si>
    <t>Fixstars Corp</t>
  </si>
  <si>
    <t>5.49</t>
  </si>
  <si>
    <t>219,905,929.00</t>
  </si>
  <si>
    <t>4719.T</t>
  </si>
  <si>
    <t>Alpha Systems Inc</t>
  </si>
  <si>
    <t>1.69</t>
  </si>
  <si>
    <t>9,504,200.00</t>
  </si>
  <si>
    <t>IVUG.DE</t>
  </si>
  <si>
    <t>IVU Traffic Technologies AG</t>
  </si>
  <si>
    <t>1.99</t>
  </si>
  <si>
    <t>14.91</t>
  </si>
  <si>
    <t>29,224,108.00</t>
  </si>
  <si>
    <t>CGDM.PA</t>
  </si>
  <si>
    <t>Cegedim SA</t>
  </si>
  <si>
    <t>5,922,840,788.00</t>
  </si>
  <si>
    <t>4674.T</t>
  </si>
  <si>
    <t>Cresco Ltd</t>
  </si>
  <si>
    <t>4.62</t>
  </si>
  <si>
    <t>19.46</t>
  </si>
  <si>
    <t>7.04</t>
  </si>
  <si>
    <t>617,183,181.00</t>
  </si>
  <si>
    <t>HUMAN.BK</t>
  </si>
  <si>
    <t>Humanica PCL</t>
  </si>
  <si>
    <t>21.71</t>
  </si>
  <si>
    <t>51.88</t>
  </si>
  <si>
    <t>34.46</t>
  </si>
  <si>
    <t>20,000,000.00</t>
  </si>
  <si>
    <t>SOPH.OQ</t>
  </si>
  <si>
    <t>Sophia Genetics SA</t>
  </si>
  <si>
    <t>-107,9%</t>
  </si>
  <si>
    <t>12.89</t>
  </si>
  <si>
    <t>8,000,000.00</t>
  </si>
  <si>
    <t>API.OQ</t>
  </si>
  <si>
    <t>Agora Inc</t>
  </si>
  <si>
    <t>-0,19064482</t>
  </si>
  <si>
    <t>28.59</t>
  </si>
  <si>
    <t>331,744,631.00</t>
  </si>
  <si>
    <t>322510.KQ</t>
  </si>
  <si>
    <t>JLK Inc</t>
  </si>
  <si>
    <t>-453,9%</t>
  </si>
  <si>
    <t>24.96</t>
  </si>
  <si>
    <t>5,350,400.00</t>
  </si>
  <si>
    <t>402030.KQ</t>
  </si>
  <si>
    <t>Konan Technology Inc</t>
  </si>
  <si>
    <t>-1,915726899</t>
  </si>
  <si>
    <t>-104,7%</t>
  </si>
  <si>
    <t>3.78</t>
  </si>
  <si>
    <t>38.72</t>
  </si>
  <si>
    <t>2.46</t>
  </si>
  <si>
    <t>75.37</t>
  </si>
  <si>
    <t>43,792,454.00</t>
  </si>
  <si>
    <t>AZRN.AS</t>
  </si>
  <si>
    <t>Azerion Group NV</t>
  </si>
  <si>
    <t>-0,844238411</t>
  </si>
  <si>
    <t>6.38</t>
  </si>
  <si>
    <t>9.67</t>
  </si>
  <si>
    <t>6,498,000.00</t>
  </si>
  <si>
    <t>MOND.OQ</t>
  </si>
  <si>
    <t>Mondee Holdings Inc</t>
  </si>
  <si>
    <t>61.20</t>
  </si>
  <si>
    <t>6.64</t>
  </si>
  <si>
    <t>25.66</t>
  </si>
  <si>
    <t>2,407.53</t>
  </si>
  <si>
    <t>21,191,530.00</t>
  </si>
  <si>
    <t>CMCOM.AS</t>
  </si>
  <si>
    <t>CM.com NV</t>
  </si>
  <si>
    <t>-2,111431753</t>
  </si>
  <si>
    <t>125,023,375.00</t>
  </si>
  <si>
    <t>RDY.AX</t>
  </si>
  <si>
    <t>Readytech Holdings Ltd</t>
  </si>
  <si>
    <t>-2,680056743</t>
  </si>
  <si>
    <t>2,286,139,337.00</t>
  </si>
  <si>
    <t>VOLUE.OL</t>
  </si>
  <si>
    <t>Volue ASA</t>
  </si>
  <si>
    <t>HTTBT.IS</t>
  </si>
  <si>
    <t>Hitit Bilgisayar Hizmetleri AS</t>
  </si>
  <si>
    <t>0.14</t>
  </si>
  <si>
    <t>57.06</t>
  </si>
  <si>
    <t>43.28</t>
  </si>
  <si>
    <t>10,024,212.00</t>
  </si>
  <si>
    <t>3835.T</t>
  </si>
  <si>
    <t>eBASE Co Ltd</t>
  </si>
  <si>
    <t>-2,54</t>
  </si>
  <si>
    <t>726,405,566.00</t>
  </si>
  <si>
    <t>688004.SS</t>
  </si>
  <si>
    <t>Beijing Bohui Science &amp; Technology Co Ltd</t>
  </si>
  <si>
    <t>-26,5%</t>
  </si>
  <si>
    <t>4.91</t>
  </si>
  <si>
    <t>9,110,000.00</t>
  </si>
  <si>
    <t>030520.KQ</t>
  </si>
  <si>
    <t>Hancom Inc</t>
  </si>
  <si>
    <t>-0,368625019</t>
  </si>
  <si>
    <t>-30,45</t>
  </si>
  <si>
    <t>13.93</t>
  </si>
  <si>
    <t>3,476,478.00</t>
  </si>
  <si>
    <t>PEXIP.OL</t>
  </si>
  <si>
    <t>Pexip Holding ASA</t>
  </si>
  <si>
    <t>100,772,858.00</t>
  </si>
  <si>
    <t>LOGO.IS</t>
  </si>
  <si>
    <t>Logo Yazilim Sanayi ve Ticaret AS</t>
  </si>
  <si>
    <t>-0,245756068</t>
  </si>
  <si>
    <t>2.02</t>
  </si>
  <si>
    <t>7,690,000.00</t>
  </si>
  <si>
    <t>6111.TWO</t>
  </si>
  <si>
    <t>Softstar Entertainment Inc</t>
  </si>
  <si>
    <t>-14,1%</t>
  </si>
  <si>
    <t>62,425,742.00</t>
  </si>
  <si>
    <t>KLTR.OQ</t>
  </si>
  <si>
    <t>Kaltura Inc</t>
  </si>
  <si>
    <t>-7,566891441</t>
  </si>
  <si>
    <t>-20,2%</t>
  </si>
  <si>
    <t>2,861,650.00</t>
  </si>
  <si>
    <t>EGAN.OQ</t>
  </si>
  <si>
    <t>eGain Corp</t>
  </si>
  <si>
    <t>-0,655418643</t>
  </si>
  <si>
    <t>-2,80</t>
  </si>
  <si>
    <t>3.49</t>
  </si>
  <si>
    <t>19,668,021.00</t>
  </si>
  <si>
    <t>217270.KQ</t>
  </si>
  <si>
    <t>Neptune Co</t>
  </si>
  <si>
    <t>22.98</t>
  </si>
  <si>
    <t>1,072,396,160.00</t>
  </si>
  <si>
    <t>8083.HK</t>
  </si>
  <si>
    <t>China Youzan Ltd</t>
  </si>
  <si>
    <t>-0,264018532</t>
  </si>
  <si>
    <t>-24,60</t>
  </si>
  <si>
    <t>-3,2%</t>
  </si>
  <si>
    <t>5.81</t>
  </si>
  <si>
    <t>101,307,609.00</t>
  </si>
  <si>
    <t>688081.SS</t>
  </si>
  <si>
    <t>Wuhan Xingtu Xinke Electronics Co Ltd</t>
  </si>
  <si>
    <t>-0,968701557</t>
  </si>
  <si>
    <t>-95,1%</t>
  </si>
  <si>
    <t>60,788,538.00</t>
  </si>
  <si>
    <t>GPI.MI</t>
  </si>
  <si>
    <t>GPI SpA</t>
  </si>
  <si>
    <t>-0,294593199</t>
  </si>
  <si>
    <t>147,005,621.00</t>
  </si>
  <si>
    <t>FAAS.DE</t>
  </si>
  <si>
    <t>Fabasoft AG</t>
  </si>
  <si>
    <t>1.16</t>
  </si>
  <si>
    <t>138,872,650.00</t>
  </si>
  <si>
    <t>RSOF.MT</t>
  </si>
  <si>
    <t>RS2 plc</t>
  </si>
  <si>
    <t>-1,1%</t>
  </si>
  <si>
    <t>2.09</t>
  </si>
  <si>
    <t>7.92</t>
  </si>
  <si>
    <t>3,949,762.00</t>
  </si>
  <si>
    <t>688251.SS</t>
  </si>
  <si>
    <t>Hefei Jingsong Intelligent Technology Co Ltd</t>
  </si>
  <si>
    <t>7.41</t>
  </si>
  <si>
    <t>87,578,536.00</t>
  </si>
  <si>
    <t>IQG.L</t>
  </si>
  <si>
    <t>IQGeo Group PLC</t>
  </si>
  <si>
    <t>1,000,000,000.00</t>
  </si>
  <si>
    <t>4312.T</t>
  </si>
  <si>
    <t>Cybernet Systems Co Ltd</t>
  </si>
  <si>
    <t>-1,734675206</t>
  </si>
  <si>
    <t>-24,21</t>
  </si>
  <si>
    <t>131,017,302.00</t>
  </si>
  <si>
    <t>063080.KQ</t>
  </si>
  <si>
    <t>Com2uS Holdings Corp</t>
  </si>
  <si>
    <t>1.70</t>
  </si>
  <si>
    <t>2.99</t>
  </si>
  <si>
    <t>15.81</t>
  </si>
  <si>
    <t>8,383,650.00</t>
  </si>
  <si>
    <t>TXTS.MI</t>
  </si>
  <si>
    <t>TXT e solutions SpA</t>
  </si>
  <si>
    <t>-17,01177262</t>
  </si>
  <si>
    <t>3.10</t>
  </si>
  <si>
    <t>11,078,400.00</t>
  </si>
  <si>
    <t>5203.TW</t>
  </si>
  <si>
    <t>Cyberlink Corp</t>
  </si>
  <si>
    <t>-2,82</t>
  </si>
  <si>
    <t>6.90</t>
  </si>
  <si>
    <t>1,209,241,732.00</t>
  </si>
  <si>
    <t>ADMCM.HE</t>
  </si>
  <si>
    <t>Admicom Oyj</t>
  </si>
  <si>
    <t>32.02</t>
  </si>
  <si>
    <t>5.85</t>
  </si>
  <si>
    <t>476,228.00</t>
  </si>
  <si>
    <t>QUIC.NS</t>
  </si>
  <si>
    <t>Quick Heal Technologies Ltd</t>
  </si>
  <si>
    <t>-16,3%</t>
  </si>
  <si>
    <t>119,065,530.00</t>
  </si>
  <si>
    <t>6819.HK</t>
  </si>
  <si>
    <t>Intellicentrics Global Holdings Ltd</t>
  </si>
  <si>
    <t>6.77</t>
  </si>
  <si>
    <t>3,215,715.00</t>
  </si>
  <si>
    <t>LBG.L</t>
  </si>
  <si>
    <t>LBG Media PLC</t>
  </si>
  <si>
    <t>-5,328774149</t>
  </si>
  <si>
    <t>3.00</t>
  </si>
  <si>
    <t>16,301,456.00</t>
  </si>
  <si>
    <t>BMOB3.SA</t>
  </si>
  <si>
    <t>Bemobi Mobile Tech SA</t>
  </si>
  <si>
    <t>13.13</t>
  </si>
  <si>
    <t>2.73</t>
  </si>
  <si>
    <t>30,041,120.00</t>
  </si>
  <si>
    <t>BVS.AX</t>
  </si>
  <si>
    <t>Bravura Solutions Ltd</t>
  </si>
  <si>
    <t>-7,2%</t>
  </si>
  <si>
    <t>6.40</t>
  </si>
  <si>
    <t>20.22</t>
  </si>
  <si>
    <t>47,164,800.00</t>
  </si>
  <si>
    <t>6231.TWO</t>
  </si>
  <si>
    <t>Insyde Software Corp</t>
  </si>
  <si>
    <t>-0,617815134</t>
  </si>
  <si>
    <t>-19,91</t>
  </si>
  <si>
    <t>3.84</t>
  </si>
  <si>
    <t>131,793,660.00</t>
  </si>
  <si>
    <t>SHO1.WA</t>
  </si>
  <si>
    <t>Shoper SA</t>
  </si>
  <si>
    <t>0.77</t>
  </si>
  <si>
    <t>10,417,609.00</t>
  </si>
  <si>
    <t>ALBFR.PA</t>
  </si>
  <si>
    <t>Sidetrade SA</t>
  </si>
  <si>
    <t>204,078,185.00</t>
  </si>
  <si>
    <t>RUL.AX</t>
  </si>
  <si>
    <t>RPMGlobal Holdings Ltd</t>
  </si>
  <si>
    <t>5,530,894,237.00</t>
  </si>
  <si>
    <t>3PL.AX</t>
  </si>
  <si>
    <t>3P Learning Ltd</t>
  </si>
  <si>
    <t>4.37</t>
  </si>
  <si>
    <t>22.53</t>
  </si>
  <si>
    <t>60.24</t>
  </si>
  <si>
    <t>7,406,190.00</t>
  </si>
  <si>
    <t>SEYE.ST</t>
  </si>
  <si>
    <t>Smart Eye AB (publ)</t>
  </si>
  <si>
    <t>-13,39</t>
  </si>
  <si>
    <t>-64,1%</t>
  </si>
  <si>
    <t>82,105,133.00</t>
  </si>
  <si>
    <t>4323.T</t>
  </si>
  <si>
    <t>Japan System Techniques Co Ltd</t>
  </si>
  <si>
    <t>-0,182917728</t>
  </si>
  <si>
    <t>80,074,017.00</t>
  </si>
  <si>
    <t>138580.KQ</t>
  </si>
  <si>
    <t>BusinessOn Communication Co Ltd</t>
  </si>
  <si>
    <t>0.98</t>
  </si>
  <si>
    <t>6.83</t>
  </si>
  <si>
    <t>3,909,800.00</t>
  </si>
  <si>
    <t>CTV.N</t>
  </si>
  <si>
    <t>Innovid Corp</t>
  </si>
  <si>
    <t>-5,5%</t>
  </si>
  <si>
    <t>296,748,183.00</t>
  </si>
  <si>
    <t>3773.T</t>
  </si>
  <si>
    <t>Advanced Media Inc</t>
  </si>
  <si>
    <t>-0,874469853</t>
  </si>
  <si>
    <t>2.29</t>
  </si>
  <si>
    <t>5.06</t>
  </si>
  <si>
    <t>3,041,800.00</t>
  </si>
  <si>
    <t>EMOR.PK</t>
  </si>
  <si>
    <t>Healixa Inc</t>
  </si>
  <si>
    <t>72.65</t>
  </si>
  <si>
    <t>17,839,641.00</t>
  </si>
  <si>
    <t>BRN.AX</t>
  </si>
  <si>
    <t>BrainChip Holdings Ltd</t>
  </si>
  <si>
    <t>-9,963,1%</t>
  </si>
  <si>
    <t>5.36</t>
  </si>
  <si>
    <t>89,073,265.00</t>
  </si>
  <si>
    <t>2482.HK</t>
  </si>
  <si>
    <t>Logory Logistics Technology Co Ltd</t>
  </si>
  <si>
    <t>-0,091294458</t>
  </si>
  <si>
    <t>246,830,284.00</t>
  </si>
  <si>
    <t>PCF1.WA</t>
  </si>
  <si>
    <t>PCF Group SA</t>
  </si>
  <si>
    <t>1.63</t>
  </si>
  <si>
    <t>8.89</t>
  </si>
  <si>
    <t>382,716.00</t>
  </si>
  <si>
    <t>PRCH.OQ</t>
  </si>
  <si>
    <t>Porch Group Inc</t>
  </si>
  <si>
    <t>-40,2%</t>
  </si>
  <si>
    <t>0.86</t>
  </si>
  <si>
    <t>3.86</t>
  </si>
  <si>
    <t>3,260,762.00</t>
  </si>
  <si>
    <t>ENTr.AT</t>
  </si>
  <si>
    <t>EnterSoft SA</t>
  </si>
  <si>
    <t>-3,920179253</t>
  </si>
  <si>
    <t>15,593,000.00</t>
  </si>
  <si>
    <t>IMMR.OQ</t>
  </si>
  <si>
    <t>Immersion Corp</t>
  </si>
  <si>
    <t>10,412,528.00</t>
  </si>
  <si>
    <t>FNGR.OQ</t>
  </si>
  <si>
    <t>FingerMotion Inc</t>
  </si>
  <si>
    <t>-10,5%</t>
  </si>
  <si>
    <t>7.19</t>
  </si>
  <si>
    <t>175,399,757.00</t>
  </si>
  <si>
    <t>MTC.OQ</t>
  </si>
  <si>
    <t>MMTEC Inc</t>
  </si>
  <si>
    <t>-0,489544049</t>
  </si>
  <si>
    <t>-455,3%</t>
  </si>
  <si>
    <t>770,121,661.00</t>
  </si>
  <si>
    <t>AIP.OQ</t>
  </si>
  <si>
    <t>Arteris Inc</t>
  </si>
  <si>
    <t>-62,2%</t>
  </si>
  <si>
    <t>-0.54</t>
  </si>
  <si>
    <t>37.58</t>
  </si>
  <si>
    <t>46,261,428.00</t>
  </si>
  <si>
    <t>VGL.NZ</t>
  </si>
  <si>
    <t>Vista Group International Ltd</t>
  </si>
  <si>
    <t>-0,059329082</t>
  </si>
  <si>
    <t>104,459,775.00</t>
  </si>
  <si>
    <t>CINT.ST</t>
  </si>
  <si>
    <t>Cint Group AB (publ)</t>
  </si>
  <si>
    <t>-5,097222222</t>
  </si>
  <si>
    <t>-94,0%</t>
  </si>
  <si>
    <t>5,476,685.00</t>
  </si>
  <si>
    <t>EXFY.OQ</t>
  </si>
  <si>
    <t>Expensify Inc</t>
  </si>
  <si>
    <t>-15,2%</t>
  </si>
  <si>
    <t>0.54</t>
  </si>
  <si>
    <t>5.44</t>
  </si>
  <si>
    <t>1,731,000.00</t>
  </si>
  <si>
    <t>MCRK.KL</t>
  </si>
  <si>
    <t>Microlink Solutions Bhd</t>
  </si>
  <si>
    <t>-4,42863708</t>
  </si>
  <si>
    <t>4.45</t>
  </si>
  <si>
    <t>11.94</t>
  </si>
  <si>
    <t>4,955,000.00</t>
  </si>
  <si>
    <t>CY4.MI</t>
  </si>
  <si>
    <t>CY4GATE SpA</t>
  </si>
  <si>
    <t>23.48</t>
  </si>
  <si>
    <t>47.41</t>
  </si>
  <si>
    <t>609,744,700.00</t>
  </si>
  <si>
    <t>032620.KQ</t>
  </si>
  <si>
    <t>UBCare Co Ltd</t>
  </si>
  <si>
    <t>2.39</t>
  </si>
  <si>
    <t>7.20</t>
  </si>
  <si>
    <t>5,131,400.00</t>
  </si>
  <si>
    <t>OSPGk.DE</t>
  </si>
  <si>
    <t>USU Software AG</t>
  </si>
  <si>
    <t>-0.78</t>
  </si>
  <si>
    <t>-1.57</t>
  </si>
  <si>
    <t>2,235,000.00</t>
  </si>
  <si>
    <t>DTOL.TO</t>
  </si>
  <si>
    <t>D2L Inc</t>
  </si>
  <si>
    <t>11.01</t>
  </si>
  <si>
    <t>43.81</t>
  </si>
  <si>
    <t>69.31</t>
  </si>
  <si>
    <t>151,470,447.00</t>
  </si>
  <si>
    <t>APTD.L</t>
  </si>
  <si>
    <t>Aptitude Software Group PLC</t>
  </si>
  <si>
    <t>-0,873756914</t>
  </si>
  <si>
    <t>2.89</t>
  </si>
  <si>
    <t>17,491,265.00</t>
  </si>
  <si>
    <t>5038.T</t>
  </si>
  <si>
    <t>eWeLL Co Ltd</t>
  </si>
  <si>
    <t>10,244,824.00</t>
  </si>
  <si>
    <t>7201.SE</t>
  </si>
  <si>
    <t>Arab Sea Information Systems Company SJSC</t>
  </si>
  <si>
    <t>-26,6%</t>
  </si>
  <si>
    <t>343,285,671.00</t>
  </si>
  <si>
    <t>THNC.TO</t>
  </si>
  <si>
    <t>Thinkific Labs Inc</t>
  </si>
  <si>
    <t>-23,8%</t>
  </si>
  <si>
    <t>3.59</t>
  </si>
  <si>
    <t>40.06</t>
  </si>
  <si>
    <t>12,737,755.00</t>
  </si>
  <si>
    <t>ASUR.OQ</t>
  </si>
  <si>
    <t>Asure Software Inc</t>
  </si>
  <si>
    <t>-0,063215538</t>
  </si>
  <si>
    <t>83,186,048.00</t>
  </si>
  <si>
    <t>9717.T</t>
  </si>
  <si>
    <t>JASTEC Co Ltd</t>
  </si>
  <si>
    <t>-3,086671973</t>
  </si>
  <si>
    <t>2,725,439.00</t>
  </si>
  <si>
    <t>REKR.OQ</t>
  </si>
  <si>
    <t>Rekor Systems Inc</t>
  </si>
  <si>
    <t>-133,6%</t>
  </si>
  <si>
    <t>170,064,073.00</t>
  </si>
  <si>
    <t>EYE.L</t>
  </si>
  <si>
    <t>Eagle Eye Solutions Group PLC</t>
  </si>
  <si>
    <t>-0,089233851</t>
  </si>
  <si>
    <t>-0.12</t>
  </si>
  <si>
    <t>2.21</t>
  </si>
  <si>
    <t>30,975,511.00</t>
  </si>
  <si>
    <t>4813.T</t>
  </si>
  <si>
    <t>Access Co Ltd</t>
  </si>
  <si>
    <t>-29,38</t>
  </si>
  <si>
    <t>7.13</t>
  </si>
  <si>
    <t>9,577,366.00</t>
  </si>
  <si>
    <t>TRAK.N</t>
  </si>
  <si>
    <t>Park City Group Inc</t>
  </si>
  <si>
    <t>10.10</t>
  </si>
  <si>
    <t>1.50</t>
  </si>
  <si>
    <t>2,729,193,841.00</t>
  </si>
  <si>
    <t>6902.TW</t>
  </si>
  <si>
    <t>Gogolook Co Ltd</t>
  </si>
  <si>
    <t>48,335,198.00</t>
  </si>
  <si>
    <t>4333.T</t>
  </si>
  <si>
    <t>Toho System Science Co Ltd</t>
  </si>
  <si>
    <t>-0,4254047</t>
  </si>
  <si>
    <t>-0.05</t>
  </si>
  <si>
    <t>1.84</t>
  </si>
  <si>
    <t>688,566,623.00</t>
  </si>
  <si>
    <t>3663.T</t>
  </si>
  <si>
    <t>CELSYS Inc</t>
  </si>
  <si>
    <t>-0,14</t>
  </si>
  <si>
    <t>916,021,728.00</t>
  </si>
  <si>
    <t>WITH.HE</t>
  </si>
  <si>
    <t>WithSecure Oyj</t>
  </si>
  <si>
    <t>108,367,902.00</t>
  </si>
  <si>
    <t>NETO.NS</t>
  </si>
  <si>
    <t>Network People Services Technologies Ltd</t>
  </si>
  <si>
    <t>-0,325930313</t>
  </si>
  <si>
    <t>7.76</t>
  </si>
  <si>
    <t>871,568.00</t>
  </si>
  <si>
    <t>9629.T</t>
  </si>
  <si>
    <t>PCA Corp</t>
  </si>
  <si>
    <t>-18,79</t>
  </si>
  <si>
    <t>4.25</t>
  </si>
  <si>
    <t>14.83</t>
  </si>
  <si>
    <t>20.71</t>
  </si>
  <si>
    <t>35,354,366.00</t>
  </si>
  <si>
    <t>4435.T</t>
  </si>
  <si>
    <t>Kaonavi Inc</t>
  </si>
  <si>
    <t>8.70</t>
  </si>
  <si>
    <t>5.07</t>
  </si>
  <si>
    <t>17,097,000.00</t>
  </si>
  <si>
    <t>KSI.TO</t>
  </si>
  <si>
    <t>Kneat.com Inc</t>
  </si>
  <si>
    <t>24,983,593.00</t>
  </si>
  <si>
    <t>053300.KQ</t>
  </si>
  <si>
    <t>Korea Information Certificate Authority Inc</t>
  </si>
  <si>
    <t>-0,725516475</t>
  </si>
  <si>
    <t>1,984,680,006.00</t>
  </si>
  <si>
    <t>TENP.WA</t>
  </si>
  <si>
    <t>Ten Square Games SA</t>
  </si>
  <si>
    <t>2,435,859,171.00</t>
  </si>
  <si>
    <t>BLUC.BO</t>
  </si>
  <si>
    <t>Blue Cloud Softech Solutions Ltd</t>
  </si>
  <si>
    <t>11.30</t>
  </si>
  <si>
    <t>305,856,314.00</t>
  </si>
  <si>
    <t>041020.KQ</t>
  </si>
  <si>
    <t>Polaris Office Corp</t>
  </si>
  <si>
    <t>41.34</t>
  </si>
  <si>
    <t>1.27</t>
  </si>
  <si>
    <t>106,214,287.00</t>
  </si>
  <si>
    <t>ARAT.PK</t>
  </si>
  <si>
    <t>Arax Holdings Corp.</t>
  </si>
  <si>
    <t>7.81</t>
  </si>
  <si>
    <t>5.93</t>
  </si>
  <si>
    <t>1,364,870.00</t>
  </si>
  <si>
    <t>BSSG.F</t>
  </si>
  <si>
    <t>Beta Systems Software AG</t>
  </si>
  <si>
    <t>1.93</t>
  </si>
  <si>
    <t>7.55</t>
  </si>
  <si>
    <t>3.21</t>
  </si>
  <si>
    <t>1,365,543,317.00</t>
  </si>
  <si>
    <t>4344.T</t>
  </si>
  <si>
    <t>Sourcenext Corp</t>
  </si>
  <si>
    <t>133,485,472.00</t>
  </si>
  <si>
    <t>4488.T</t>
  </si>
  <si>
    <t>AI inside Inc</t>
  </si>
  <si>
    <t>-2,815678848</t>
  </si>
  <si>
    <t>20,931,855.00</t>
  </si>
  <si>
    <t>MIXJ.J</t>
  </si>
  <si>
    <t>MIX Telematics Ltd</t>
  </si>
  <si>
    <t>4.54</t>
  </si>
  <si>
    <t>11.78</t>
  </si>
  <si>
    <t>12.46</t>
  </si>
  <si>
    <t>33,418,193.00</t>
  </si>
  <si>
    <t>3741.T</t>
  </si>
  <si>
    <t>Systems Engineering Consultants Co Ltd</t>
  </si>
  <si>
    <t>0.49</t>
  </si>
  <si>
    <t>18.33</t>
  </si>
  <si>
    <t>11.96</t>
  </si>
  <si>
    <t>30,095,151.00</t>
  </si>
  <si>
    <t>AMJT.PK</t>
  </si>
  <si>
    <t>AMJ Global Technology</t>
  </si>
  <si>
    <t>607,837,362.00</t>
  </si>
  <si>
    <t>EG7.ST</t>
  </si>
  <si>
    <t>Enad Global 7 AB (publ)</t>
  </si>
  <si>
    <t>0.97</t>
  </si>
  <si>
    <t>30.73</t>
  </si>
  <si>
    <t>10,459,000.00</t>
  </si>
  <si>
    <t>ALUR.N</t>
  </si>
  <si>
    <t>Allurion Technologies Inc</t>
  </si>
  <si>
    <t>-0,525915187</t>
  </si>
  <si>
    <t>-98,2%</t>
  </si>
  <si>
    <t>1.13</t>
  </si>
  <si>
    <t>22.02</t>
  </si>
  <si>
    <t>2,804,807.00</t>
  </si>
  <si>
    <t>QOR.AX</t>
  </si>
  <si>
    <t>Qoria Ltd</t>
  </si>
  <si>
    <t>-1,763917526</t>
  </si>
  <si>
    <t>-72,8%</t>
  </si>
  <si>
    <t>484,594,623.00</t>
  </si>
  <si>
    <t>FORTE.IS</t>
  </si>
  <si>
    <t>Forte Bilgi Iletisim Teknolojileri ve Savunma Sanayi AS</t>
  </si>
  <si>
    <t>-0,243491172</t>
  </si>
  <si>
    <t>1,261,800,036.00</t>
  </si>
  <si>
    <t>131370.KQ</t>
  </si>
  <si>
    <t>Rsupport Co Ltd</t>
  </si>
  <si>
    <t>19.22</t>
  </si>
  <si>
    <t>5,724,847,663.00</t>
  </si>
  <si>
    <t>KSOL.NS</t>
  </si>
  <si>
    <t>Ksolves India Ltd</t>
  </si>
  <si>
    <t>175,314,801.00</t>
  </si>
  <si>
    <t>IARb.ST</t>
  </si>
  <si>
    <t>IAR Systems Group AB</t>
  </si>
  <si>
    <t>-20,70</t>
  </si>
  <si>
    <t>4,384,740,092.00</t>
  </si>
  <si>
    <t>NOTE.N</t>
  </si>
  <si>
    <t>Fiscalnote Holdings Inc</t>
  </si>
  <si>
    <t>-34,3%</t>
  </si>
  <si>
    <t>149,480,239.00</t>
  </si>
  <si>
    <t>NETC.L</t>
  </si>
  <si>
    <t>Netcall PLC</t>
  </si>
  <si>
    <t>-1,888803413</t>
  </si>
  <si>
    <t>35.49</t>
  </si>
  <si>
    <t>182,943,015.00</t>
  </si>
  <si>
    <t>OMG1.L</t>
  </si>
  <si>
    <t>Oxford Metrics PLC</t>
  </si>
  <si>
    <t>713,855,586.00</t>
  </si>
  <si>
    <t>067000.KQ</t>
  </si>
  <si>
    <t>Joy City Corp</t>
  </si>
  <si>
    <t>1,323,757,212.00</t>
  </si>
  <si>
    <t>AIXI.OQ</t>
  </si>
  <si>
    <t>Xiao-I Corp</t>
  </si>
  <si>
    <t>13,962,336.00</t>
  </si>
  <si>
    <t>ARDYZ.IS</t>
  </si>
  <si>
    <t>Ard Grup Bilisim Teknolojileri AS</t>
  </si>
  <si>
    <t>-10,84419614</t>
  </si>
  <si>
    <t>29,082,417,137.00</t>
  </si>
  <si>
    <t>3315.HK</t>
  </si>
  <si>
    <t>Goldpac Group Ltd</t>
  </si>
  <si>
    <t>11,952,500.00</t>
  </si>
  <si>
    <t>DIB.MI</t>
  </si>
  <si>
    <t>Digital Bros SpA</t>
  </si>
  <si>
    <t>-3.78</t>
  </si>
  <si>
    <t>2,647,587,398.00</t>
  </si>
  <si>
    <t>ELABS.OL</t>
  </si>
  <si>
    <t>Elliptic Laboratories ASA</t>
  </si>
  <si>
    <t>-152,7%</t>
  </si>
  <si>
    <t>13.37</t>
  </si>
  <si>
    <t>40,763,149.00</t>
  </si>
  <si>
    <t>M8G.ST</t>
  </si>
  <si>
    <t>MGI Media &amp; Games Invest SE</t>
  </si>
  <si>
    <t>-0,311675251</t>
  </si>
  <si>
    <t>239,012,412.00</t>
  </si>
  <si>
    <t>PSQH.N</t>
  </si>
  <si>
    <t>PSQ Holdings Inc</t>
  </si>
  <si>
    <t>83.96</t>
  </si>
  <si>
    <t>2,037,856,836.00</t>
  </si>
  <si>
    <t>4448.T</t>
  </si>
  <si>
    <t>Chatwork Co Ltd</t>
  </si>
  <si>
    <t>-8,5%</t>
  </si>
  <si>
    <t>15.19</t>
  </si>
  <si>
    <t>2.19</t>
  </si>
  <si>
    <t>69,862,693.00</t>
  </si>
  <si>
    <t>6752.TWO</t>
  </si>
  <si>
    <t>Galaxy Software Services Corp</t>
  </si>
  <si>
    <t>-1,20329833</t>
  </si>
  <si>
    <t>427.20</t>
  </si>
  <si>
    <t>617,832,837.00</t>
  </si>
  <si>
    <t>PLY.AX</t>
  </si>
  <si>
    <t>Playside Studios Ltd</t>
  </si>
  <si>
    <t>-6,1%</t>
  </si>
  <si>
    <t>2,315,675,653.00</t>
  </si>
  <si>
    <t>ALFOC.PA</t>
  </si>
  <si>
    <t>Focus Entertainment SA</t>
  </si>
  <si>
    <t>-0,2775571</t>
  </si>
  <si>
    <t>19,585,761,412.00</t>
  </si>
  <si>
    <t>INTB.NS</t>
  </si>
  <si>
    <t>Innovana Thinklabs Ltd</t>
  </si>
  <si>
    <t>34,662,822.00</t>
  </si>
  <si>
    <t>EBIX.OQ</t>
  </si>
  <si>
    <t>Ebix Inc</t>
  </si>
  <si>
    <t>-22,54</t>
  </si>
  <si>
    <t>2.85</t>
  </si>
  <si>
    <t>52.43</t>
  </si>
  <si>
    <t>220.16</t>
  </si>
  <si>
    <t>2,273,025.00</t>
  </si>
  <si>
    <t>4192.T</t>
  </si>
  <si>
    <t>SpiderPlus &amp; Co</t>
  </si>
  <si>
    <t>-21,1%</t>
  </si>
  <si>
    <t>40.33</t>
  </si>
  <si>
    <t>106,551,722.00</t>
  </si>
  <si>
    <t>UPLD.OQ</t>
  </si>
  <si>
    <t>Upland Software Inc</t>
  </si>
  <si>
    <t>-0,607688927</t>
  </si>
  <si>
    <t>-10,44</t>
  </si>
  <si>
    <t>6.12</t>
  </si>
  <si>
    <t>201,958,169.00</t>
  </si>
  <si>
    <t>NACON.PA</t>
  </si>
  <si>
    <t>Nacon SAS</t>
  </si>
  <si>
    <t>-83,43859365</t>
  </si>
  <si>
    <t>17.32</t>
  </si>
  <si>
    <t>7.10</t>
  </si>
  <si>
    <t>30,000,000.00</t>
  </si>
  <si>
    <t>3793.T</t>
  </si>
  <si>
    <t>Drecom Co Ltd</t>
  </si>
  <si>
    <t>-8,78</t>
  </si>
  <si>
    <t>17.72</t>
  </si>
  <si>
    <t>2.08</t>
  </si>
  <si>
    <t>225,626,095.00</t>
  </si>
  <si>
    <t>3763.T</t>
  </si>
  <si>
    <t>Pro-Ship Inc</t>
  </si>
  <si>
    <t>-10,61</t>
  </si>
  <si>
    <t>-1.43</t>
  </si>
  <si>
    <t>-1.05</t>
  </si>
  <si>
    <t>3.09</t>
  </si>
  <si>
    <t>7,247,131.00</t>
  </si>
  <si>
    <t>AIRE.OQ</t>
  </si>
  <si>
    <t>reAlpha Tech Corp</t>
  </si>
  <si>
    <t>8.52</t>
  </si>
  <si>
    <t>1,253,855,174.00</t>
  </si>
  <si>
    <t>IH.N</t>
  </si>
  <si>
    <t>Ihuman Inc</t>
  </si>
  <si>
    <t>-1,479069918</t>
  </si>
  <si>
    <t>6.93</t>
  </si>
  <si>
    <t>46,322,455.00</t>
  </si>
  <si>
    <t>ONMO.NS</t>
  </si>
  <si>
    <t>Onmobile Global Ltd</t>
  </si>
  <si>
    <t>40,889,738.00</t>
  </si>
  <si>
    <t>SPRP.WA</t>
  </si>
  <si>
    <t>Spyrosoft SA</t>
  </si>
  <si>
    <t>28.39</t>
  </si>
  <si>
    <t>5,000,600.00</t>
  </si>
  <si>
    <t>IFCM3.SA</t>
  </si>
  <si>
    <t>Infracommerce CXAAS SA</t>
  </si>
  <si>
    <t>-158.39</t>
  </si>
  <si>
    <t>3,555,247.00</t>
  </si>
  <si>
    <t>1588.HK</t>
  </si>
  <si>
    <t>Chanjet Information Technology Co Ltd</t>
  </si>
  <si>
    <t>-12,31018158</t>
  </si>
  <si>
    <t>81,987.11</t>
  </si>
  <si>
    <t>6,603,192,848.00</t>
  </si>
  <si>
    <t>4382.T</t>
  </si>
  <si>
    <t>HEROZ Inc</t>
  </si>
  <si>
    <t>-0,049805885</t>
  </si>
  <si>
    <t>307,955,909.00</t>
  </si>
  <si>
    <t>MTRK.AS</t>
  </si>
  <si>
    <t>Motork PLC</t>
  </si>
  <si>
    <t>-8,9%</t>
  </si>
  <si>
    <t>206.51</t>
  </si>
  <si>
    <t>5,290,856.00</t>
  </si>
  <si>
    <t>136540.KQ</t>
  </si>
  <si>
    <t>Wins Co Ltd</t>
  </si>
  <si>
    <t>-0,95095982</t>
  </si>
  <si>
    <t>-21,09</t>
  </si>
  <si>
    <t>-1.35</t>
  </si>
  <si>
    <t>19.77</t>
  </si>
  <si>
    <t>-2.11</t>
  </si>
  <si>
    <t>33.48</t>
  </si>
  <si>
    <t>20,357,870.00</t>
  </si>
  <si>
    <t>FPIP.ST</t>
  </si>
  <si>
    <t>FormPipe Software AB</t>
  </si>
  <si>
    <t>-29,00</t>
  </si>
  <si>
    <t>66.34</t>
  </si>
  <si>
    <t>-1.91</t>
  </si>
  <si>
    <t>18,544,570.00</t>
  </si>
  <si>
    <t>G5EN.ST</t>
  </si>
  <si>
    <t>G5 Entertainment AB (publ)</t>
  </si>
  <si>
    <t>-16,26</t>
  </si>
  <si>
    <t>6.52</t>
  </si>
  <si>
    <t>2,477,400.00</t>
  </si>
  <si>
    <t>MAPS.OQ</t>
  </si>
  <si>
    <t>WM Technology Inc</t>
  </si>
  <si>
    <t>20,013,702.00</t>
  </si>
  <si>
    <t>8416.TWO</t>
  </si>
  <si>
    <t>Solidwizard Technology Co Ltd</t>
  </si>
  <si>
    <t>3,826,520.00</t>
  </si>
  <si>
    <t>226330.KQ</t>
  </si>
  <si>
    <t>SyntekaBio Inc</t>
  </si>
  <si>
    <t>########</t>
  </si>
  <si>
    <t>25,584,594.00</t>
  </si>
  <si>
    <t>RTME.PK</t>
  </si>
  <si>
    <t>RTCore Inc</t>
  </si>
  <si>
    <t>-0,943047545</t>
  </si>
  <si>
    <t>-1.70</t>
  </si>
  <si>
    <t>2.81</t>
  </si>
  <si>
    <t>39.15</t>
  </si>
  <si>
    <t>-3.42</t>
  </si>
  <si>
    <t>37.55</t>
  </si>
  <si>
    <t>6,595,192.00</t>
  </si>
  <si>
    <t>051160.KQ</t>
  </si>
  <si>
    <t>Gaeasoft</t>
  </si>
  <si>
    <t>60,746,743.00</t>
  </si>
  <si>
    <t>SPHN.L</t>
  </si>
  <si>
    <t>Sopheon PLC</t>
  </si>
  <si>
    <t>-18,54705239</t>
  </si>
  <si>
    <t>181.88</t>
  </si>
  <si>
    <t>865,768,624.00</t>
  </si>
  <si>
    <t>GHT.L</t>
  </si>
  <si>
    <t>Gresham Technologies PLC</t>
  </si>
  <si>
    <t>1.56</t>
  </si>
  <si>
    <t>28.22</t>
  </si>
  <si>
    <t>51.32</t>
  </si>
  <si>
    <t>767,909,603.00</t>
  </si>
  <si>
    <t>IFOB.NS</t>
  </si>
  <si>
    <t>Infobeans Technologies Ltd</t>
  </si>
  <si>
    <t>165.81</t>
  </si>
  <si>
    <t>7,828,769,489.00</t>
  </si>
  <si>
    <t>950190.KQ</t>
  </si>
  <si>
    <t>Ghost Studio Co Ltd</t>
  </si>
  <si>
    <t>21.61</t>
  </si>
  <si>
    <t>1,961,091,984.00</t>
  </si>
  <si>
    <t>123420.KQ</t>
  </si>
  <si>
    <t>WeMade Play Co Ltd</t>
  </si>
  <si>
    <t>4.20</t>
  </si>
  <si>
    <t>8.66</t>
  </si>
  <si>
    <t>6,000,000.00</t>
  </si>
  <si>
    <t>RMCS.NS</t>
  </si>
  <si>
    <t>Ramco Systems Ltd</t>
  </si>
  <si>
    <t>284,224,219.00</t>
  </si>
  <si>
    <t>SJJG.DE</t>
  </si>
  <si>
    <t>Serviceware SE</t>
  </si>
  <si>
    <t>-0,501713855</t>
  </si>
  <si>
    <t>379,147,970.00</t>
  </si>
  <si>
    <t>SYZ.TO</t>
  </si>
  <si>
    <t>Sylogist Ltd</t>
  </si>
  <si>
    <t>-1,837636153</t>
  </si>
  <si>
    <t>67,949,709.00</t>
  </si>
  <si>
    <t>4498.T</t>
  </si>
  <si>
    <t>Cybertrust Japan Co Ltd</t>
  </si>
  <si>
    <t>-10.36</t>
  </si>
  <si>
    <t>-6.90</t>
  </si>
  <si>
    <t>5,549,852.00</t>
  </si>
  <si>
    <t>9702.T</t>
  </si>
  <si>
    <t>ISB Corp</t>
  </si>
  <si>
    <t>12.54</t>
  </si>
  <si>
    <t>60.38</t>
  </si>
  <si>
    <t>2.25</t>
  </si>
  <si>
    <t>182.13</t>
  </si>
  <si>
    <t>36,697,608.00</t>
  </si>
  <si>
    <t>222810.KQ</t>
  </si>
  <si>
    <t>Setopia Co Ltd</t>
  </si>
  <si>
    <t>492,766,617.00</t>
  </si>
  <si>
    <t>ADTH.OQ</t>
  </si>
  <si>
    <t>AdTheorent Holding Company Inc</t>
  </si>
  <si>
    <t>-2,272862757</t>
  </si>
  <si>
    <t>-0.47</t>
  </si>
  <si>
    <t>-1.21</t>
  </si>
  <si>
    <t>3,192,883.00</t>
  </si>
  <si>
    <t>AVQ.PA</t>
  </si>
  <si>
    <t>Claranova SE</t>
  </si>
  <si>
    <t>10.20</t>
  </si>
  <si>
    <t>18,160,000.00</t>
  </si>
  <si>
    <t>PRFr.AT</t>
  </si>
  <si>
    <t>Profile Systems and Software SA</t>
  </si>
  <si>
    <t>1,141,267,854.00</t>
  </si>
  <si>
    <t>1745.HK</t>
  </si>
  <si>
    <t>Lvji Technology Holdings Inc</t>
  </si>
  <si>
    <t>2.50</t>
  </si>
  <si>
    <t>19,004,444.00</t>
  </si>
  <si>
    <t>LEMON.HE</t>
  </si>
  <si>
    <t>Lemonsoft Oyj</t>
  </si>
  <si>
    <t>20.58</t>
  </si>
  <si>
    <t>41.25</t>
  </si>
  <si>
    <t>54,656,335.00</t>
  </si>
  <si>
    <t>6047.T</t>
  </si>
  <si>
    <t>Gunosy Inc</t>
  </si>
  <si>
    <t>-4,3%</t>
  </si>
  <si>
    <t>6.89</t>
  </si>
  <si>
    <t>43.91</t>
  </si>
  <si>
    <t>620,410,158.00</t>
  </si>
  <si>
    <t>CSHG.DE</t>
  </si>
  <si>
    <t>CENIT AG</t>
  </si>
  <si>
    <t>1.37</t>
  </si>
  <si>
    <t>1,618.69</t>
  </si>
  <si>
    <t>78,505,003.00</t>
  </si>
  <si>
    <t>1961.HK</t>
  </si>
  <si>
    <t>Infinities Technology International (Cayman) Holding Ltd</t>
  </si>
  <si>
    <t>-43,3%</t>
  </si>
  <si>
    <t>4.58</t>
  </si>
  <si>
    <t>11.97</t>
  </si>
  <si>
    <t>3,283,714.00</t>
  </si>
  <si>
    <t>ESYGn.H</t>
  </si>
  <si>
    <t>Easy Software AG</t>
  </si>
  <si>
    <t>-0,213559994</t>
  </si>
  <si>
    <t>5.65</t>
  </si>
  <si>
    <t>863,767,466.00</t>
  </si>
  <si>
    <t>SPPL.OQ</t>
  </si>
  <si>
    <t>Simpple Ltd</t>
  </si>
  <si>
    <t>-9,7%</t>
  </si>
  <si>
    <t>3.46</t>
  </si>
  <si>
    <t>34.62</t>
  </si>
  <si>
    <t>371,904,560.00</t>
  </si>
  <si>
    <t>3903.T</t>
  </si>
  <si>
    <t>gumi Inc</t>
  </si>
  <si>
    <t>-3,621808072</t>
  </si>
  <si>
    <t>16,416,623.00</t>
  </si>
  <si>
    <t>205100.KQ</t>
  </si>
  <si>
    <t>Exem Co Ltd</t>
  </si>
  <si>
    <t>2,377,750,314.00</t>
  </si>
  <si>
    <t>SDWL.PK</t>
  </si>
  <si>
    <t>Shengda Network Technology Inc</t>
  </si>
  <si>
    <t>10.51</t>
  </si>
  <si>
    <t>604,795,417.00</t>
  </si>
  <si>
    <t>SJ.OQ</t>
  </si>
  <si>
    <t>Scienjoy Holding Corp</t>
  </si>
  <si>
    <t>43.01</t>
  </si>
  <si>
    <t>1,664,869,506.00</t>
  </si>
  <si>
    <t>KES.VI</t>
  </si>
  <si>
    <t>Kostad AG</t>
  </si>
  <si>
    <t>6,513,675.00</t>
  </si>
  <si>
    <t>CHECK.ST</t>
  </si>
  <si>
    <t>Checkin.com Group AB</t>
  </si>
  <si>
    <t>2,160,533,090.00</t>
  </si>
  <si>
    <t>CIG.WA</t>
  </si>
  <si>
    <t>CI Games SA</t>
  </si>
  <si>
    <t>-3,31060709</t>
  </si>
  <si>
    <t>13.02</t>
  </si>
  <si>
    <t>956,665,066.00</t>
  </si>
  <si>
    <t>300080.KQ</t>
  </si>
  <si>
    <t>Flitto Inc</t>
  </si>
  <si>
    <t>-42,7%</t>
  </si>
  <si>
    <t>2.28</t>
  </si>
  <si>
    <t>36.94</t>
  </si>
  <si>
    <t>11.46</t>
  </si>
  <si>
    <t>11,469,842.00</t>
  </si>
  <si>
    <t>5591.T</t>
  </si>
  <si>
    <t>AVILEN Inc</t>
  </si>
  <si>
    <t>-1,528928393</t>
  </si>
  <si>
    <t>57.41</t>
  </si>
  <si>
    <t>7,418,500.00</t>
  </si>
  <si>
    <t>WHEN.PK</t>
  </si>
  <si>
    <t>World Health Energy Holdings Inc</t>
  </si>
  <si>
    <t>-4,498,3%</t>
  </si>
  <si>
    <t>430,000,000.00</t>
  </si>
  <si>
    <t>ERD.NZ</t>
  </si>
  <si>
    <t>EROAD Ltd</t>
  </si>
  <si>
    <t>-0,202427513</t>
  </si>
  <si>
    <t>8.46</t>
  </si>
  <si>
    <t>23.53</t>
  </si>
  <si>
    <t>856,201.00</t>
  </si>
  <si>
    <t>3800.T</t>
  </si>
  <si>
    <t>Unirita Inc</t>
  </si>
  <si>
    <t>3,617,528,387.00</t>
  </si>
  <si>
    <t>TEM1V.HE</t>
  </si>
  <si>
    <t>Tecnotree Oyj</t>
  </si>
  <si>
    <t>299,000,000.00</t>
  </si>
  <si>
    <t>3992.T</t>
  </si>
  <si>
    <t>Needs Well Inc</t>
  </si>
  <si>
    <t>64.97</t>
  </si>
  <si>
    <t>79,897,002.00</t>
  </si>
  <si>
    <t>3921.T</t>
  </si>
  <si>
    <t>Neojapan Inc</t>
  </si>
  <si>
    <t>-0,39</t>
  </si>
  <si>
    <t>25,691,186.00</t>
  </si>
  <si>
    <t>ONE.AX</t>
  </si>
  <si>
    <t>Oneview Healthcare PLC</t>
  </si>
  <si>
    <t>-99,2%</t>
  </si>
  <si>
    <t>49.51</t>
  </si>
  <si>
    <t>37,935,786.00</t>
  </si>
  <si>
    <t>086960.KQ</t>
  </si>
  <si>
    <t>MDS Tech Inc</t>
  </si>
  <si>
    <t>-0,050160733</t>
  </si>
  <si>
    <t>-1,81</t>
  </si>
  <si>
    <t>58.16</t>
  </si>
  <si>
    <t>18,660,129.00</t>
  </si>
  <si>
    <t>YOYO.CO</t>
  </si>
  <si>
    <t>OrderYOYO A/S</t>
  </si>
  <si>
    <t>3.05</t>
  </si>
  <si>
    <t>2,611,470,494.00</t>
  </si>
  <si>
    <t>W5.ST</t>
  </si>
  <si>
    <t>W5 Solutions AB (publ)</t>
  </si>
  <si>
    <t>-0,275832543</t>
  </si>
  <si>
    <t>60,427,780.00</t>
  </si>
  <si>
    <t>NINC.NS</t>
  </si>
  <si>
    <t>NINtec Systems Ltd</t>
  </si>
  <si>
    <t>19.70</t>
  </si>
  <si>
    <t>2.91</t>
  </si>
  <si>
    <t>53,267,083.00</t>
  </si>
  <si>
    <t>GROWE.MI</t>
  </si>
  <si>
    <t>Growens SpA</t>
  </si>
  <si>
    <t>-7,4%</t>
  </si>
  <si>
    <t>-0.75</t>
  </si>
  <si>
    <t>836,964,675.00</t>
  </si>
  <si>
    <t>AIFORIA.HE</t>
  </si>
  <si>
    <t>Aiforia Technologies Oyj</t>
  </si>
  <si>
    <t>-6,394134138</t>
  </si>
  <si>
    <t>-460,6%</t>
  </si>
  <si>
    <t>17.05</t>
  </si>
  <si>
    <t>479.14</t>
  </si>
  <si>
    <t>795,291,951.00</t>
  </si>
  <si>
    <t>099750.KQ</t>
  </si>
  <si>
    <t>ezCaretech Co Ltd</t>
  </si>
  <si>
    <t>-0,263647947</t>
  </si>
  <si>
    <t>5.23</t>
  </si>
  <si>
    <t>1.45</t>
  </si>
  <si>
    <t>1,152,381,437.00</t>
  </si>
  <si>
    <t>377030.KQ</t>
  </si>
  <si>
    <t>Maxst Co Ltd</t>
  </si>
  <si>
    <t>-1,63064544</t>
  </si>
  <si>
    <t>-2,592,6%</t>
  </si>
  <si>
    <t>4.31</t>
  </si>
  <si>
    <t>50.04</t>
  </si>
  <si>
    <t>66,458,256.00</t>
  </si>
  <si>
    <t>054620.KQ</t>
  </si>
  <si>
    <t>APS Inc</t>
  </si>
  <si>
    <t>-0,949746626</t>
  </si>
  <si>
    <t>-47,7%</t>
  </si>
  <si>
    <t>-0.07</t>
  </si>
  <si>
    <t>27.29</t>
  </si>
  <si>
    <t>154.94</t>
  </si>
  <si>
    <t>144.32</t>
  </si>
  <si>
    <t>2,417,199.00</t>
  </si>
  <si>
    <t>4393.T</t>
  </si>
  <si>
    <t>Bank of Innovation Inc</t>
  </si>
  <si>
    <t>-6,718967194</t>
  </si>
  <si>
    <t>26.57</t>
  </si>
  <si>
    <t>138.02</t>
  </si>
  <si>
    <t>251,746,635.00</t>
  </si>
  <si>
    <t>TSK.AX</t>
  </si>
  <si>
    <t>Task Group Holdings Ltd</t>
  </si>
  <si>
    <t>14.74</t>
  </si>
  <si>
    <t>42,090,329.00</t>
  </si>
  <si>
    <t>FCUV.OQ</t>
  </si>
  <si>
    <t>Focus Universal Inc</t>
  </si>
  <si>
    <t>-1,089097864</t>
  </si>
  <si>
    <t>-693,2%</t>
  </si>
  <si>
    <t>27.88</t>
  </si>
  <si>
    <t>1,947,129,761.00</t>
  </si>
  <si>
    <t>XPR.MI</t>
  </si>
  <si>
    <t>Exprivia SpA</t>
  </si>
  <si>
    <t>2.16</t>
  </si>
  <si>
    <t>4.49</t>
  </si>
  <si>
    <t>28,210,710.00</t>
  </si>
  <si>
    <t>EDATA.IS</t>
  </si>
  <si>
    <t>E-Data Teknoloji Pazarlama AS</t>
  </si>
  <si>
    <t>19.11</t>
  </si>
  <si>
    <t>9.93</t>
  </si>
  <si>
    <t>82,963,825.00</t>
  </si>
  <si>
    <t>AND.AX</t>
  </si>
  <si>
    <t>Ansarada Group Ltd</t>
  </si>
  <si>
    <t>85,535,147.00</t>
  </si>
  <si>
    <t>RMBL.OQ</t>
  </si>
  <si>
    <t>RumbleOn Inc</t>
  </si>
  <si>
    <t>-1,495073892</t>
  </si>
  <si>
    <t>32,610,361.00</t>
  </si>
  <si>
    <t>9550.SE</t>
  </si>
  <si>
    <t>Sure Global Tech Company SJSC</t>
  </si>
  <si>
    <t>9.38</t>
  </si>
  <si>
    <t>13,864,162.00</t>
  </si>
  <si>
    <t>IOD.AX</t>
  </si>
  <si>
    <t>Iodm Ltd</t>
  </si>
  <si>
    <t>-150,9%</t>
  </si>
  <si>
    <t>13.70</t>
  </si>
  <si>
    <t>3.79</t>
  </si>
  <si>
    <t>412,200,790.00</t>
  </si>
  <si>
    <t>4414.T</t>
  </si>
  <si>
    <t>Flect Co Ltd</t>
  </si>
  <si>
    <t>-0,240710579</t>
  </si>
  <si>
    <t>2.04</t>
  </si>
  <si>
    <t>1,337,433,279.00</t>
  </si>
  <si>
    <t>TFAS.JK</t>
  </si>
  <si>
    <t>Telefast Indonesia Tbk PT</t>
  </si>
  <si>
    <t>285,278,272.00</t>
  </si>
  <si>
    <t>ACCI.L</t>
  </si>
  <si>
    <t>Access Intelligence PLC</t>
  </si>
  <si>
    <t>26.87</t>
  </si>
  <si>
    <t>21,633,597.00</t>
  </si>
  <si>
    <t>UPG.BR</t>
  </si>
  <si>
    <t>Unifiedpost Group SA</t>
  </si>
  <si>
    <t>-0,438654583</t>
  </si>
  <si>
    <t>83.08</t>
  </si>
  <si>
    <t>96,238,601.00</t>
  </si>
  <si>
    <t>ELCO.L</t>
  </si>
  <si>
    <t>Eleco PLC</t>
  </si>
  <si>
    <t>-3,837278802</t>
  </si>
  <si>
    <t>44.75</t>
  </si>
  <si>
    <t>400,000,000.00</t>
  </si>
  <si>
    <t>3570.TWO</t>
  </si>
  <si>
    <t>Otsuka Information Technology Corp</t>
  </si>
  <si>
    <t>6.91</t>
  </si>
  <si>
    <t>27.59</t>
  </si>
  <si>
    <t>85,611,078.00</t>
  </si>
  <si>
    <t>2458.HK</t>
  </si>
  <si>
    <t>Gala Technology Holding Ltd</t>
  </si>
  <si>
    <t>720,544,746.00</t>
  </si>
  <si>
    <t>430690.KQ</t>
  </si>
  <si>
    <t>Hanssak Co Ltd</t>
  </si>
  <si>
    <t>4.87</t>
  </si>
  <si>
    <t>48.96</t>
  </si>
  <si>
    <t>61,590,492.00</t>
  </si>
  <si>
    <t>SOFb.ST</t>
  </si>
  <si>
    <t>Softronic AB</t>
  </si>
  <si>
    <t>15.15</t>
  </si>
  <si>
    <t>28,690,500.00</t>
  </si>
  <si>
    <t>3723.T</t>
  </si>
  <si>
    <t>Nihon Falcom Corp</t>
  </si>
  <si>
    <t>51.68</t>
  </si>
  <si>
    <t>13,981,411.00</t>
  </si>
  <si>
    <t>352910.KQ</t>
  </si>
  <si>
    <t>Obigo Inc</t>
  </si>
  <si>
    <t>5,414,000.00</t>
  </si>
  <si>
    <t>4420.T</t>
  </si>
  <si>
    <t>eSOL Co Ltd</t>
  </si>
  <si>
    <t>-0,392221197</t>
  </si>
  <si>
    <t>14.33</t>
  </si>
  <si>
    <t>140,099,427.00</t>
  </si>
  <si>
    <t>CYRB.PK</t>
  </si>
  <si>
    <t>Cyber App cCorp</t>
  </si>
  <si>
    <t>21,197,160.00</t>
  </si>
  <si>
    <t>2471.TW</t>
  </si>
  <si>
    <t>Ares International Corp</t>
  </si>
  <si>
    <t>19.41</t>
  </si>
  <si>
    <t>4,522,290,714.00</t>
  </si>
  <si>
    <t>274400.KQ</t>
  </si>
  <si>
    <t>InnoSimulation Co Ltd</t>
  </si>
  <si>
    <t>24.72</t>
  </si>
  <si>
    <t>224,199,312.00</t>
  </si>
  <si>
    <t>3853.T</t>
  </si>
  <si>
    <t>Asteria Corp</t>
  </si>
  <si>
    <t>-10,56725765</t>
  </si>
  <si>
    <t>-300,1%</t>
  </si>
  <si>
    <t>159,249,358.00</t>
  </si>
  <si>
    <t>LINK.IS</t>
  </si>
  <si>
    <t>Link Bilgisayar Sistemleri Yazilimi ve Donanimi Sanayi ve Ticaret AS</t>
  </si>
  <si>
    <t>-8,502861676</t>
  </si>
  <si>
    <t>18,965,115.00</t>
  </si>
  <si>
    <t>0046.HK</t>
  </si>
  <si>
    <t>Computer and Technologies Holdings Ltd</t>
  </si>
  <si>
    <t>15,588,957.00</t>
  </si>
  <si>
    <t>5244.T</t>
  </si>
  <si>
    <t>jig.jp Co Ltd</t>
  </si>
  <si>
    <t>6.11</t>
  </si>
  <si>
    <t>178,362,707.00</t>
  </si>
  <si>
    <t>EOL.AX</t>
  </si>
  <si>
    <t>Energy One Ltd</t>
  </si>
  <si>
    <t>8.50</t>
  </si>
  <si>
    <t>98.85</t>
  </si>
  <si>
    <t>81,930,494.00</t>
  </si>
  <si>
    <t>AOM.L</t>
  </si>
  <si>
    <t>ActiveOps PLC</t>
  </si>
  <si>
    <t>57,284,527.00</t>
  </si>
  <si>
    <t>4811.T</t>
  </si>
  <si>
    <t>DreamArts Corp</t>
  </si>
  <si>
    <t>-2,138248848</t>
  </si>
  <si>
    <t>563.81</t>
  </si>
  <si>
    <t>1,805,814,685.00</t>
  </si>
  <si>
    <t>391710.KQ</t>
  </si>
  <si>
    <t>Kornic Automation Co Ltd</t>
  </si>
  <si>
    <t>147,666,390.00</t>
  </si>
  <si>
    <t>ARQQ.OQ</t>
  </si>
  <si>
    <t>Arqit Quantum Inc</t>
  </si>
  <si>
    <t>32,847,366.00</t>
  </si>
  <si>
    <t>SNSN.KL</t>
  </si>
  <si>
    <t>SNS Network Technology Bhd</t>
  </si>
  <si>
    <t>-0,154369075</t>
  </si>
  <si>
    <t>67,044,584.00</t>
  </si>
  <si>
    <t>GREAT.ST</t>
  </si>
  <si>
    <t>Greater Than AB</t>
  </si>
  <si>
    <t>407,884,701.00</t>
  </si>
  <si>
    <t>AUID.OQ</t>
  </si>
  <si>
    <t>Authid Inc</t>
  </si>
  <si>
    <t>-0,011367969</t>
  </si>
  <si>
    <t>-4,329,8%</t>
  </si>
  <si>
    <t>12,355,504.00</t>
  </si>
  <si>
    <t>RBT.N</t>
  </si>
  <si>
    <t>Rubicon Technologies Inc</t>
  </si>
  <si>
    <t>-0,373074502</t>
  </si>
  <si>
    <t>412,305,636.00</t>
  </si>
  <si>
    <t>FZRO.PK</t>
  </si>
  <si>
    <t>CS Diagnostics Corp</t>
  </si>
  <si>
    <t>-0,535552415</t>
  </si>
  <si>
    <t>828,344.00</t>
  </si>
  <si>
    <t>150900.KQ</t>
  </si>
  <si>
    <t>Fasoo Co Ltd</t>
  </si>
  <si>
    <t>12,925,828.00</t>
  </si>
  <si>
    <t>234300.KQ</t>
  </si>
  <si>
    <t>STraffic Co Ltd</t>
  </si>
  <si>
    <t>65,048,925.00</t>
  </si>
  <si>
    <t>GLBX.TA</t>
  </si>
  <si>
    <t>Glassbox Ltd</t>
  </si>
  <si>
    <t>-43,4%</t>
  </si>
  <si>
    <t>15.84</t>
  </si>
  <si>
    <t>114.57</t>
  </si>
  <si>
    <t>250,132,454.00</t>
  </si>
  <si>
    <t>ZFOX.OQ</t>
  </si>
  <si>
    <t>ZeroFox Holdings Inc</t>
  </si>
  <si>
    <t>-0,062494205</t>
  </si>
  <si>
    <t>-12,4%</t>
  </si>
  <si>
    <t>263,836,033.00</t>
  </si>
  <si>
    <t>450520.KQ</t>
  </si>
  <si>
    <t>Inswave Systems Co Ltd</t>
  </si>
  <si>
    <t>-3,107671674</t>
  </si>
  <si>
    <t>1,003,475,250.00</t>
  </si>
  <si>
    <t>9558.SE</t>
  </si>
  <si>
    <t>Alqemam for Computer Systems Co</t>
  </si>
  <si>
    <t>7.91</t>
  </si>
  <si>
    <t>673,630,150.00</t>
  </si>
  <si>
    <t>LOIHDE.HE</t>
  </si>
  <si>
    <t>Loihde Oyj</t>
  </si>
  <si>
    <t>180.27</t>
  </si>
  <si>
    <t>691,229,485.00</t>
  </si>
  <si>
    <t>FORA.TO</t>
  </si>
  <si>
    <t>VerticalScope Holdings Inc</t>
  </si>
  <si>
    <t>4.39</t>
  </si>
  <si>
    <t>136.62</t>
  </si>
  <si>
    <t>151.01</t>
  </si>
  <si>
    <t>168,500,000.00</t>
  </si>
  <si>
    <t>FORA.OQ</t>
  </si>
  <si>
    <t>Forian Inc</t>
  </si>
  <si>
    <t>-2,676514267</t>
  </si>
  <si>
    <t>-30,3%</t>
  </si>
  <si>
    <t>4,745,728,041.00</t>
  </si>
  <si>
    <t>5137.T</t>
  </si>
  <si>
    <t>SmartDrive Inc</t>
  </si>
  <si>
    <t>-0,968398336</t>
  </si>
  <si>
    <t>27.35</t>
  </si>
  <si>
    <t>1,435,849,410.00</t>
  </si>
  <si>
    <t>078000.KS</t>
  </si>
  <si>
    <t>Telcoware Co Ltd</t>
  </si>
  <si>
    <t>-54,41478439</t>
  </si>
  <si>
    <t>50,100,000.00</t>
  </si>
  <si>
    <t>290090.KQ</t>
  </si>
  <si>
    <t>Twim Corp</t>
  </si>
  <si>
    <t>-8,6%</t>
  </si>
  <si>
    <t>7.59</t>
  </si>
  <si>
    <t>796,410,841.00</t>
  </si>
  <si>
    <t>ALDNE.PA</t>
  </si>
  <si>
    <t>Dont Nod Entertainment SA</t>
  </si>
  <si>
    <t>-0,019956978</t>
  </si>
  <si>
    <t>-75,0%</t>
  </si>
  <si>
    <t>10.07</t>
  </si>
  <si>
    <t>4.90</t>
  </si>
  <si>
    <t>36,271,180.00</t>
  </si>
  <si>
    <t>OBASE.IS</t>
  </si>
  <si>
    <t>Obase Bilgisayar ve Danismanlik Hizmetleri Ticaret AS</t>
  </si>
  <si>
    <t>-1,140897098</t>
  </si>
  <si>
    <t>3.97</t>
  </si>
  <si>
    <t>188.10</t>
  </si>
  <si>
    <t>1.49</t>
  </si>
  <si>
    <t>732,143,562.00</t>
  </si>
  <si>
    <t>4425.T</t>
  </si>
  <si>
    <t>Kudan Inc</t>
  </si>
  <si>
    <t>-449,5%</t>
  </si>
  <si>
    <t>8.27</t>
  </si>
  <si>
    <t>48.47</t>
  </si>
  <si>
    <t>75,637,880.00</t>
  </si>
  <si>
    <t>3969.T</t>
  </si>
  <si>
    <t>Atled Corp</t>
  </si>
  <si>
    <t>-0,334057682</t>
  </si>
  <si>
    <t>-0,95</t>
  </si>
  <si>
    <t>2,951,567.00</t>
  </si>
  <si>
    <t>042510.KQ</t>
  </si>
  <si>
    <t>RaonSecure Co Ltd</t>
  </si>
  <si>
    <t>5.51</t>
  </si>
  <si>
    <t>12.57</t>
  </si>
  <si>
    <t>105.00</t>
  </si>
  <si>
    <t>4.28</t>
  </si>
  <si>
    <t>293.61</t>
  </si>
  <si>
    <t>315,300,000.00</t>
  </si>
  <si>
    <t>3918.T</t>
  </si>
  <si>
    <t>PCI Holdings Inc</t>
  </si>
  <si>
    <t>799,859,463.00</t>
  </si>
  <si>
    <t>192250.KQ</t>
  </si>
  <si>
    <t>Ksign Co Ltd</t>
  </si>
  <si>
    <t>10.48</t>
  </si>
  <si>
    <t>117.98</t>
  </si>
  <si>
    <t>7.35</t>
  </si>
  <si>
    <t>687.68</t>
  </si>
  <si>
    <t>205,000,000.00</t>
  </si>
  <si>
    <t>VTNY.JK</t>
  </si>
  <si>
    <t>Venteny Fortuna International PT Tbk</t>
  </si>
  <si>
    <t>-1.06</t>
  </si>
  <si>
    <t>-1.25</t>
  </si>
  <si>
    <t>9.72</t>
  </si>
  <si>
    <t>6,545,633.00</t>
  </si>
  <si>
    <t>STZEb.ST</t>
  </si>
  <si>
    <t>Starbreeze AB</t>
  </si>
  <si>
    <t>2,461,061,247.00</t>
  </si>
  <si>
    <t>4644.T</t>
  </si>
  <si>
    <t>Imagineer Co Ltd</t>
  </si>
  <si>
    <t>-33,43</t>
  </si>
  <si>
    <t>23,940.61</t>
  </si>
  <si>
    <t>121,639,754.00</t>
  </si>
  <si>
    <t>ZOO.L</t>
  </si>
  <si>
    <t>Zoo Digital Group PLC</t>
  </si>
  <si>
    <t>-7,6%</t>
  </si>
  <si>
    <t>213,872,346.00</t>
  </si>
  <si>
    <t>UPSALE.ST</t>
  </si>
  <si>
    <t>Upsales Technology AB</t>
  </si>
  <si>
    <t>4.26</t>
  </si>
  <si>
    <t>138.34</t>
  </si>
  <si>
    <t>751,165,080.00</t>
  </si>
  <si>
    <t>UWAY.TA</t>
  </si>
  <si>
    <t>Userway Ltd</t>
  </si>
  <si>
    <t>-33,9%</t>
  </si>
  <si>
    <t>30.49</t>
  </si>
  <si>
    <t>3.19</t>
  </si>
  <si>
    <t>269,288,430.00</t>
  </si>
  <si>
    <t>4013.T</t>
  </si>
  <si>
    <t>Kinjiro Co Ltd</t>
  </si>
  <si>
    <t>5.73</t>
  </si>
  <si>
    <t>633,333,422.00</t>
  </si>
  <si>
    <t>IGP.L</t>
  </si>
  <si>
    <t>Intercede Group PLC</t>
  </si>
  <si>
    <t>29,924,028.00</t>
  </si>
  <si>
    <t>SIKRI.OL</t>
  </si>
  <si>
    <t>Sikri Group ASA</t>
  </si>
  <si>
    <t>11.02</t>
  </si>
  <si>
    <t>76,292,446.00</t>
  </si>
  <si>
    <t>GAN.OQ</t>
  </si>
  <si>
    <t>Gan Ltd</t>
  </si>
  <si>
    <t>-8,1%</t>
  </si>
  <si>
    <t>5.68</t>
  </si>
  <si>
    <t>11.48</t>
  </si>
  <si>
    <t>492.04</t>
  </si>
  <si>
    <t>50,330,543.00</t>
  </si>
  <si>
    <t>263700.KQ</t>
  </si>
  <si>
    <t>Carelabs Co Ltd</t>
  </si>
  <si>
    <t>-1,138668716</t>
  </si>
  <si>
    <t>9.92</t>
  </si>
  <si>
    <t>20,049,999.00</t>
  </si>
  <si>
    <t>CMCM.N</t>
  </si>
  <si>
    <t>Cheetah Mobile Inc</t>
  </si>
  <si>
    <t>-9,85133055</t>
  </si>
  <si>
    <t>137.61</t>
  </si>
  <si>
    <t>10,015,300.00</t>
  </si>
  <si>
    <t>4054.T</t>
  </si>
  <si>
    <t>Japan PropTech Co Ltd</t>
  </si>
  <si>
    <t>-68,88</t>
  </si>
  <si>
    <t>5,069,750.00</t>
  </si>
  <si>
    <t>3911.T</t>
  </si>
  <si>
    <t>Aiming Inc</t>
  </si>
  <si>
    <t>-1,7%</t>
  </si>
  <si>
    <t>67,503,508.00</t>
  </si>
  <si>
    <t>STIX.OQ</t>
  </si>
  <si>
    <t>Semantix Inc</t>
  </si>
  <si>
    <t>-12,3%</t>
  </si>
  <si>
    <t>12.43</t>
  </si>
  <si>
    <t>32,285,770.00</t>
  </si>
  <si>
    <t>CEIS.BO</t>
  </si>
  <si>
    <t>Ceinsys Tech Ltd</t>
  </si>
  <si>
    <t>-0,856213842</t>
  </si>
  <si>
    <t>-4.47</t>
  </si>
  <si>
    <t>8.10</t>
  </si>
  <si>
    <t>5,132,988.00</t>
  </si>
  <si>
    <t>054920.KQ</t>
  </si>
  <si>
    <t>Hancom With Inc</t>
  </si>
  <si>
    <t>5.74</t>
  </si>
  <si>
    <t>9.70</t>
  </si>
  <si>
    <t>216.85</t>
  </si>
  <si>
    <t>3.55</t>
  </si>
  <si>
    <t>272.38</t>
  </si>
  <si>
    <t>263,000,000.00</t>
  </si>
  <si>
    <t>ABRA.TA</t>
  </si>
  <si>
    <t>Abra Information Technologies Ltd</t>
  </si>
  <si>
    <t>-78,12420645</t>
  </si>
  <si>
    <t>3.29</t>
  </si>
  <si>
    <t>20.26</t>
  </si>
  <si>
    <t>131,907,002.00</t>
  </si>
  <si>
    <t>4320.T</t>
  </si>
  <si>
    <t>CE Holdings Co Ltd</t>
  </si>
  <si>
    <t>37.61</t>
  </si>
  <si>
    <t>20,068,057.00</t>
  </si>
  <si>
    <t>5248.T</t>
  </si>
  <si>
    <t>Technologies Inc</t>
  </si>
  <si>
    <t>137,367,145.00</t>
  </si>
  <si>
    <t>SFTS.L</t>
  </si>
  <si>
    <t>Software Circle PLC</t>
  </si>
  <si>
    <t>30.58</t>
  </si>
  <si>
    <t>64,755,383.00</t>
  </si>
  <si>
    <t>OSS.V</t>
  </si>
  <si>
    <t>OneSoft Solutions Inc</t>
  </si>
  <si>
    <t>-18,76502003</t>
  </si>
  <si>
    <t>-15,4%</t>
  </si>
  <si>
    <t>21,543,560.00</t>
  </si>
  <si>
    <t>276040.KQ</t>
  </si>
  <si>
    <t>Skonec Entertainment Co Ltd</t>
  </si>
  <si>
    <t>-91,5%</t>
  </si>
  <si>
    <t>153,400,505.00</t>
  </si>
  <si>
    <t>1980.HK</t>
  </si>
  <si>
    <t>Tian Ge Interactive Holdings Ltd</t>
  </si>
  <si>
    <t>-0,376575432</t>
  </si>
  <si>
    <t>-84,4%</t>
  </si>
  <si>
    <t>2,400,000.00</t>
  </si>
  <si>
    <t>ALLIX.PA</t>
  </si>
  <si>
    <t>Wallix Group SA</t>
  </si>
  <si>
    <t>-3,208628365</t>
  </si>
  <si>
    <t>241.37</t>
  </si>
  <si>
    <t>117,625,624.00</t>
  </si>
  <si>
    <t>KPEA.PK</t>
  </si>
  <si>
    <t>Kun Peng International Ltd</t>
  </si>
  <si>
    <t>-0,274218421</t>
  </si>
  <si>
    <t>-301,1%</t>
  </si>
  <si>
    <t>19,635,533.00</t>
  </si>
  <si>
    <t>BTH.AX</t>
  </si>
  <si>
    <t>Bigtincan Holdings Ltd</t>
  </si>
  <si>
    <t>-0.38</t>
  </si>
  <si>
    <t>18,040,585.00</t>
  </si>
  <si>
    <t>KBT.L</t>
  </si>
  <si>
    <t>K3 Business Technology Group PLC</t>
  </si>
  <si>
    <t>-0,119725906</t>
  </si>
  <si>
    <t>209.47</t>
  </si>
  <si>
    <t>22.74</t>
  </si>
  <si>
    <t>38,763,859.00</t>
  </si>
  <si>
    <t>DYNA.PK</t>
  </si>
  <si>
    <t>Dynastar Holdings Inc</t>
  </si>
  <si>
    <t>-0,876647834</t>
  </si>
  <si>
    <t>4.02</t>
  </si>
  <si>
    <t>18.93</t>
  </si>
  <si>
    <t>27.70</t>
  </si>
  <si>
    <t>345,758,380.00</t>
  </si>
  <si>
    <t>TBS.BB</t>
  </si>
  <si>
    <t>Telelink Business Services Group AD</t>
  </si>
  <si>
    <t>-0.22</t>
  </si>
  <si>
    <t>303.93</t>
  </si>
  <si>
    <t>-0.26</t>
  </si>
  <si>
    <t>97,896,800.00</t>
  </si>
  <si>
    <t>CLOD.KL</t>
  </si>
  <si>
    <t>Cloudpoint Technology Bhd</t>
  </si>
  <si>
    <t>70,140,908.00</t>
  </si>
  <si>
    <t>SLEEP.ST</t>
  </si>
  <si>
    <t>Sleep Cycle AB (publ)</t>
  </si>
  <si>
    <t>-0.09</t>
  </si>
  <si>
    <t>34,960,109.00</t>
  </si>
  <si>
    <t>064480.KQ</t>
  </si>
  <si>
    <t>Bridgetec Corp</t>
  </si>
  <si>
    <t>8.58</t>
  </si>
  <si>
    <t>21,412,300.00</t>
  </si>
  <si>
    <t>EXAI.MI</t>
  </si>
  <si>
    <t>ExpertAi SpA</t>
  </si>
  <si>
    <t>25.36</t>
  </si>
  <si>
    <t>4.38</t>
  </si>
  <si>
    <t>593,600,000.00</t>
  </si>
  <si>
    <t>FDEV.L</t>
  </si>
  <si>
    <t>Frontier Developments PLC</t>
  </si>
  <si>
    <t>-2,94307601</t>
  </si>
  <si>
    <t>1,222,384,600.00</t>
  </si>
  <si>
    <t>3804.T</t>
  </si>
  <si>
    <t>System D Inc</t>
  </si>
  <si>
    <t>-2,277915633</t>
  </si>
  <si>
    <t>-5,07</t>
  </si>
  <si>
    <t>8.64</t>
  </si>
  <si>
    <t>28,162,113.00</t>
  </si>
  <si>
    <t>ALSTW.PA</t>
  </si>
  <si>
    <t>Streamwide SA</t>
  </si>
  <si>
    <t>-0.48</t>
  </si>
  <si>
    <t>1.14</t>
  </si>
  <si>
    <t>39,478,535.00</t>
  </si>
  <si>
    <t>TCXT.V</t>
  </si>
  <si>
    <t>Truecontext Corp</t>
  </si>
  <si>
    <t>9.15</t>
  </si>
  <si>
    <t>43.50</t>
  </si>
  <si>
    <t>108,953,058.00</t>
  </si>
  <si>
    <t>NGRD3.SA</t>
  </si>
  <si>
    <t>Neogrid Participacoes SA</t>
  </si>
  <si>
    <t>-1,428831674</t>
  </si>
  <si>
    <t>2,000,000,000.00</t>
  </si>
  <si>
    <t>4258.T</t>
  </si>
  <si>
    <t>Amiya Corp</t>
  </si>
  <si>
    <t>7.22</t>
  </si>
  <si>
    <t>4.40</t>
  </si>
  <si>
    <t>53,304,468.00</t>
  </si>
  <si>
    <t>4193.T</t>
  </si>
  <si>
    <t>Fabrica Communications Co Ltd</t>
  </si>
  <si>
    <t>1.29</t>
  </si>
  <si>
    <t>35,955,048.00</t>
  </si>
  <si>
    <t>ALC.AX</t>
  </si>
  <si>
    <t>Alcidion Group Ltd</t>
  </si>
  <si>
    <t>60,647,380.00</t>
  </si>
  <si>
    <t>417860.KQ</t>
  </si>
  <si>
    <t>Obzen Inc</t>
  </si>
  <si>
    <t>-0,455988151</t>
  </si>
  <si>
    <t>3.20</t>
  </si>
  <si>
    <t>566.81</t>
  </si>
  <si>
    <t>1.98</t>
  </si>
  <si>
    <t>32.74</t>
  </si>
  <si>
    <t>93,747,066.00</t>
  </si>
  <si>
    <t>4667.T</t>
  </si>
  <si>
    <t>Aisan Technology Co Ltd</t>
  </si>
  <si>
    <t>-0,826821867</t>
  </si>
  <si>
    <t>-5,86</t>
  </si>
  <si>
    <t>71,822,753.00</t>
  </si>
  <si>
    <t>WIMI.OQ</t>
  </si>
  <si>
    <t>WiMi Hologram Cloud Inc</t>
  </si>
  <si>
    <t>-49,5%</t>
  </si>
  <si>
    <t>17.23</t>
  </si>
  <si>
    <t>8.55</t>
  </si>
  <si>
    <t>33,635,000.00</t>
  </si>
  <si>
    <t>SSH1V.HE</t>
  </si>
  <si>
    <t>SSH Communications Security Oyj</t>
  </si>
  <si>
    <t>-0,163472491</t>
  </si>
  <si>
    <t>284,122,657.00</t>
  </si>
  <si>
    <t>AURR.L</t>
  </si>
  <si>
    <t>Aurrigo International PLC</t>
  </si>
  <si>
    <t>-2,294955027</t>
  </si>
  <si>
    <t>-57,9%</t>
  </si>
  <si>
    <t>126,058,234.00</t>
  </si>
  <si>
    <t>QUBT.OQ</t>
  </si>
  <si>
    <t>Quantum Computing Inc</t>
  </si>
  <si>
    <t>-0,1197411</t>
  </si>
  <si>
    <t>-1.44</t>
  </si>
  <si>
    <t>-0.67</t>
  </si>
  <si>
    <t>15,873,120.00</t>
  </si>
  <si>
    <t>SHAPE.CO</t>
  </si>
  <si>
    <t>Shape Robotics A/S</t>
  </si>
  <si>
    <t>-0,223314035</t>
  </si>
  <si>
    <t>8,925,495.00</t>
  </si>
  <si>
    <t>288980.KQ</t>
  </si>
  <si>
    <t>MoaData Co Ltd</t>
  </si>
  <si>
    <t>2.05</t>
  </si>
  <si>
    <t>10.78</t>
  </si>
  <si>
    <t>11,654,922.00</t>
  </si>
  <si>
    <t>4389.T</t>
  </si>
  <si>
    <t>Property Data Bank Inc</t>
  </si>
  <si>
    <t>29,685,769.00</t>
  </si>
  <si>
    <t>6590.TWO</t>
  </si>
  <si>
    <t>Provision Information Co Ltd</t>
  </si>
  <si>
    <t>220,480,033.00</t>
  </si>
  <si>
    <t>RHT.V</t>
  </si>
  <si>
    <t>Reliq Health Technologies Inc</t>
  </si>
  <si>
    <t>-3.11</t>
  </si>
  <si>
    <t>-10.27</t>
  </si>
  <si>
    <t>709,576,301.00</t>
  </si>
  <si>
    <t>348030.KQ</t>
  </si>
  <si>
    <t>Mobirix Corp</t>
  </si>
  <si>
    <t>-0,036765814</t>
  </si>
  <si>
    <t>86,752,302.00</t>
  </si>
  <si>
    <t>373170.KQ</t>
  </si>
  <si>
    <t>MICube Solution Inc</t>
  </si>
  <si>
    <t>0.52</t>
  </si>
  <si>
    <t>-1.30</t>
  </si>
  <si>
    <t>44,698,931.00</t>
  </si>
  <si>
    <t>0082.HK</t>
  </si>
  <si>
    <t>Crazy Sports Group Ltd</t>
  </si>
  <si>
    <t>725,836,565.00</t>
  </si>
  <si>
    <t>SMSI.OQ</t>
  </si>
  <si>
    <t>Smith Micro Software Inc</t>
  </si>
  <si>
    <t>-3,200842485</t>
  </si>
  <si>
    <t>-29,0%</t>
  </si>
  <si>
    <t>819,577,000.00</t>
  </si>
  <si>
    <t>3850.T</t>
  </si>
  <si>
    <t>NTT Data Intramart Corp</t>
  </si>
  <si>
    <t>-0,298967703</t>
  </si>
  <si>
    <t>97,223,508.00</t>
  </si>
  <si>
    <t>GMGZ.PK</t>
  </si>
  <si>
    <t>Genuine Marketing Group Inc</t>
  </si>
  <si>
    <t>7.65</t>
  </si>
  <si>
    <t>54,187,224.00</t>
  </si>
  <si>
    <t>060850.KQ</t>
  </si>
  <si>
    <t>YoungLimWon SoftLab Co Ltd</t>
  </si>
  <si>
    <t>15.67</t>
  </si>
  <si>
    <t>88.75</t>
  </si>
  <si>
    <t>332,784,461.00</t>
  </si>
  <si>
    <t>434480.KQ</t>
  </si>
  <si>
    <t>Monitorapp Co Ltd</t>
  </si>
  <si>
    <t>11.10</t>
  </si>
  <si>
    <t>41,776,331.00</t>
  </si>
  <si>
    <t>ALL1.WA</t>
  </si>
  <si>
    <t>Ailleron SA</t>
  </si>
  <si>
    <t>10.17</t>
  </si>
  <si>
    <t>6,092,284.00</t>
  </si>
  <si>
    <t>413640.KQ</t>
  </si>
  <si>
    <t>BI Matrix Co Ltd</t>
  </si>
  <si>
    <t>112.77</t>
  </si>
  <si>
    <t>64,821,817.00</t>
  </si>
  <si>
    <t>5212.TWO</t>
  </si>
  <si>
    <t>Hyweb Technology Co Ltd</t>
  </si>
  <si>
    <t>26.29</t>
  </si>
  <si>
    <t>19.39</t>
  </si>
  <si>
    <t>4,054,600.00</t>
  </si>
  <si>
    <t>RM.L</t>
  </si>
  <si>
    <t>RM PLC</t>
  </si>
  <si>
    <t>-0.55</t>
  </si>
  <si>
    <t>19.47</t>
  </si>
  <si>
    <t>3.67</t>
  </si>
  <si>
    <t>379,481,247.00</t>
  </si>
  <si>
    <t>367000.KQ</t>
  </si>
  <si>
    <t>Plateer Co Ltd</t>
  </si>
  <si>
    <t>-2.92</t>
  </si>
  <si>
    <t>23.96</t>
  </si>
  <si>
    <t>5.42</t>
  </si>
  <si>
    <t>16,859,299.00</t>
  </si>
  <si>
    <t>6878.TWO</t>
  </si>
  <si>
    <t>O'Pay Electronic Payment Co Ltd</t>
  </si>
  <si>
    <t>-596,6%</t>
  </si>
  <si>
    <t>6.24</t>
  </si>
  <si>
    <t>6.72</t>
  </si>
  <si>
    <t>33.06</t>
  </si>
  <si>
    <t>153.52</t>
  </si>
  <si>
    <t>56,176,891.00</t>
  </si>
  <si>
    <t>7359.T</t>
  </si>
  <si>
    <t>Tokyo Communications Group Inc</t>
  </si>
  <si>
    <t>3.95</t>
  </si>
  <si>
    <t>524.14</t>
  </si>
  <si>
    <t>37.66</t>
  </si>
  <si>
    <t>58,635,005.00</t>
  </si>
  <si>
    <t>VXTR.V</t>
  </si>
  <si>
    <t>Voxtur Analytics Corp</t>
  </si>
  <si>
    <t>-34,01447122</t>
  </si>
  <si>
    <t>194.99</t>
  </si>
  <si>
    <t>8.36</t>
  </si>
  <si>
    <t>9,449,952.00</t>
  </si>
  <si>
    <t>JGHG.PK</t>
  </si>
  <si>
    <t>Jinzisheng Holding Group</t>
  </si>
  <si>
    <t>-1,89570289</t>
  </si>
  <si>
    <t>4.06</t>
  </si>
  <si>
    <t>14.25</t>
  </si>
  <si>
    <t>-0.51</t>
  </si>
  <si>
    <t>68,901,758.00</t>
  </si>
  <si>
    <t>3760.T</t>
  </si>
  <si>
    <t>Cave Interactive Co Ltd</t>
  </si>
  <si>
    <t>-14,08942116</t>
  </si>
  <si>
    <t>-100,5%</t>
  </si>
  <si>
    <t>0.75</t>
  </si>
  <si>
    <t>16.72</t>
  </si>
  <si>
    <t>12.56</t>
  </si>
  <si>
    <t>74,138,224.00</t>
  </si>
  <si>
    <t>418250.KQ</t>
  </si>
  <si>
    <t>SecuLetter Co Ltd</t>
  </si>
  <si>
    <t>-281,1%</t>
  </si>
  <si>
    <t>1.75</t>
  </si>
  <si>
    <t>90,523,323.00</t>
  </si>
  <si>
    <t>2167.HK</t>
  </si>
  <si>
    <t>TI Cloud Inc</t>
  </si>
  <si>
    <t>-0,045190221</t>
  </si>
  <si>
    <t>8.49</t>
  </si>
  <si>
    <t>12.84</t>
  </si>
  <si>
    <t>28.61</t>
  </si>
  <si>
    <t>25,750,000.00</t>
  </si>
  <si>
    <t>ONEF.ST</t>
  </si>
  <si>
    <t>Oneflow AB</t>
  </si>
  <si>
    <t>-17,89539007</t>
  </si>
  <si>
    <t>-69,3%</t>
  </si>
  <si>
    <t>1.94</t>
  </si>
  <si>
    <t>6.59</t>
  </si>
  <si>
    <t>1.36</t>
  </si>
  <si>
    <t>79.07</t>
  </si>
  <si>
    <t>72,695,935.00</t>
  </si>
  <si>
    <t>219420.KQ</t>
  </si>
  <si>
    <t>Linkgenesis Co Ltd</t>
  </si>
  <si>
    <t>-0,135369724</t>
  </si>
  <si>
    <t>7.75</t>
  </si>
  <si>
    <t>60.78</t>
  </si>
  <si>
    <t>3.91</t>
  </si>
  <si>
    <t>408,231,038.00</t>
  </si>
  <si>
    <t>050960.KQ</t>
  </si>
  <si>
    <t>Soosan INT Co Ltd</t>
  </si>
  <si>
    <t>7.63</t>
  </si>
  <si>
    <t>6.57</t>
  </si>
  <si>
    <t>19.16</t>
  </si>
  <si>
    <t>185.26</t>
  </si>
  <si>
    <t>60,228,165.00</t>
  </si>
  <si>
    <t>RNDP.WA</t>
  </si>
  <si>
    <t>Render Cube SA</t>
  </si>
  <si>
    <t>6.19</t>
  </si>
  <si>
    <t>59.03</t>
  </si>
  <si>
    <t>11.67</t>
  </si>
  <si>
    <t>459,910,802.00</t>
  </si>
  <si>
    <t>5588.T</t>
  </si>
  <si>
    <t>Fast Accounting Co Ltd</t>
  </si>
  <si>
    <t>15.61</t>
  </si>
  <si>
    <t>55.64</t>
  </si>
  <si>
    <t>3,515,810,939.00</t>
  </si>
  <si>
    <t>APGT.PK</t>
  </si>
  <si>
    <t>Appgate Inc</t>
  </si>
  <si>
    <t>-0,469400654</t>
  </si>
  <si>
    <t>-63,9%</t>
  </si>
  <si>
    <t>7.67</t>
  </si>
  <si>
    <t>77,936,365.00</t>
  </si>
  <si>
    <t>189690.KQ</t>
  </si>
  <si>
    <t>Forcs Co Ltd</t>
  </si>
  <si>
    <t>-1,57362485</t>
  </si>
  <si>
    <t>203,204,897.00</t>
  </si>
  <si>
    <t>189330.KQ</t>
  </si>
  <si>
    <t>XIIlab Co Ltd</t>
  </si>
  <si>
    <t>-319,6%</t>
  </si>
  <si>
    <t>16.30</t>
  </si>
  <si>
    <t>70,671,257.00</t>
  </si>
  <si>
    <t>HLTH.OQ</t>
  </si>
  <si>
    <t>Cue Health Inc</t>
  </si>
  <si>
    <t>-0,448649741</t>
  </si>
  <si>
    <t>-321,8%</t>
  </si>
  <si>
    <t>2.33</t>
  </si>
  <si>
    <t>247,385,700.00</t>
  </si>
  <si>
    <t>EXOD.PK</t>
  </si>
  <si>
    <t>Exodus Movement Inc</t>
  </si>
  <si>
    <t>-0,015768641</t>
  </si>
  <si>
    <t>38.76</t>
  </si>
  <si>
    <t>24.21</t>
  </si>
  <si>
    <t>144,045,458.00</t>
  </si>
  <si>
    <t>KRONT.IS</t>
  </si>
  <si>
    <t>Kron Teknoloji AS</t>
  </si>
  <si>
    <t>160.80</t>
  </si>
  <si>
    <t>530,649,275.00</t>
  </si>
  <si>
    <t>ART.AX</t>
  </si>
  <si>
    <t>Airtasker Ltd</t>
  </si>
  <si>
    <t>-16,6%</t>
  </si>
  <si>
    <t>21.56</t>
  </si>
  <si>
    <t>29,392,386.00</t>
  </si>
  <si>
    <t>115310.KQ</t>
  </si>
  <si>
    <t>INFOvine Co Ltd</t>
  </si>
  <si>
    <t>-0,830247675</t>
  </si>
  <si>
    <t>31.36</t>
  </si>
  <si>
    <t>6.26</t>
  </si>
  <si>
    <t>59,067,186.00</t>
  </si>
  <si>
    <t>3653.T</t>
  </si>
  <si>
    <t>Morpho Inc</t>
  </si>
  <si>
    <t>-6,49</t>
  </si>
  <si>
    <t>-21,2%</t>
  </si>
  <si>
    <t>-1.71</t>
  </si>
  <si>
    <t>29,950,717.00</t>
  </si>
  <si>
    <t>LDSN.PK</t>
  </si>
  <si>
    <t>Luduson G Inc</t>
  </si>
  <si>
    <t>-0,021826655</t>
  </si>
  <si>
    <t>-0.45</t>
  </si>
  <si>
    <t>17,659,275.00</t>
  </si>
  <si>
    <t>SMART.IS</t>
  </si>
  <si>
    <t>Smartiks Yazilim AS</t>
  </si>
  <si>
    <t>7.26</t>
  </si>
  <si>
    <t>70.48</t>
  </si>
  <si>
    <t>113.62</t>
  </si>
  <si>
    <t>28,495,810.00</t>
  </si>
  <si>
    <t>ULY.OQ</t>
  </si>
  <si>
    <t>Urgent.ly Inc</t>
  </si>
  <si>
    <t>364,893,737.00</t>
  </si>
  <si>
    <t>393210.KQ</t>
  </si>
  <si>
    <t>TomatoSystem Co Ltd</t>
  </si>
  <si>
    <t>-1,856942785</t>
  </si>
  <si>
    <t>17.82</t>
  </si>
  <si>
    <t>9,580,854.00</t>
  </si>
  <si>
    <t>EUMBR.CY</t>
  </si>
  <si>
    <t>RichReach Corporation Public Ltd</t>
  </si>
  <si>
    <t>42.07</t>
  </si>
  <si>
    <t>12,624,171.00</t>
  </si>
  <si>
    <t>4304.T</t>
  </si>
  <si>
    <t>Estore Corp</t>
  </si>
  <si>
    <t>-7,25</t>
  </si>
  <si>
    <t>-0.56</t>
  </si>
  <si>
    <t>367,974,964.00</t>
  </si>
  <si>
    <t>SCPE.CD</t>
  </si>
  <si>
    <t>Scope Carbon Corp</t>
  </si>
  <si>
    <t>4.53</t>
  </si>
  <si>
    <t>52,545,350.00</t>
  </si>
  <si>
    <t>5PG.OL</t>
  </si>
  <si>
    <t>5Th Planet Games A/S</t>
  </si>
  <si>
    <t>25.16</t>
  </si>
  <si>
    <t>3.92</t>
  </si>
  <si>
    <t>103,135,024.00</t>
  </si>
  <si>
    <t>FPHG.DE</t>
  </si>
  <si>
    <t>Francotyp Postalia Holding AG</t>
  </si>
  <si>
    <t>2.13</t>
  </si>
  <si>
    <t>24.29</t>
  </si>
  <si>
    <t>67.72</t>
  </si>
  <si>
    <t>85,627,521.00</t>
  </si>
  <si>
    <t>EVS.AX</t>
  </si>
  <si>
    <t>Envirosuite Ltd</t>
  </si>
  <si>
    <t>6.95</t>
  </si>
  <si>
    <t>27.89</t>
  </si>
  <si>
    <t>72,049,000.00</t>
  </si>
  <si>
    <t>KFEIN.IS</t>
  </si>
  <si>
    <t>Kafein Yazilim Hizmetleri Ticaret AS</t>
  </si>
  <si>
    <t>-0,456706282</t>
  </si>
  <si>
    <t>325,772,499.00</t>
  </si>
  <si>
    <t>0434.HK</t>
  </si>
  <si>
    <t>Boyaa Interactive International Ltd</t>
  </si>
  <si>
    <t>5.26</t>
  </si>
  <si>
    <t>34.98</t>
  </si>
  <si>
    <t>750,670,728.00</t>
  </si>
  <si>
    <t>TRON.JK</t>
  </si>
  <si>
    <t>Teknologi Karya Digital Nusa PT Tbk</t>
  </si>
  <si>
    <t>4,268,613.00</t>
  </si>
  <si>
    <t>RMHI.PK</t>
  </si>
  <si>
    <t>Retrieve Medical Holdings Inc</t>
  </si>
  <si>
    <t>-4.21</t>
  </si>
  <si>
    <t>1,242,159,162.00</t>
  </si>
  <si>
    <t>TOPS.TA</t>
  </si>
  <si>
    <t>Top Ramdor Systems &amp; Computers 1990 Co Ltd</t>
  </si>
  <si>
    <t>-1,671769749</t>
  </si>
  <si>
    <t>21.51</t>
  </si>
  <si>
    <t>274,751,278.00</t>
  </si>
  <si>
    <t>YOCG.DE</t>
  </si>
  <si>
    <t>Yoc AG</t>
  </si>
  <si>
    <t>11.61</t>
  </si>
  <si>
    <t>202.01</t>
  </si>
  <si>
    <t>41,765,066.00</t>
  </si>
  <si>
    <t>040350.KQ</t>
  </si>
  <si>
    <t>Curocom Co Ltd</t>
  </si>
  <si>
    <t>-31,7%</t>
  </si>
  <si>
    <t>85.50</t>
  </si>
  <si>
    <t>232,637,638.00</t>
  </si>
  <si>
    <t>MPU.A</t>
  </si>
  <si>
    <t>Mega Matrix Corp</t>
  </si>
  <si>
    <t>-3,834706724</t>
  </si>
  <si>
    <t>-0.06</t>
  </si>
  <si>
    <t>184,736,058.00</t>
  </si>
  <si>
    <t>4C.ST</t>
  </si>
  <si>
    <t>4C Group AB</t>
  </si>
  <si>
    <t>16.46</t>
  </si>
  <si>
    <t>269,548,349.00</t>
  </si>
  <si>
    <t>WSP.AX</t>
  </si>
  <si>
    <t>Whispir Ltd</t>
  </si>
  <si>
    <t>-24,2%</t>
  </si>
  <si>
    <t>224,094,903.00</t>
  </si>
  <si>
    <t>357880.KQ</t>
  </si>
  <si>
    <t>BitNine Co Ltd</t>
  </si>
  <si>
    <t>-0,39192361</t>
  </si>
  <si>
    <t>-23,2%</t>
  </si>
  <si>
    <t>236,243,042.00</t>
  </si>
  <si>
    <t>SNAL.OQ</t>
  </si>
  <si>
    <t>Snail Inc</t>
  </si>
  <si>
    <t>-36,3%</t>
  </si>
  <si>
    <t>20.04</t>
  </si>
  <si>
    <t>28.17</t>
  </si>
  <si>
    <t>1,000,000.00</t>
  </si>
  <si>
    <t>419120.KQ</t>
  </si>
  <si>
    <t>Sandoll Inc</t>
  </si>
  <si>
    <t>-10,89109611</t>
  </si>
  <si>
    <t>57,016,550.00</t>
  </si>
  <si>
    <t>279600.KQ</t>
  </si>
  <si>
    <t>MediaZen Inc</t>
  </si>
  <si>
    <t>53.90</t>
  </si>
  <si>
    <t>44.40</t>
  </si>
  <si>
    <t>333,315,290.00</t>
  </si>
  <si>
    <t>8272.TWO</t>
  </si>
  <si>
    <t>Changing Information Technology Inc</t>
  </si>
  <si>
    <t>-4,540977904</t>
  </si>
  <si>
    <t>1.11</t>
  </si>
  <si>
    <t>6.35</t>
  </si>
  <si>
    <t>15,393,343.00</t>
  </si>
  <si>
    <t>065370.KQ</t>
  </si>
  <si>
    <t>Wise iTech Co Ltd</t>
  </si>
  <si>
    <t>17.13</t>
  </si>
  <si>
    <t>166,568,333.00</t>
  </si>
  <si>
    <t>TZUP.PK</t>
  </si>
  <si>
    <t>Thumzup Media Corp</t>
  </si>
  <si>
    <t>5.83</t>
  </si>
  <si>
    <t>55.12</t>
  </si>
  <si>
    <t>111,307,926.00</t>
  </si>
  <si>
    <t>YTF.WA</t>
  </si>
  <si>
    <t>Yetiforce SA</t>
  </si>
  <si>
    <t>-254,9%</t>
  </si>
  <si>
    <t>-2.44</t>
  </si>
  <si>
    <t>-0.44</t>
  </si>
  <si>
    <t>36.44</t>
  </si>
  <si>
    <t>11,986,160.00</t>
  </si>
  <si>
    <t>IFA1V.HE</t>
  </si>
  <si>
    <t>Innofactor Oyj</t>
  </si>
  <si>
    <t>-0,33</t>
  </si>
  <si>
    <t>11,870,003.00</t>
  </si>
  <si>
    <t>4260.T</t>
  </si>
  <si>
    <t>Hybrid Technologies Co Ltd</t>
  </si>
  <si>
    <t>31,389,287.00</t>
  </si>
  <si>
    <t>208640.KQ</t>
  </si>
  <si>
    <t>Thumbage Co Ltd</t>
  </si>
  <si>
    <t>KPLT.OQ</t>
  </si>
  <si>
    <t>Katapult Holdings Inc</t>
  </si>
  <si>
    <t>-0,703741354</t>
  </si>
  <si>
    <t>9.94</t>
  </si>
  <si>
    <t>138.67</t>
  </si>
  <si>
    <t>137,700,957.00</t>
  </si>
  <si>
    <t>2332.T</t>
  </si>
  <si>
    <t>Quest Co Ltd</t>
  </si>
  <si>
    <t>-4,427799422</t>
  </si>
  <si>
    <t>2,509,683,812.00</t>
  </si>
  <si>
    <t>417180.KQ</t>
  </si>
  <si>
    <t>Finger Story Co Ltd</t>
  </si>
  <si>
    <t>567.37</t>
  </si>
  <si>
    <t>259,833,560.00</t>
  </si>
  <si>
    <t>SCO.MC</t>
  </si>
  <si>
    <t>Seresco SA</t>
  </si>
  <si>
    <t>6.48</t>
  </si>
  <si>
    <t>35.38</t>
  </si>
  <si>
    <t>400,010,003.00</t>
  </si>
  <si>
    <t>ZENV.OQ</t>
  </si>
  <si>
    <t>Zenvia Inc</t>
  </si>
  <si>
    <t>-0,3%</t>
  </si>
  <si>
    <t>4.63</t>
  </si>
  <si>
    <t>16.71</t>
  </si>
  <si>
    <t>55,150,848.00</t>
  </si>
  <si>
    <t>5033.T</t>
  </si>
  <si>
    <t>Nulab Inc</t>
  </si>
  <si>
    <t>-1,127296131</t>
  </si>
  <si>
    <t>1,794,446,647.00</t>
  </si>
  <si>
    <t>6697.TWO</t>
  </si>
  <si>
    <t>Information Technology Total Services Co Ltd</t>
  </si>
  <si>
    <t>4.21</t>
  </si>
  <si>
    <t>15,431,397.00</t>
  </si>
  <si>
    <t>3799.T</t>
  </si>
  <si>
    <t>Keyware Solutions Inc</t>
  </si>
  <si>
    <t>-2,88</t>
  </si>
  <si>
    <t>71,963,431.00</t>
  </si>
  <si>
    <t>023770.KQ</t>
  </si>
  <si>
    <t>PlayWith Korea Inc</t>
  </si>
  <si>
    <t>-49,0%</t>
  </si>
  <si>
    <t>39,147,043.00</t>
  </si>
  <si>
    <t>2303.T</t>
  </si>
  <si>
    <t>Dawn Corp</t>
  </si>
  <si>
    <t>-0,065676711</t>
  </si>
  <si>
    <t>89,528,680.00</t>
  </si>
  <si>
    <t>IZMO.NS</t>
  </si>
  <si>
    <t>Izmo Ltd</t>
  </si>
  <si>
    <t>-0.53</t>
  </si>
  <si>
    <t>8.51</t>
  </si>
  <si>
    <t>-0.46</t>
  </si>
  <si>
    <t>95.73</t>
  </si>
  <si>
    <t>54,048,037.00</t>
  </si>
  <si>
    <t>RKN.AX</t>
  </si>
  <si>
    <t>Reckon Ltd</t>
  </si>
  <si>
    <t>5,981,670.00</t>
  </si>
  <si>
    <t>MVP.TO</t>
  </si>
  <si>
    <t>MediaValet Inc</t>
  </si>
  <si>
    <t>-59,9%</t>
  </si>
  <si>
    <t>376,971,336.00</t>
  </si>
  <si>
    <t>INIK.V</t>
  </si>
  <si>
    <t>PopReach Corp</t>
  </si>
  <si>
    <t>-0,095424817</t>
  </si>
  <si>
    <t>39,566,734.00</t>
  </si>
  <si>
    <t>DATP.WA</t>
  </si>
  <si>
    <t>Datawalk SA</t>
  </si>
  <si>
    <t>-185,8%</t>
  </si>
  <si>
    <t>8,838,549.00</t>
  </si>
  <si>
    <t>069410.KQ</t>
  </si>
  <si>
    <t>N Tels Co Ltd</t>
  </si>
  <si>
    <t>-0,01467215</t>
  </si>
  <si>
    <t>139,240,254.00</t>
  </si>
  <si>
    <t>4428.T</t>
  </si>
  <si>
    <t>Sinops Inc</t>
  </si>
  <si>
    <t>-3,675881664</t>
  </si>
  <si>
    <t>2.14</t>
  </si>
  <si>
    <t>38.32</t>
  </si>
  <si>
    <t>14,957,851.00</t>
  </si>
  <si>
    <t>197140.KQ</t>
  </si>
  <si>
    <t>Digicap Co Ltd</t>
  </si>
  <si>
    <t>36,157,500.00</t>
  </si>
  <si>
    <t>BMT.AX</t>
  </si>
  <si>
    <t>Beamtree Holdings Ltd</t>
  </si>
  <si>
    <t>-6,5%</t>
  </si>
  <si>
    <t>72.67</t>
  </si>
  <si>
    <t>73.53</t>
  </si>
  <si>
    <t>10,000,000.00</t>
  </si>
  <si>
    <t>3912.T</t>
  </si>
  <si>
    <t>Mobile Factory Inc</t>
  </si>
  <si>
    <t>-0,123104517</t>
  </si>
  <si>
    <t>9,565,412.00</t>
  </si>
  <si>
    <t>INUV.A</t>
  </si>
  <si>
    <t>Inuvo Inc</t>
  </si>
  <si>
    <t>-15,0%</t>
  </si>
  <si>
    <t>90.41</t>
  </si>
  <si>
    <t>260,603,073.00</t>
  </si>
  <si>
    <t>2350.HK</t>
  </si>
  <si>
    <t>MTT Group Holdings Ltd</t>
  </si>
  <si>
    <t>-0,013565357</t>
  </si>
  <si>
    <t>17.15</t>
  </si>
  <si>
    <t>13.22</t>
  </si>
  <si>
    <t>5,752,114.00</t>
  </si>
  <si>
    <t>MAGIC.TL</t>
  </si>
  <si>
    <t>TextMagic AS</t>
  </si>
  <si>
    <t>3.90</t>
  </si>
  <si>
    <t>63.28</t>
  </si>
  <si>
    <t>2.38</t>
  </si>
  <si>
    <t>1,096,700,508.00</t>
  </si>
  <si>
    <t>AGMH.OQ</t>
  </si>
  <si>
    <t>AGM Group Holdings Inc</t>
  </si>
  <si>
    <t>7.82</t>
  </si>
  <si>
    <t>4.68</t>
  </si>
  <si>
    <t>68,039,587.00</t>
  </si>
  <si>
    <t>BEYOND.TE</t>
  </si>
  <si>
    <t>Beyond Frames Entertainment AB (publ)</t>
  </si>
  <si>
    <t>-26,9%</t>
  </si>
  <si>
    <t>-0.21</t>
  </si>
  <si>
    <t>20,069,763.00</t>
  </si>
  <si>
    <t>SFSL.BO</t>
  </si>
  <si>
    <t>SoftSol India Ltd</t>
  </si>
  <si>
    <t>4.43</t>
  </si>
  <si>
    <t>6.65</t>
  </si>
  <si>
    <t>166,932,109.00</t>
  </si>
  <si>
    <t>262840.KQ</t>
  </si>
  <si>
    <t>IQuest Co Ltd</t>
  </si>
  <si>
    <t>27,321,969.00</t>
  </si>
  <si>
    <t>NTEKb.ST</t>
  </si>
  <si>
    <t>Novotek AB</t>
  </si>
  <si>
    <t>22.56</t>
  </si>
  <si>
    <t>6,496,026.00</t>
  </si>
  <si>
    <t>100030.KQ</t>
  </si>
  <si>
    <t>InziSoft Co Ltd</t>
  </si>
  <si>
    <t>85,680,979.00</t>
  </si>
  <si>
    <t>1297.HK</t>
  </si>
  <si>
    <t>Sinosoft Technology Group Ltd</t>
  </si>
  <si>
    <t>47.98</t>
  </si>
  <si>
    <t>4,155,000.00</t>
  </si>
  <si>
    <t>PENNEO.CO</t>
  </si>
  <si>
    <t>Penneo A/S</t>
  </si>
  <si>
    <t>-0,410293442</t>
  </si>
  <si>
    <t>38,073,234.00</t>
  </si>
  <si>
    <t>4397.T</t>
  </si>
  <si>
    <t>TeamSpirit Inc</t>
  </si>
  <si>
    <t>-1,143636372</t>
  </si>
  <si>
    <t>40,163,500.00</t>
  </si>
  <si>
    <t>OPTER.ST</t>
  </si>
  <si>
    <t>Opter AB</t>
  </si>
  <si>
    <t>10.39</t>
  </si>
  <si>
    <t>79,430,680.00</t>
  </si>
  <si>
    <t>PCK.AX</t>
  </si>
  <si>
    <t>PainChek Ltd</t>
  </si>
  <si>
    <t>-389,3%</t>
  </si>
  <si>
    <t>2,348,521.00</t>
  </si>
  <si>
    <t>ALNTG.PA</t>
  </si>
  <si>
    <t>Netgem SA</t>
  </si>
  <si>
    <t>24,237,774.00</t>
  </si>
  <si>
    <t>ADA.AX</t>
  </si>
  <si>
    <t>Adacel Technologies Ltd</t>
  </si>
  <si>
    <t>1,342,205,684.00</t>
  </si>
  <si>
    <t>SMV.L</t>
  </si>
  <si>
    <t>Smoove PLC</t>
  </si>
  <si>
    <t>-23,9%</t>
  </si>
  <si>
    <t>17.79</t>
  </si>
  <si>
    <t>24,298,430.00</t>
  </si>
  <si>
    <t>SOTF.NS</t>
  </si>
  <si>
    <t>SoftTech Engineers Ltd</t>
  </si>
  <si>
    <t>-0,128937855</t>
  </si>
  <si>
    <t>13,879,225.00</t>
  </si>
  <si>
    <t>139670.KQ</t>
  </si>
  <si>
    <t>KineMaster Corp</t>
  </si>
  <si>
    <t>-2,4%</t>
  </si>
  <si>
    <t>30.76</t>
  </si>
  <si>
    <t>31,698,405.00</t>
  </si>
  <si>
    <t>9343.T</t>
  </si>
  <si>
    <t>ibis Inc</t>
  </si>
  <si>
    <t>-0,340162527</t>
  </si>
  <si>
    <t>8.23</t>
  </si>
  <si>
    <t>37.13</t>
  </si>
  <si>
    <t>16.69</t>
  </si>
  <si>
    <t>69,852,566.00</t>
  </si>
  <si>
    <t>4430.T</t>
  </si>
  <si>
    <t>Tokai Soft Co Ltd</t>
  </si>
  <si>
    <t>7.44</t>
  </si>
  <si>
    <t>225,540,757.00</t>
  </si>
  <si>
    <t>4012.T</t>
  </si>
  <si>
    <t>Axis Co Ltd</t>
  </si>
  <si>
    <t>1,416,991,197.00</t>
  </si>
  <si>
    <t>SECUREm.BK</t>
  </si>
  <si>
    <t>Nforce Secure PCL</t>
  </si>
  <si>
    <t>46,548,039.00</t>
  </si>
  <si>
    <t>BSQR.OQ</t>
  </si>
  <si>
    <t>Bsquare Corp</t>
  </si>
  <si>
    <t>-1.42</t>
  </si>
  <si>
    <t>3.51</t>
  </si>
  <si>
    <t>3.85</t>
  </si>
  <si>
    <t>3,197,815.00</t>
  </si>
  <si>
    <t>NTSL.PSX</t>
  </si>
  <si>
    <t>NetSol Technologies Ltd</t>
  </si>
  <si>
    <t>10.98</t>
  </si>
  <si>
    <t>181.24</t>
  </si>
  <si>
    <t>35,762,108.00</t>
  </si>
  <si>
    <t>ELS.AX</t>
  </si>
  <si>
    <t>Elsight Ltd</t>
  </si>
  <si>
    <t>-3,124310075</t>
  </si>
  <si>
    <t>-357,3%</t>
  </si>
  <si>
    <t>3.11</t>
  </si>
  <si>
    <t>27.55</t>
  </si>
  <si>
    <t>56.95</t>
  </si>
  <si>
    <t>49,987,784.00</t>
  </si>
  <si>
    <t>VMX.PA</t>
  </si>
  <si>
    <t>Verimatrix SA</t>
  </si>
  <si>
    <t>-0,986125889</t>
  </si>
  <si>
    <t>-113,7%</t>
  </si>
  <si>
    <t>58,152,501.00</t>
  </si>
  <si>
    <t>4728.T</t>
  </si>
  <si>
    <t>Tose Co Ltd</t>
  </si>
  <si>
    <t>-1,030552265</t>
  </si>
  <si>
    <t>364,220,904.00</t>
  </si>
  <si>
    <t>DUB.AX</t>
  </si>
  <si>
    <t>Dubber Corp Ltd</t>
  </si>
  <si>
    <t>-200,7%</t>
  </si>
  <si>
    <t>22.93</t>
  </si>
  <si>
    <t>71.82</t>
  </si>
  <si>
    <t>268,078,600.00</t>
  </si>
  <si>
    <t>VIRC.NS</t>
  </si>
  <si>
    <t>Virinchi Ltd</t>
  </si>
  <si>
    <t>-0,137458135</t>
  </si>
  <si>
    <t>18.25</t>
  </si>
  <si>
    <t>4,780,000.00</t>
  </si>
  <si>
    <t>FADL.L</t>
  </si>
  <si>
    <t>Fadel Partners Inc</t>
  </si>
  <si>
    <t>233,314,695.00</t>
  </si>
  <si>
    <t>NTX.MC</t>
  </si>
  <si>
    <t>Netex Knowledge Factory SA</t>
  </si>
  <si>
    <t>-0,491266874</t>
  </si>
  <si>
    <t>16.13</t>
  </si>
  <si>
    <t>26,324,000.00</t>
  </si>
  <si>
    <t>060240.KQ</t>
  </si>
  <si>
    <t>Longtu Korea Inc</t>
  </si>
  <si>
    <t>-81,1%</t>
  </si>
  <si>
    <t>3.62</t>
  </si>
  <si>
    <t>7,166,454.00</t>
  </si>
  <si>
    <t>4476.T</t>
  </si>
  <si>
    <t>AI Cross Inc</t>
  </si>
  <si>
    <t>-0,049091602</t>
  </si>
  <si>
    <t>55.94</t>
  </si>
  <si>
    <t>61,446,973.00</t>
  </si>
  <si>
    <t>3851.T</t>
  </si>
  <si>
    <t>Nippon Ichi Software Inc</t>
  </si>
  <si>
    <t>-27,55</t>
  </si>
  <si>
    <t>1,875,000.00</t>
  </si>
  <si>
    <t>IRI.AX</t>
  </si>
  <si>
    <t>Integrated Research Ltd</t>
  </si>
  <si>
    <t>7,000,000.00</t>
  </si>
  <si>
    <t>GOP.WA</t>
  </si>
  <si>
    <t>Games Operators SA</t>
  </si>
  <si>
    <t>-5,610294118</t>
  </si>
  <si>
    <t>4.00</t>
  </si>
  <si>
    <t>7.01</t>
  </si>
  <si>
    <t>10,322,400.00</t>
  </si>
  <si>
    <t>5240.T</t>
  </si>
  <si>
    <t>monoAI technology Co Ltd</t>
  </si>
  <si>
    <t>-5,3%</t>
  </si>
  <si>
    <t>232,223,657.00</t>
  </si>
  <si>
    <t>BTQ.NLB</t>
  </si>
  <si>
    <t>BTQ Technologies Corp</t>
  </si>
  <si>
    <t>75,243,724.00</t>
  </si>
  <si>
    <t>GETB.L</t>
  </si>
  <si>
    <t>GetBusy PLC</t>
  </si>
  <si>
    <t>6.86</t>
  </si>
  <si>
    <t>48.83</t>
  </si>
  <si>
    <t>202,525,749.00</t>
  </si>
  <si>
    <t>IXU.AX</t>
  </si>
  <si>
    <t>IXUP Ltd</t>
  </si>
  <si>
    <t>-62,58333333</t>
  </si>
  <si>
    <t>-1,188,4%</t>
  </si>
  <si>
    <t>9.58</t>
  </si>
  <si>
    <t>296,621,519.00</t>
  </si>
  <si>
    <t>BEAT.OQ</t>
  </si>
  <si>
    <t>Heartbeam Inc</t>
  </si>
  <si>
    <t>-0,203237153</t>
  </si>
  <si>
    <t>9.11</t>
  </si>
  <si>
    <t>233,853,966.00</t>
  </si>
  <si>
    <t>1808.HK</t>
  </si>
  <si>
    <t>Enterprise Development Holdings Ltd</t>
  </si>
  <si>
    <t>-34,2%</t>
  </si>
  <si>
    <t>27,270,907.00</t>
  </si>
  <si>
    <t>LEADD.HE</t>
  </si>
  <si>
    <t>Leaddesk Oyj</t>
  </si>
  <si>
    <t>-0,962992852</t>
  </si>
  <si>
    <t>5,723,600.00</t>
  </si>
  <si>
    <t>291810.KQ</t>
  </si>
  <si>
    <t>Pintel Co Ltd</t>
  </si>
  <si>
    <t>-5,158072795</t>
  </si>
  <si>
    <t>-36,5%</t>
  </si>
  <si>
    <t>73,202,929.00</t>
  </si>
  <si>
    <t>232830.KQ</t>
  </si>
  <si>
    <t>Secucen Co Ltd</t>
  </si>
  <si>
    <t>-0,516379704</t>
  </si>
  <si>
    <t>-3,9%</t>
  </si>
  <si>
    <t>104.17</t>
  </si>
  <si>
    <t>209,882,884.00</t>
  </si>
  <si>
    <t>079970.KQ</t>
  </si>
  <si>
    <t>ToBeSoft Co Ltd</t>
  </si>
  <si>
    <t>-0,1%</t>
  </si>
  <si>
    <t>4.51</t>
  </si>
  <si>
    <t>12.25</t>
  </si>
  <si>
    <t>65,794,770.00</t>
  </si>
  <si>
    <t>3988.T</t>
  </si>
  <si>
    <t>SYS Holdings Co Ltd</t>
  </si>
  <si>
    <t>-11,04842519</t>
  </si>
  <si>
    <t>107,393,160.00</t>
  </si>
  <si>
    <t>IDN.OQ</t>
  </si>
  <si>
    <t>Intellicheck Inc</t>
  </si>
  <si>
    <t>-16,9%</t>
  </si>
  <si>
    <t>216,138,698.00</t>
  </si>
  <si>
    <t>OMH.OQ</t>
  </si>
  <si>
    <t>Ohmyhome Ltd</t>
  </si>
  <si>
    <t>35.57</t>
  </si>
  <si>
    <t>18,190,757.00</t>
  </si>
  <si>
    <t>JENGA.NFF</t>
  </si>
  <si>
    <t>Jengax AS</t>
  </si>
  <si>
    <t>-0,241915119</t>
  </si>
  <si>
    <t>630,332,000.00</t>
  </si>
  <si>
    <t>WITTED.HE</t>
  </si>
  <si>
    <t>Witted Megacorp Oyj</t>
  </si>
  <si>
    <t>375.54</t>
  </si>
  <si>
    <t>1,061,900,000.00</t>
  </si>
  <si>
    <t>DTC.AX</t>
  </si>
  <si>
    <t>Damstra Holdings Ltd</t>
  </si>
  <si>
    <t>-3,02262983</t>
  </si>
  <si>
    <t>80,237,785.00</t>
  </si>
  <si>
    <t>290560.KQ</t>
  </si>
  <si>
    <t>Sinsiway Co Ltd</t>
  </si>
  <si>
    <t>-1,643879441</t>
  </si>
  <si>
    <t>-0.29</t>
  </si>
  <si>
    <t>-5.04</t>
  </si>
  <si>
    <t>AWRE.OQ</t>
  </si>
  <si>
    <t>Aware Inc</t>
  </si>
  <si>
    <t>-39,8%</t>
  </si>
  <si>
    <t>93,717,641.00</t>
  </si>
  <si>
    <t>CANA.NS</t>
  </si>
  <si>
    <t>Canarys Automations Ltd</t>
  </si>
  <si>
    <t>240,000,000.00</t>
  </si>
  <si>
    <t>4052.T</t>
  </si>
  <si>
    <t>Ficha Inc</t>
  </si>
  <si>
    <t>-13,9%</t>
  </si>
  <si>
    <t>162,186,300.00</t>
  </si>
  <si>
    <t>MAGIN.ST</t>
  </si>
  <si>
    <t>MAG Interactive AB (publ)</t>
  </si>
  <si>
    <t>6.81</t>
  </si>
  <si>
    <t>14,914,800.00</t>
  </si>
  <si>
    <t>ALPL.BO</t>
  </si>
  <si>
    <t>Alphalogic Techsys Ltd</t>
  </si>
  <si>
    <t>13.89</t>
  </si>
  <si>
    <t>133.19</t>
  </si>
  <si>
    <t>181,216,000.00</t>
  </si>
  <si>
    <t>MRT.A</t>
  </si>
  <si>
    <t>Marti Technologies Inc</t>
  </si>
  <si>
    <t>4,504,103.00</t>
  </si>
  <si>
    <t>KULC.BU</t>
  </si>
  <si>
    <t>Kulcs Soft Nyrt</t>
  </si>
  <si>
    <t>-1,590886029</t>
  </si>
  <si>
    <t>12.75</t>
  </si>
  <si>
    <t>187.85</t>
  </si>
  <si>
    <t>258,058,817.00</t>
  </si>
  <si>
    <t>IRIS.NS</t>
  </si>
  <si>
    <t>IRIS Business Services Ltd</t>
  </si>
  <si>
    <t>70.43</t>
  </si>
  <si>
    <t>5,600,200.00</t>
  </si>
  <si>
    <t>4829.T</t>
  </si>
  <si>
    <t>Nihon Enterprise Co Ltd</t>
  </si>
  <si>
    <t>-20,51</t>
  </si>
  <si>
    <t>83,448,078.00</t>
  </si>
  <si>
    <t>6910.TWO</t>
  </si>
  <si>
    <t>Grandsys Inc</t>
  </si>
  <si>
    <t>1,147.88</t>
  </si>
  <si>
    <t>3.16</t>
  </si>
  <si>
    <t>238,814,665.00</t>
  </si>
  <si>
    <t>SPX.AX</t>
  </si>
  <si>
    <t>Spenda Ltd</t>
  </si>
  <si>
    <t>-206,1%</t>
  </si>
  <si>
    <t>517,968,480.00</t>
  </si>
  <si>
    <t>SIAV.MI</t>
  </si>
  <si>
    <t>Siav SpA</t>
  </si>
  <si>
    <t>-1,140982828</t>
  </si>
  <si>
    <t>9.60</t>
  </si>
  <si>
    <t>76.16</t>
  </si>
  <si>
    <t>400,010,000.00</t>
  </si>
  <si>
    <t>1992.T</t>
  </si>
  <si>
    <t>Kanda Tsushinki Co Ltd</t>
  </si>
  <si>
    <t>-7,38</t>
  </si>
  <si>
    <t>7.86</t>
  </si>
  <si>
    <t>29,509,206.00</t>
  </si>
  <si>
    <t>3933.T</t>
  </si>
  <si>
    <t>CHIeru Co Ltd</t>
  </si>
  <si>
    <t>-6,27</t>
  </si>
  <si>
    <t>11.25</t>
  </si>
  <si>
    <t>45.29</t>
  </si>
  <si>
    <t>10.29</t>
  </si>
  <si>
    <t>194,400,000.00</t>
  </si>
  <si>
    <t>ESYS.L</t>
  </si>
  <si>
    <t>Essensys PLC</t>
  </si>
  <si>
    <t>-30,7%</t>
  </si>
  <si>
    <t>-8.80</t>
  </si>
  <si>
    <t>9,157,563.00</t>
  </si>
  <si>
    <t>COHE.PA</t>
  </si>
  <si>
    <t>Coheris SA</t>
  </si>
  <si>
    <t>-0,127113844</t>
  </si>
  <si>
    <t>80,000,000.00</t>
  </si>
  <si>
    <t>M4B.WA</t>
  </si>
  <si>
    <t>M4B SA</t>
  </si>
  <si>
    <t>13.09</t>
  </si>
  <si>
    <t>60.70</t>
  </si>
  <si>
    <t>88,000,000.00</t>
  </si>
  <si>
    <t>3816.T</t>
  </si>
  <si>
    <t>Daiwa Computer Co Ltd</t>
  </si>
  <si>
    <t>-3,49</t>
  </si>
  <si>
    <t>3,590,570.00</t>
  </si>
  <si>
    <t>ROBENTO.BX</t>
  </si>
  <si>
    <t>2B Intelligent Soft SA</t>
  </si>
  <si>
    <t>8.35</t>
  </si>
  <si>
    <t>37.87</t>
  </si>
  <si>
    <t>11.17</t>
  </si>
  <si>
    <t>44,872,800.00</t>
  </si>
  <si>
    <t>TREJ.NS</t>
  </si>
  <si>
    <t>Trejhara Solutions Ltd</t>
  </si>
  <si>
    <t>26.61</t>
  </si>
  <si>
    <t>5.60</t>
  </si>
  <si>
    <t>79,999,999.00</t>
  </si>
  <si>
    <t>7046.T</t>
  </si>
  <si>
    <t>TDSE Inc</t>
  </si>
  <si>
    <t>494.32</t>
  </si>
  <si>
    <t>218,140,800.00</t>
  </si>
  <si>
    <t>BYND.CD</t>
  </si>
  <si>
    <t>BYND Cannasoft Enterprises Inc</t>
  </si>
  <si>
    <t>-274,5%</t>
  </si>
  <si>
    <t>7,869,000.00</t>
  </si>
  <si>
    <t>347700.KQ</t>
  </si>
  <si>
    <t>LifeSemantics Corp</t>
  </si>
  <si>
    <t>-0,077951934</t>
  </si>
  <si>
    <t>-296,7%</t>
  </si>
  <si>
    <t>86.70</t>
  </si>
  <si>
    <t>27,410,234.00</t>
  </si>
  <si>
    <t>184230.KQ</t>
  </si>
  <si>
    <t>SGA Solutions Co Ltd</t>
  </si>
  <si>
    <t>-1,365728641</t>
  </si>
  <si>
    <t>45,300,000.00</t>
  </si>
  <si>
    <t>PAND.KL</t>
  </si>
  <si>
    <t>Panda Eco System Bhd</t>
  </si>
  <si>
    <t>148780.KQ</t>
  </si>
  <si>
    <t>B Fly Soft Co Ltd</t>
  </si>
  <si>
    <t>1.61</t>
  </si>
  <si>
    <t>12,610,594.00</t>
  </si>
  <si>
    <t>3826.T</t>
  </si>
  <si>
    <t>System Integrator Corp</t>
  </si>
  <si>
    <t>-1,02502054</t>
  </si>
  <si>
    <t>-9,29</t>
  </si>
  <si>
    <t>9.66</t>
  </si>
  <si>
    <t>669,406,487.00</t>
  </si>
  <si>
    <t>ALT.L</t>
  </si>
  <si>
    <t>Altitude Group PLC</t>
  </si>
  <si>
    <t>10.06</t>
  </si>
  <si>
    <t>21.74</t>
  </si>
  <si>
    <t>17.75</t>
  </si>
  <si>
    <t>29,485,454.00</t>
  </si>
  <si>
    <t>208350.KQ</t>
  </si>
  <si>
    <t>Jiransecurity Co Ltd</t>
  </si>
  <si>
    <t>10.02</t>
  </si>
  <si>
    <t>15.72</t>
  </si>
  <si>
    <t>21.09</t>
  </si>
  <si>
    <t>105,619,209.00</t>
  </si>
  <si>
    <t>INTN.NS</t>
  </si>
  <si>
    <t>Intense Technologies Ltd</t>
  </si>
  <si>
    <t>29.22</t>
  </si>
  <si>
    <t>8,705,244.00</t>
  </si>
  <si>
    <t>094860.KQ</t>
  </si>
  <si>
    <t>Neorigin Co Ltd</t>
  </si>
  <si>
    <t>-2,3%</t>
  </si>
  <si>
    <t>17.25</t>
  </si>
  <si>
    <t>75.41</t>
  </si>
  <si>
    <t>18,576,000.00</t>
  </si>
  <si>
    <t>045340.KQ</t>
  </si>
  <si>
    <t>Total Soft Bank Ltd</t>
  </si>
  <si>
    <t>-1,511443627</t>
  </si>
  <si>
    <t>13.26</t>
  </si>
  <si>
    <t>83.25</t>
  </si>
  <si>
    <t>6,600,000.00</t>
  </si>
  <si>
    <t>290270.KQ</t>
  </si>
  <si>
    <t>Hunesion Co Ltd</t>
  </si>
  <si>
    <t>6865.TWO</t>
  </si>
  <si>
    <t>WebComm Technology Co Ltd</t>
  </si>
  <si>
    <t>153,705,000.00</t>
  </si>
  <si>
    <t>INFH.NS</t>
  </si>
  <si>
    <t>Infollion Research Services Ltd</t>
  </si>
  <si>
    <t>7,472,127.00</t>
  </si>
  <si>
    <t>258790.KQ</t>
  </si>
  <si>
    <t>SoftCamp Co Ltd</t>
  </si>
  <si>
    <t>-0,9%</t>
  </si>
  <si>
    <t>7,863,186.00</t>
  </si>
  <si>
    <t>4388.T</t>
  </si>
  <si>
    <t>AI Inc</t>
  </si>
  <si>
    <t>22.82</t>
  </si>
  <si>
    <t>12,820,670.00</t>
  </si>
  <si>
    <t>BIRD.L</t>
  </si>
  <si>
    <t>Blackbird PLC</t>
  </si>
  <si>
    <t>-124,9%</t>
  </si>
  <si>
    <t>-0.58</t>
  </si>
  <si>
    <t>93.41</t>
  </si>
  <si>
    <t>56.13</t>
  </si>
  <si>
    <t>11,212,120.00</t>
  </si>
  <si>
    <t>016670.KQ</t>
  </si>
  <si>
    <t>Dmoa Co Ltd</t>
  </si>
  <si>
    <t>-0,057409266</t>
  </si>
  <si>
    <t>2.36</t>
  </si>
  <si>
    <t>13,112,000.00</t>
  </si>
  <si>
    <t>AGILC.CO</t>
  </si>
  <si>
    <t>Agillic A/S</t>
  </si>
  <si>
    <t>9.17</t>
  </si>
  <si>
    <t>67.56</t>
  </si>
  <si>
    <t>25,470,211.00</t>
  </si>
  <si>
    <t>ZDGE.A</t>
  </si>
  <si>
    <t>Zedge Inc</t>
  </si>
  <si>
    <t>-2,389818313</t>
  </si>
  <si>
    <t>362,520,010.00</t>
  </si>
  <si>
    <t>SNCE.OQ</t>
  </si>
  <si>
    <t>Science 37 Holdings Inc</t>
  </si>
  <si>
    <t>-15,62992126</t>
  </si>
  <si>
    <t>-90,5%</t>
  </si>
  <si>
    <t>8.02</t>
  </si>
  <si>
    <t>7.24</t>
  </si>
  <si>
    <t>56,000,000.00</t>
  </si>
  <si>
    <t>YAN.WA</t>
  </si>
  <si>
    <t>Neptis SA</t>
  </si>
  <si>
    <t>14,354,573.00</t>
  </si>
  <si>
    <t>PRPD.TA</t>
  </si>
  <si>
    <t>Propdo Ltd</t>
  </si>
  <si>
    <t>-506,1%</t>
  </si>
  <si>
    <t>68.78</t>
  </si>
  <si>
    <t>181,042,862.00</t>
  </si>
  <si>
    <t>5031.T</t>
  </si>
  <si>
    <t>Moi Corp</t>
  </si>
  <si>
    <t>-0,049901381</t>
  </si>
  <si>
    <t>15.39</t>
  </si>
  <si>
    <t>16,586,201.00</t>
  </si>
  <si>
    <t>RTH.AX</t>
  </si>
  <si>
    <t>Ras Technology Holdings Ltd</t>
  </si>
  <si>
    <t>40.83</t>
  </si>
  <si>
    <t>405,304,569.00</t>
  </si>
  <si>
    <t>INHC.L</t>
  </si>
  <si>
    <t>Induction Healthcare Group PLC</t>
  </si>
  <si>
    <t>-1,011121409</t>
  </si>
  <si>
    <t>-25,4%</t>
  </si>
  <si>
    <t>11,443,863.00</t>
  </si>
  <si>
    <t>RELES.CO</t>
  </si>
  <si>
    <t>Relesys A/S</t>
  </si>
  <si>
    <t>-0,013289037</t>
  </si>
  <si>
    <t>864.01</t>
  </si>
  <si>
    <t>172,896,000.00</t>
  </si>
  <si>
    <t>ORAO.ASE</t>
  </si>
  <si>
    <t>Ora Technology PLC</t>
  </si>
  <si>
    <t>-0,189273488</t>
  </si>
  <si>
    <t>6,668,571.00</t>
  </si>
  <si>
    <t>ALAR.TA</t>
  </si>
  <si>
    <t>Alarum Technologies Ltd</t>
  </si>
  <si>
    <t>627,661,385.00</t>
  </si>
  <si>
    <t>NOVS.KL</t>
  </si>
  <si>
    <t>Nova MSC Bhd</t>
  </si>
  <si>
    <t>-0,236950603</t>
  </si>
  <si>
    <t>36.01</t>
  </si>
  <si>
    <t>98,666,667.00</t>
  </si>
  <si>
    <t>FLT.V</t>
  </si>
  <si>
    <t>Drone Delivery Canada Corp</t>
  </si>
  <si>
    <t>-0,793720769</t>
  </si>
  <si>
    <t>-962,0%</t>
  </si>
  <si>
    <t>4438.T</t>
  </si>
  <si>
    <t>Welby Inc</t>
  </si>
  <si>
    <t>-0,015734393</t>
  </si>
  <si>
    <t>-74,4%</t>
  </si>
  <si>
    <t>252.77</t>
  </si>
  <si>
    <t>39,646,906.00</t>
  </si>
  <si>
    <t>TRIONA.NGM</t>
  </si>
  <si>
    <t>Triona AB</t>
  </si>
  <si>
    <t>11,721,801.00</t>
  </si>
  <si>
    <t>DCC.AX</t>
  </si>
  <si>
    <t>Digitalx Ltd</t>
  </si>
  <si>
    <t>-155,6%</t>
  </si>
  <si>
    <t>49.93</t>
  </si>
  <si>
    <t>431,432,088.00</t>
  </si>
  <si>
    <t>DATG.LJ</t>
  </si>
  <si>
    <t>Datalab dd</t>
  </si>
  <si>
    <t>-0,065137747</t>
  </si>
  <si>
    <t>1,806,000,000.00</t>
  </si>
  <si>
    <t>CKT.L</t>
  </si>
  <si>
    <t>Checkit PLC</t>
  </si>
  <si>
    <t>-46,0%</t>
  </si>
  <si>
    <t>61.44</t>
  </si>
  <si>
    <t>134,000,000.00</t>
  </si>
  <si>
    <t>ABMK.BO</t>
  </si>
  <si>
    <t>ABM Knowledgeware Ltd</t>
  </si>
  <si>
    <t>-0,074074074</t>
  </si>
  <si>
    <t>55,220,027.00</t>
  </si>
  <si>
    <t>2345.T</t>
  </si>
  <si>
    <t>Kushim Inc</t>
  </si>
  <si>
    <t>2.12</t>
  </si>
  <si>
    <t>12.91</t>
  </si>
  <si>
    <t>11,469,507.00</t>
  </si>
  <si>
    <t>3905.T</t>
  </si>
  <si>
    <t>Datasection Inc</t>
  </si>
  <si>
    <t>19,591,129.00</t>
  </si>
  <si>
    <t>3727.T</t>
  </si>
  <si>
    <t>Aplix Corp</t>
  </si>
  <si>
    <t>-2,923959944</t>
  </si>
  <si>
    <t>46.76</t>
  </si>
  <si>
    <t>762,000,000.00</t>
  </si>
  <si>
    <t>CYK.ASE</t>
  </si>
  <si>
    <t>Cykel AI PLC</t>
  </si>
  <si>
    <t>4.61</t>
  </si>
  <si>
    <t>405,279,683.00</t>
  </si>
  <si>
    <t>RISMA.CO</t>
  </si>
  <si>
    <t>Risma Systems A/S</t>
  </si>
  <si>
    <t>-43,1%</t>
  </si>
  <si>
    <t>42.42</t>
  </si>
  <si>
    <t>41,069,068.00</t>
  </si>
  <si>
    <t>296640.KQ</t>
  </si>
  <si>
    <t>InnoRules Co Ltd</t>
  </si>
  <si>
    <t>-4,9%</t>
  </si>
  <si>
    <t>1,113,166,223.00</t>
  </si>
  <si>
    <t>PAC3.WA</t>
  </si>
  <si>
    <t>Proacta SA</t>
  </si>
  <si>
    <t>7.06</t>
  </si>
  <si>
    <t>6,751,000.00</t>
  </si>
  <si>
    <t>085810.KQ</t>
  </si>
  <si>
    <t>Alticast Corp</t>
  </si>
  <si>
    <t>-102,7%</t>
  </si>
  <si>
    <t>1.28</t>
  </si>
  <si>
    <t>17.59</t>
  </si>
  <si>
    <t>138.24</t>
  </si>
  <si>
    <t>490,297,013.00</t>
  </si>
  <si>
    <t>3841.T</t>
  </si>
  <si>
    <t>Jedat Inc</t>
  </si>
  <si>
    <t>-2,159178397</t>
  </si>
  <si>
    <t>12.62</t>
  </si>
  <si>
    <t>21,291,250.00</t>
  </si>
  <si>
    <t>4440.T</t>
  </si>
  <si>
    <t>Witz Corp</t>
  </si>
  <si>
    <t>-12,78</t>
  </si>
  <si>
    <t>31.08</t>
  </si>
  <si>
    <t>3,276,267.00</t>
  </si>
  <si>
    <t>ESK.AX</t>
  </si>
  <si>
    <t>Etherstack PLC</t>
  </si>
  <si>
    <t>28,410,125.00</t>
  </si>
  <si>
    <t>HLOC.PK</t>
  </si>
  <si>
    <t>Helo Corp</t>
  </si>
  <si>
    <t>1.81</t>
  </si>
  <si>
    <t>6.87</t>
  </si>
  <si>
    <t>49.55</t>
  </si>
  <si>
    <t>60.19</t>
  </si>
  <si>
    <t>61,269,812.00</t>
  </si>
  <si>
    <t>3667.T</t>
  </si>
  <si>
    <t>Enish Inc</t>
  </si>
  <si>
    <t>-32,0%</t>
  </si>
  <si>
    <t>-0.31</t>
  </si>
  <si>
    <t>-0.49</t>
  </si>
  <si>
    <t>145,599,031.00</t>
  </si>
  <si>
    <t>3917.T</t>
  </si>
  <si>
    <t>iRidge Inc</t>
  </si>
  <si>
    <t>-1,64632967</t>
  </si>
  <si>
    <t>1.82</t>
  </si>
  <si>
    <t>6,392,238.00</t>
  </si>
  <si>
    <t>7035.T</t>
  </si>
  <si>
    <t>And Factory Inc</t>
  </si>
  <si>
    <t>16.53</t>
  </si>
  <si>
    <t>9.82</t>
  </si>
  <si>
    <t>184,483,025.00</t>
  </si>
  <si>
    <t>LSPK.TO</t>
  </si>
  <si>
    <t>LifeSpeak Inc</t>
  </si>
  <si>
    <t>722,558,133.00</t>
  </si>
  <si>
    <t>3858.T</t>
  </si>
  <si>
    <t>Ubiquitous AI Corp</t>
  </si>
  <si>
    <t>-4,267150268</t>
  </si>
  <si>
    <t>1,488,832,800.00</t>
  </si>
  <si>
    <t>PRO.AX</t>
  </si>
  <si>
    <t>Prophecy International Holdings Ltd</t>
  </si>
  <si>
    <t>159.86</t>
  </si>
  <si>
    <t>1,188,305.00</t>
  </si>
  <si>
    <t>SFTR.ST</t>
  </si>
  <si>
    <t>Safeture AB</t>
  </si>
  <si>
    <t>-0,381537229</t>
  </si>
  <si>
    <t>2,195,139.00</t>
  </si>
  <si>
    <t>ISH1k.DE</t>
  </si>
  <si>
    <t>INTERSHOP Communications AG</t>
  </si>
  <si>
    <t>9.28</t>
  </si>
  <si>
    <t>5,308,497.00</t>
  </si>
  <si>
    <t>RZI.AX</t>
  </si>
  <si>
    <t>Raiz Invest Ltd</t>
  </si>
  <si>
    <t>-5,074265976</t>
  </si>
  <si>
    <t>-25,0%</t>
  </si>
  <si>
    <t>44.21</t>
  </si>
  <si>
    <t>31,445,725.00</t>
  </si>
  <si>
    <t>ICI.AX</t>
  </si>
  <si>
    <t>Icandy Interactive Ltd</t>
  </si>
  <si>
    <t>-0,080439449</t>
  </si>
  <si>
    <t>102,333,400.00</t>
  </si>
  <si>
    <t>MFON.PK</t>
  </si>
  <si>
    <t>Mobivity Holdings Corp</t>
  </si>
  <si>
    <t>-18,69784743</t>
  </si>
  <si>
    <t>-139,2%</t>
  </si>
  <si>
    <t>448,354,002.00</t>
  </si>
  <si>
    <t>DOC.V</t>
  </si>
  <si>
    <t>CloudMD Software &amp; Services Inc</t>
  </si>
  <si>
    <t>-0,639557337</t>
  </si>
  <si>
    <t>-5,0%</t>
  </si>
  <si>
    <t>125.72</t>
  </si>
  <si>
    <t>8.38</t>
  </si>
  <si>
    <t>92,622,300.00</t>
  </si>
  <si>
    <t>4172.T</t>
  </si>
  <si>
    <t>Towa Hi System Co Ltd</t>
  </si>
  <si>
    <t>-1,304924904</t>
  </si>
  <si>
    <t>9.59</t>
  </si>
  <si>
    <t>7,487,400.00</t>
  </si>
  <si>
    <t>MOVP.WA</t>
  </si>
  <si>
    <t>Movie Games SA</t>
  </si>
  <si>
    <t>-143,5%</t>
  </si>
  <si>
    <t>4.95</t>
  </si>
  <si>
    <t>5,240,000.00</t>
  </si>
  <si>
    <t>TECH.OL</t>
  </si>
  <si>
    <t>Techstep ASA</t>
  </si>
  <si>
    <t>-0,401432469</t>
  </si>
  <si>
    <t>8.30</t>
  </si>
  <si>
    <t>35,192,232.00</t>
  </si>
  <si>
    <t>333050.KQ</t>
  </si>
  <si>
    <t>MocoMSys Inc</t>
  </si>
  <si>
    <t>-1,700669566</t>
  </si>
  <si>
    <t>32.22</t>
  </si>
  <si>
    <t>24,991,284.00</t>
  </si>
  <si>
    <t>4014.T</t>
  </si>
  <si>
    <t>Karadanote Inc</t>
  </si>
  <si>
    <t>161.77</t>
  </si>
  <si>
    <t>3.14</t>
  </si>
  <si>
    <t>11,707,472.00</t>
  </si>
  <si>
    <t>PIL.AX</t>
  </si>
  <si>
    <t>Peppermint Innovation Ltd</t>
  </si>
  <si>
    <t>-2,902420619</t>
  </si>
  <si>
    <t>-768,8%</t>
  </si>
  <si>
    <t>4.74</t>
  </si>
  <si>
    <t>1,271,589,025.00</t>
  </si>
  <si>
    <t>WRPT.PK</t>
  </si>
  <si>
    <t>Warpspeed Taxi Inc</t>
  </si>
  <si>
    <t>39.35</t>
  </si>
  <si>
    <t>710,677,844.00</t>
  </si>
  <si>
    <t>COGC.L</t>
  </si>
  <si>
    <t>Cambridge Cognition Holdings PLC</t>
  </si>
  <si>
    <t>-18,4%</t>
  </si>
  <si>
    <t>4.17</t>
  </si>
  <si>
    <t>503,927,177.00</t>
  </si>
  <si>
    <t>INGI.L</t>
  </si>
  <si>
    <t>Ingenta PLC</t>
  </si>
  <si>
    <t>-0,130434783</t>
  </si>
  <si>
    <t>6.07</t>
  </si>
  <si>
    <t>2.32</t>
  </si>
  <si>
    <t>4,495,003.00</t>
  </si>
  <si>
    <t>LZGI.PK</t>
  </si>
  <si>
    <t>Lzg International Inc</t>
  </si>
  <si>
    <t>-179,6%</t>
  </si>
  <si>
    <t>5.56</t>
  </si>
  <si>
    <t>1,509,078,630.00</t>
  </si>
  <si>
    <t>WRK.AX</t>
  </si>
  <si>
    <t>Wrkr Ltd</t>
  </si>
  <si>
    <t>-3,329670696</t>
  </si>
  <si>
    <t>116.01</t>
  </si>
  <si>
    <t>430,125,000.00</t>
  </si>
  <si>
    <t>ALINN.PA</t>
  </si>
  <si>
    <t>Innelec Multimedia SA</t>
  </si>
  <si>
    <t>-0,139128864</t>
  </si>
  <si>
    <t>10,610,197.00</t>
  </si>
  <si>
    <t>ORHB.PK</t>
  </si>
  <si>
    <t>ORHub Inc</t>
  </si>
  <si>
    <t>6.98</t>
  </si>
  <si>
    <t>8.53</t>
  </si>
  <si>
    <t>28,906,881.00</t>
  </si>
  <si>
    <t>ITFT.PA</t>
  </si>
  <si>
    <t>Itesoft SA</t>
  </si>
  <si>
    <t>5.01</t>
  </si>
  <si>
    <t>1,429,520.00</t>
  </si>
  <si>
    <t>PYS.NZ</t>
  </si>
  <si>
    <t>Paysauce Ltd</t>
  </si>
  <si>
    <t>16.03</t>
  </si>
  <si>
    <t>34,369,803.00</t>
  </si>
  <si>
    <t>MLBMD.EUA</t>
  </si>
  <si>
    <t>Beaconsmind AG</t>
  </si>
  <si>
    <t>-1,703488372</t>
  </si>
  <si>
    <t>-360,4%</t>
  </si>
  <si>
    <t>26,017,870.00</t>
  </si>
  <si>
    <t>3997.T</t>
  </si>
  <si>
    <t>Trade Works Co Ltd</t>
  </si>
  <si>
    <t>-0,160056772</t>
  </si>
  <si>
    <t>267,972,328.00</t>
  </si>
  <si>
    <t>GAME.V</t>
  </si>
  <si>
    <t>GameSquare Holdings Inc</t>
  </si>
  <si>
    <t>-21,4%</t>
  </si>
  <si>
    <t>45,991,488.00</t>
  </si>
  <si>
    <t>5211.TWO</t>
  </si>
  <si>
    <t>Penpower Technology Ltd</t>
  </si>
  <si>
    <t>-0,368830911</t>
  </si>
  <si>
    <t>5.38</t>
  </si>
  <si>
    <t>14.76</t>
  </si>
  <si>
    <t>1,646,395,485.00</t>
  </si>
  <si>
    <t>QMCI.PK</t>
  </si>
  <si>
    <t>QuoteMedia Inc</t>
  </si>
  <si>
    <t>-0,217741252</t>
  </si>
  <si>
    <t>49,209,834.00</t>
  </si>
  <si>
    <t>DIVA.JK</t>
  </si>
  <si>
    <t>Distribusi Voucher Nusantara Tbk PT</t>
  </si>
  <si>
    <t>19.76</t>
  </si>
  <si>
    <t>054220.KQ</t>
  </si>
  <si>
    <t>VitzroSys Co Ltd</t>
  </si>
  <si>
    <t>-51,4%</t>
  </si>
  <si>
    <t>1,126,588,969.00</t>
  </si>
  <si>
    <t>CCA.AX</t>
  </si>
  <si>
    <t>Change Financial Ltd</t>
  </si>
  <si>
    <t>41.85</t>
  </si>
  <si>
    <t>71,780,809.00</t>
  </si>
  <si>
    <t>ALVGO.PA</t>
  </si>
  <si>
    <t>Vogo SA</t>
  </si>
  <si>
    <t>-0,053688234</t>
  </si>
  <si>
    <t>19.15</t>
  </si>
  <si>
    <t>191.83</t>
  </si>
  <si>
    <t>8.42</t>
  </si>
  <si>
    <t>83,500,000.00</t>
  </si>
  <si>
    <t>DUOT.OQ</t>
  </si>
  <si>
    <t>Duos Technologies Group Inc</t>
  </si>
  <si>
    <t>-4,868542208</t>
  </si>
  <si>
    <t>-111,4%</t>
  </si>
  <si>
    <t>607,253,090.00</t>
  </si>
  <si>
    <t>CYR.DE</t>
  </si>
  <si>
    <t>Cyan AG</t>
  </si>
  <si>
    <t>-0,01419197</t>
  </si>
  <si>
    <t>-112,0%</t>
  </si>
  <si>
    <t>27,177,029.00</t>
  </si>
  <si>
    <t>3744.T</t>
  </si>
  <si>
    <t>SIOS Corp</t>
  </si>
  <si>
    <t>-0,526986388</t>
  </si>
  <si>
    <t>4,846,000.00</t>
  </si>
  <si>
    <t>ALPRG.PA</t>
  </si>
  <si>
    <t>Prologue SA</t>
  </si>
  <si>
    <t>-0,389164978</t>
  </si>
  <si>
    <t>5.20</t>
  </si>
  <si>
    <t>4.86</t>
  </si>
  <si>
    <t>76,292,708.00</t>
  </si>
  <si>
    <t>R1B.DE</t>
  </si>
  <si>
    <t>Rubean AG</t>
  </si>
  <si>
    <t>104,987,931.00</t>
  </si>
  <si>
    <t>BCSP.WA</t>
  </si>
  <si>
    <t>Big Cheese Studio SA</t>
  </si>
  <si>
    <t>-0,058144851</t>
  </si>
  <si>
    <t>5.71</t>
  </si>
  <si>
    <t>2,013,000.00</t>
  </si>
  <si>
    <t>HOLO.OQ</t>
  </si>
  <si>
    <t>MicroCloud Hologram Inc</t>
  </si>
  <si>
    <t>-85,2%</t>
  </si>
  <si>
    <t>211,235,385.00</t>
  </si>
  <si>
    <t>3710.T</t>
  </si>
  <si>
    <t>Jorudan Co Ltd</t>
  </si>
  <si>
    <t>-0,00287215</t>
  </si>
  <si>
    <t>-1.10</t>
  </si>
  <si>
    <t>5.12</t>
  </si>
  <si>
    <t>36.23</t>
  </si>
  <si>
    <t>73,228,101.00</t>
  </si>
  <si>
    <t>230980.KQ</t>
  </si>
  <si>
    <t>B U Technology Co Ltd</t>
  </si>
  <si>
    <t>-146,5%</t>
  </si>
  <si>
    <t>82.39</t>
  </si>
  <si>
    <t>23.95</t>
  </si>
  <si>
    <t>12,720,608.00</t>
  </si>
  <si>
    <t>VRAR.OQ</t>
  </si>
  <si>
    <t>Glimpse Group Inc</t>
  </si>
  <si>
    <t>-1,198436414</t>
  </si>
  <si>
    <t>-37,8%</t>
  </si>
  <si>
    <t>42,738,674.00</t>
  </si>
  <si>
    <t>CXAI.OQ</t>
  </si>
  <si>
    <t>CXApp Inc</t>
  </si>
  <si>
    <t>9.41</t>
  </si>
  <si>
    <t>105.16</t>
  </si>
  <si>
    <t>8.14</t>
  </si>
  <si>
    <t>69,310,328.00</t>
  </si>
  <si>
    <t>EAGR.TO</t>
  </si>
  <si>
    <t>East Side Games Group Inc</t>
  </si>
  <si>
    <t>-0,117934153</t>
  </si>
  <si>
    <t>638,301,397.00</t>
  </si>
  <si>
    <t>3DP.AX</t>
  </si>
  <si>
    <t>Pointerra Ltd</t>
  </si>
  <si>
    <t>-0,110984535</t>
  </si>
  <si>
    <t>-57,3%</t>
  </si>
  <si>
    <t>IDBT.KL</t>
  </si>
  <si>
    <t>IDB Technologies Bhd</t>
  </si>
  <si>
    <t>-0,06643305</t>
  </si>
  <si>
    <t>HEEROS.HE</t>
  </si>
  <si>
    <t>Heeros Oyj</t>
  </si>
  <si>
    <t>6.79</t>
  </si>
  <si>
    <t>5,229,928.00</t>
  </si>
  <si>
    <t>HRYU.OQ</t>
  </si>
  <si>
    <t>Hanryu Holdings Inc</t>
  </si>
  <si>
    <t>-11,96799826</t>
  </si>
  <si>
    <t>-1.31</t>
  </si>
  <si>
    <t>175.29</t>
  </si>
  <si>
    <t>29.25</t>
  </si>
  <si>
    <t>13,490,151.00</t>
  </si>
  <si>
    <t>SOC.AX</t>
  </si>
  <si>
    <t>SOCO Corporation Ltd</t>
  </si>
  <si>
    <t>-0,696304283</t>
  </si>
  <si>
    <t>23,896,531.00</t>
  </si>
  <si>
    <t>ARBB.KL</t>
  </si>
  <si>
    <t>ARB Bhd</t>
  </si>
  <si>
    <t>33.13</t>
  </si>
  <si>
    <t>154.47</t>
  </si>
  <si>
    <t>45.35</t>
  </si>
  <si>
    <t>461,723,327.00</t>
  </si>
  <si>
    <t>SNEL.TA</t>
  </si>
  <si>
    <t>Synel MLL Payway Ltd</t>
  </si>
  <si>
    <t>16,388,886.00</t>
  </si>
  <si>
    <t>TR1.MC</t>
  </si>
  <si>
    <t>Tier 1 Technology SA</t>
  </si>
  <si>
    <t>36.06</t>
  </si>
  <si>
    <t>150,324,581.00</t>
  </si>
  <si>
    <t>NBVA.V</t>
  </si>
  <si>
    <t>Nubeva Technologies Ltd</t>
  </si>
  <si>
    <t>-243,1%</t>
  </si>
  <si>
    <t>254,558,075.00</t>
  </si>
  <si>
    <t>AR9.AX</t>
  </si>
  <si>
    <t>Archtis Ltd</t>
  </si>
  <si>
    <t>-0,015394123</t>
  </si>
  <si>
    <t>-71,2%</t>
  </si>
  <si>
    <t>6,200,000.00</t>
  </si>
  <si>
    <t>MDAP.WA</t>
  </si>
  <si>
    <t>Medapp SA</t>
  </si>
  <si>
    <t>-0,091339615</t>
  </si>
  <si>
    <t>-7,0%</t>
  </si>
  <si>
    <t>68,506,425.00</t>
  </si>
  <si>
    <t>CYBT.CD</t>
  </si>
  <si>
    <t>Cybeats Technologies Inc</t>
  </si>
  <si>
    <t>-4,807,0%</t>
  </si>
  <si>
    <t>22.12</t>
  </si>
  <si>
    <t>2,240,443,656.00</t>
  </si>
  <si>
    <t>ALWED.PA</t>
  </si>
  <si>
    <t>Wedia SA</t>
  </si>
  <si>
    <t>-0,100191539</t>
  </si>
  <si>
    <t>110,295,894.00</t>
  </si>
  <si>
    <t>BUSER.ST</t>
  </si>
  <si>
    <t>Bambuser AB</t>
  </si>
  <si>
    <t>-53,3%</t>
  </si>
  <si>
    <t>80.28</t>
  </si>
  <si>
    <t>643,829,039.00</t>
  </si>
  <si>
    <t>B24P.WA</t>
  </si>
  <si>
    <t>Brand 24 SA</t>
  </si>
  <si>
    <t>44.59</t>
  </si>
  <si>
    <t>12,815,866.00</t>
  </si>
  <si>
    <t>MRDB.N</t>
  </si>
  <si>
    <t>MariaDB PLC</t>
  </si>
  <si>
    <t>-97,3%</t>
  </si>
  <si>
    <t>35.68</t>
  </si>
  <si>
    <t>50,571,488.00</t>
  </si>
  <si>
    <t>NEPA.ST</t>
  </si>
  <si>
    <t>Nepa AB</t>
  </si>
  <si>
    <t>-0,304684755</t>
  </si>
  <si>
    <t>9.89</t>
  </si>
  <si>
    <t>5.02</t>
  </si>
  <si>
    <t>20,349,600.00</t>
  </si>
  <si>
    <t>TBX0.F</t>
  </si>
  <si>
    <t>Tick Trading Software AG</t>
  </si>
  <si>
    <t>25.76</t>
  </si>
  <si>
    <t>21.44</t>
  </si>
  <si>
    <t>31,948,000.00</t>
  </si>
  <si>
    <t>4167.T</t>
  </si>
  <si>
    <t>Kokopelli Inc</t>
  </si>
  <si>
    <t>13.80</t>
  </si>
  <si>
    <t>263,417,905.00</t>
  </si>
  <si>
    <t>SNS.AX</t>
  </si>
  <si>
    <t>Sensen Networks Ltd</t>
  </si>
  <si>
    <t>-66,2%</t>
  </si>
  <si>
    <t>KIDZ.V</t>
  </si>
  <si>
    <t>Kidoz Inc</t>
  </si>
  <si>
    <t>-0,64791167</t>
  </si>
  <si>
    <t>-16,7%</t>
  </si>
  <si>
    <t>-0.81</t>
  </si>
  <si>
    <t>-1.34</t>
  </si>
  <si>
    <t>28.52</t>
  </si>
  <si>
    <t>54,229,665.00</t>
  </si>
  <si>
    <t>6860.HK</t>
  </si>
  <si>
    <t>FingerTango Inc</t>
  </si>
  <si>
    <t>-1.78</t>
  </si>
  <si>
    <t>69,147,093.00</t>
  </si>
  <si>
    <t>XYBN.V</t>
  </si>
  <si>
    <t>Xybion Digital Inc</t>
  </si>
  <si>
    <t>-0,35927674</t>
  </si>
  <si>
    <t>APPm.BK</t>
  </si>
  <si>
    <t>AppliCAD PCL</t>
  </si>
  <si>
    <t>-0,536986859</t>
  </si>
  <si>
    <t>24,254,842.00</t>
  </si>
  <si>
    <t>4199.T</t>
  </si>
  <si>
    <t>Wonderplanet Inc</t>
  </si>
  <si>
    <t>22.33</t>
  </si>
  <si>
    <t>867,443,576.00</t>
  </si>
  <si>
    <t>3672.T</t>
  </si>
  <si>
    <t>AltPlus Inc</t>
  </si>
  <si>
    <t>-12,7%</t>
  </si>
  <si>
    <t>6.96</t>
  </si>
  <si>
    <t>20,500,000.00</t>
  </si>
  <si>
    <t>3927.T</t>
  </si>
  <si>
    <t>Fuva Brain Ltd</t>
  </si>
  <si>
    <t>8,941,320.00</t>
  </si>
  <si>
    <t>RSSI.NS</t>
  </si>
  <si>
    <t>R S Software (India) Ltd</t>
  </si>
  <si>
    <t>45.93</t>
  </si>
  <si>
    <t>9.76</t>
  </si>
  <si>
    <t>73,316,948.00</t>
  </si>
  <si>
    <t>MVLA.OQ</t>
  </si>
  <si>
    <t>Movella Holdings Inc</t>
  </si>
  <si>
    <t>-0,265114491</t>
  </si>
  <si>
    <t>576,487,678.00</t>
  </si>
  <si>
    <t>ADVTY.NGM</t>
  </si>
  <si>
    <t>Adverty publ AB</t>
  </si>
  <si>
    <t>-0,062186734</t>
  </si>
  <si>
    <t>-38,6%</t>
  </si>
  <si>
    <t>4.13</t>
  </si>
  <si>
    <t>15,113,347.00</t>
  </si>
  <si>
    <t>RSS.V</t>
  </si>
  <si>
    <t>Resaas Services Inc</t>
  </si>
  <si>
    <t>-667,1%</t>
  </si>
  <si>
    <t>16.21</t>
  </si>
  <si>
    <t>90,153,700.00</t>
  </si>
  <si>
    <t>QLRD.TA</t>
  </si>
  <si>
    <t>Quicklizard Ltd</t>
  </si>
  <si>
    <t>-0,049830313</t>
  </si>
  <si>
    <t>-73,8%</t>
  </si>
  <si>
    <t>3.18</t>
  </si>
  <si>
    <t>24.64</t>
  </si>
  <si>
    <t>19,361,162.00</t>
  </si>
  <si>
    <t>ITNSm.BK</t>
  </si>
  <si>
    <t>International Network System PCL</t>
  </si>
  <si>
    <t>-0,080697292</t>
  </si>
  <si>
    <t>88.71</t>
  </si>
  <si>
    <t>109,655,391.00</t>
  </si>
  <si>
    <t>NRST.MI</t>
  </si>
  <si>
    <t>Neurosoft Software Production SA</t>
  </si>
  <si>
    <t>11.59</t>
  </si>
  <si>
    <t>72.32</t>
  </si>
  <si>
    <t>7.17</t>
  </si>
  <si>
    <t>75,399,000.00</t>
  </si>
  <si>
    <t>SECU.KL</t>
  </si>
  <si>
    <t>Securemetric Bhd</t>
  </si>
  <si>
    <t>18.11</t>
  </si>
  <si>
    <t>384.24</t>
  </si>
  <si>
    <t>71,959,476.00</t>
  </si>
  <si>
    <t>FIDE.NS</t>
  </si>
  <si>
    <t>Fidel Softech Ltd</t>
  </si>
  <si>
    <t>-1,013475846</t>
  </si>
  <si>
    <t>6.08</t>
  </si>
  <si>
    <t>42.26</t>
  </si>
  <si>
    <t>169,584,000.00</t>
  </si>
  <si>
    <t>4GBL.L</t>
  </si>
  <si>
    <t>4Global PLC</t>
  </si>
  <si>
    <t>-13,6%</t>
  </si>
  <si>
    <t>16.70</t>
  </si>
  <si>
    <t>-4.56</t>
  </si>
  <si>
    <t>39.04</t>
  </si>
  <si>
    <t>612,286,635.00</t>
  </si>
  <si>
    <t>3920.T</t>
  </si>
  <si>
    <t>Internetworking and Broadband Consulting Co Ltd</t>
  </si>
  <si>
    <t>7.33</t>
  </si>
  <si>
    <t>11,085,332.00</t>
  </si>
  <si>
    <t>QGSI.PK</t>
  </si>
  <si>
    <t>Quantgate Systems Inc</t>
  </si>
  <si>
    <t>82.01</t>
  </si>
  <si>
    <t>25,641,716.00</t>
  </si>
  <si>
    <t>NARF.L</t>
  </si>
  <si>
    <t>Narf Industries PLC</t>
  </si>
  <si>
    <t>-1,421885536</t>
  </si>
  <si>
    <t>1,400,592,810.00</t>
  </si>
  <si>
    <t>CTZ.V</t>
  </si>
  <si>
    <t>NamSys Inc</t>
  </si>
  <si>
    <t>-0,494211406</t>
  </si>
  <si>
    <t>41.90</t>
  </si>
  <si>
    <t>1,081,608,653.00</t>
  </si>
  <si>
    <t>3632.TWO</t>
  </si>
  <si>
    <t>Papago Inc</t>
  </si>
  <si>
    <t>45.37</t>
  </si>
  <si>
    <t>3,441,900.00</t>
  </si>
  <si>
    <t>RVYL.OQ</t>
  </si>
  <si>
    <t>Ryvyl Inc</t>
  </si>
  <si>
    <t>-28,04056032</t>
  </si>
  <si>
    <t>-19,5%</t>
  </si>
  <si>
    <t>5.54</t>
  </si>
  <si>
    <t>15.32</t>
  </si>
  <si>
    <t>9.44</t>
  </si>
  <si>
    <t>22,556,163.00</t>
  </si>
  <si>
    <t>3974.T</t>
  </si>
  <si>
    <t>SCAT Inc</t>
  </si>
  <si>
    <t>-1,631921472</t>
  </si>
  <si>
    <t>10.50</t>
  </si>
  <si>
    <t>8,865,610.00</t>
  </si>
  <si>
    <t>9421.T</t>
  </si>
  <si>
    <t>NJ Holdings Inc</t>
  </si>
  <si>
    <t>111,986,771.00</t>
  </si>
  <si>
    <t>TNDO.TA</t>
  </si>
  <si>
    <t>Tondo Smart Ltd</t>
  </si>
  <si>
    <t>-6,767130442</t>
  </si>
  <si>
    <t>5.33</t>
  </si>
  <si>
    <t>27,532,242.00</t>
  </si>
  <si>
    <t>SVRS.WA</t>
  </si>
  <si>
    <t>Silvair Inc</t>
  </si>
  <si>
    <t>-30,6%</t>
  </si>
  <si>
    <t>683.55</t>
  </si>
  <si>
    <t>105,003,340.00</t>
  </si>
  <si>
    <t>033790.KQ</t>
  </si>
  <si>
    <t>Skymoons Technology Inc</t>
  </si>
  <si>
    <t>-1,105413105</t>
  </si>
  <si>
    <t>4,684,781.00</t>
  </si>
  <si>
    <t>MTBL.N</t>
  </si>
  <si>
    <t>Moatable Inc</t>
  </si>
  <si>
    <t>76,958,037.00</t>
  </si>
  <si>
    <t>WISH.V</t>
  </si>
  <si>
    <t>Wishpond Technologies Ltd</t>
  </si>
  <si>
    <t>71,523,066.00</t>
  </si>
  <si>
    <t>4378.T</t>
  </si>
  <si>
    <t>CINC Corp</t>
  </si>
  <si>
    <t>78,842,300.00</t>
  </si>
  <si>
    <t>4424.T</t>
  </si>
  <si>
    <t>Amazia Inc</t>
  </si>
  <si>
    <t>3,609,299.00</t>
  </si>
  <si>
    <t>IDMO.TA</t>
  </si>
  <si>
    <t>Idomoo Ltd</t>
  </si>
  <si>
    <t>-45,5%</t>
  </si>
  <si>
    <t>329,337,389.00</t>
  </si>
  <si>
    <t>FRWP.WA</t>
  </si>
  <si>
    <t>Frozen Way SA</t>
  </si>
  <si>
    <t>-0,243979058</t>
  </si>
  <si>
    <t>302,505,970.00</t>
  </si>
  <si>
    <t>4421.T</t>
  </si>
  <si>
    <t>D I System Co Ltd</t>
  </si>
  <si>
    <t>18.53</t>
  </si>
  <si>
    <t>94,908,301.00</t>
  </si>
  <si>
    <t>VR1.AX</t>
  </si>
  <si>
    <t>Vection Technologies Ltd</t>
  </si>
  <si>
    <t>-29,4%</t>
  </si>
  <si>
    <t>4.73</t>
  </si>
  <si>
    <t>26,494,653.00</t>
  </si>
  <si>
    <t>4335.T</t>
  </si>
  <si>
    <t>IPS Co Ltd</t>
  </si>
  <si>
    <t>-1,436572864</t>
  </si>
  <si>
    <t>-2,57</t>
  </si>
  <si>
    <t>13.85</t>
  </si>
  <si>
    <t>21.98</t>
  </si>
  <si>
    <t>14,180,000.00</t>
  </si>
  <si>
    <t>AHI.AX</t>
  </si>
  <si>
    <t>Advanced Health Intelligence Ltd</t>
  </si>
  <si>
    <t>-585,6%</t>
  </si>
  <si>
    <t>88,603,526.00</t>
  </si>
  <si>
    <t>AIAI.CD</t>
  </si>
  <si>
    <t>NetraMark Holdings Inc</t>
  </si>
  <si>
    <t>-0,174077263</t>
  </si>
  <si>
    <t>146,204,505.00</t>
  </si>
  <si>
    <t>5134.T</t>
  </si>
  <si>
    <t>POPER Co Ltd</t>
  </si>
  <si>
    <t>602,950,717.00</t>
  </si>
  <si>
    <t>CYN.OQ</t>
  </si>
  <si>
    <t>CYNGN Inc</t>
  </si>
  <si>
    <t>-8,06097561</t>
  </si>
  <si>
    <t>-6,461,9%</t>
  </si>
  <si>
    <t>158,271,000.00</t>
  </si>
  <si>
    <t>6536.TWO</t>
  </si>
  <si>
    <t>Tiga Gaming Inc</t>
  </si>
  <si>
    <t>24.03</t>
  </si>
  <si>
    <t>64,760,721.00</t>
  </si>
  <si>
    <t>CCLD.OQ</t>
  </si>
  <si>
    <t>CareCloud Inc</t>
  </si>
  <si>
    <t>-14,14</t>
  </si>
  <si>
    <t>6.80</t>
  </si>
  <si>
    <t>86.08</t>
  </si>
  <si>
    <t>86,933,400.00</t>
  </si>
  <si>
    <t>INLX.A</t>
  </si>
  <si>
    <t>Intellinetics Inc</t>
  </si>
  <si>
    <t>-10,92</t>
  </si>
  <si>
    <t>7.02</t>
  </si>
  <si>
    <t>2.71</t>
  </si>
  <si>
    <t>24.93</t>
  </si>
  <si>
    <t>7,334,822.00</t>
  </si>
  <si>
    <t>BPG.NZ</t>
  </si>
  <si>
    <t>Black Pearl Group Ltd</t>
  </si>
  <si>
    <t>-353,1%</t>
  </si>
  <si>
    <t>NET.AX</t>
  </si>
  <si>
    <t>Netlinkz Ltd</t>
  </si>
  <si>
    <t>-0,367140912</t>
  </si>
  <si>
    <t>-51,6%</t>
  </si>
  <si>
    <t>18.38</t>
  </si>
  <si>
    <t>199150.KN</t>
  </si>
  <si>
    <t>Data Streams Corp</t>
  </si>
  <si>
    <t>-0,637060656</t>
  </si>
  <si>
    <t>11.05</t>
  </si>
  <si>
    <t>9.05</t>
  </si>
  <si>
    <t>2,208,453.00</t>
  </si>
  <si>
    <t>NETIN.CY</t>
  </si>
  <si>
    <t>NETinfo PLC</t>
  </si>
  <si>
    <t>-1,021619705</t>
  </si>
  <si>
    <t>6.50</t>
  </si>
  <si>
    <t>16.41</t>
  </si>
  <si>
    <t>47.22</t>
  </si>
  <si>
    <t>4,988,985.00</t>
  </si>
  <si>
    <t>IRSX.JK</t>
  </si>
  <si>
    <t>Aviana Sinar Abadi PT Tbk</t>
  </si>
  <si>
    <t>-0.86</t>
  </si>
  <si>
    <t>9.37</t>
  </si>
  <si>
    <t>29,106,470.00</t>
  </si>
  <si>
    <t>MRAI.OQ</t>
  </si>
  <si>
    <t>Marpai Inc</t>
  </si>
  <si>
    <t>-76,5%</t>
  </si>
  <si>
    <t>19,414,200.00</t>
  </si>
  <si>
    <t>IFSS.NLB</t>
  </si>
  <si>
    <t>Interfield Global Software Inc</t>
  </si>
  <si>
    <t>-0,757162779</t>
  </si>
  <si>
    <t>16.20</t>
  </si>
  <si>
    <t>200.05</t>
  </si>
  <si>
    <t>148,323,448.00</t>
  </si>
  <si>
    <t>3634.T</t>
  </si>
  <si>
    <t>Sockets Inc</t>
  </si>
  <si>
    <t>-6,188804362</t>
  </si>
  <si>
    <t>10,252,018.00</t>
  </si>
  <si>
    <t>SOLTEQ.HE</t>
  </si>
  <si>
    <t>Solteq Oyj</t>
  </si>
  <si>
    <t>17,938,752.00</t>
  </si>
  <si>
    <t>2468.T</t>
  </si>
  <si>
    <t>FueTrek Co Ltd</t>
  </si>
  <si>
    <t>-0.97</t>
  </si>
  <si>
    <t>524,826,146.00</t>
  </si>
  <si>
    <t>DONKEY.CO</t>
  </si>
  <si>
    <t>Donkeyrepublic Holding A/S</t>
  </si>
  <si>
    <t>-3,891474521</t>
  </si>
  <si>
    <t>54.82</t>
  </si>
  <si>
    <t>11,062,005.00</t>
  </si>
  <si>
    <t>NOSA.ST</t>
  </si>
  <si>
    <t>Nosa Plugs AB publ</t>
  </si>
  <si>
    <t>-2,141691227</t>
  </si>
  <si>
    <t>104,605,243.00</t>
  </si>
  <si>
    <t>AELL.BO</t>
  </si>
  <si>
    <t>Accel Ltd</t>
  </si>
  <si>
    <t>-0,105095772</t>
  </si>
  <si>
    <t>25.45</t>
  </si>
  <si>
    <t>20.20</t>
  </si>
  <si>
    <t>13,939,405.00</t>
  </si>
  <si>
    <t>BMR.OQ</t>
  </si>
  <si>
    <t>Beamr Imaging Ltd</t>
  </si>
  <si>
    <t>27.38</t>
  </si>
  <si>
    <t>-0.30</t>
  </si>
  <si>
    <t>8.85</t>
  </si>
  <si>
    <t>15,040,737.00</t>
  </si>
  <si>
    <t>CFISH.ST</t>
  </si>
  <si>
    <t>Crunchfish AB</t>
  </si>
  <si>
    <t>-5,389912706</t>
  </si>
  <si>
    <t>-9,039,9%</t>
  </si>
  <si>
    <t>5,600,000.00</t>
  </si>
  <si>
    <t>HCTI.OQ</t>
  </si>
  <si>
    <t>Healthcare Triangle Inc</t>
  </si>
  <si>
    <t>-0,017173373</t>
  </si>
  <si>
    <t>140,500,000.00</t>
  </si>
  <si>
    <t>MEGRP.NGM</t>
  </si>
  <si>
    <t>Mediacle Group AB (publ)</t>
  </si>
  <si>
    <t>-0,231589054</t>
  </si>
  <si>
    <t>132,944,615.00</t>
  </si>
  <si>
    <t>9250.T</t>
  </si>
  <si>
    <t>GRCS Inc</t>
  </si>
  <si>
    <t>-0.64</t>
  </si>
  <si>
    <t>2.87</t>
  </si>
  <si>
    <t>-0.66</t>
  </si>
  <si>
    <t>19,411,708.00</t>
  </si>
  <si>
    <t>AHIX.PK</t>
  </si>
  <si>
    <t>ALUF Holdings Inc</t>
  </si>
  <si>
    <t>-3,030683745</t>
  </si>
  <si>
    <t>2.42</t>
  </si>
  <si>
    <t>7,383,954.00</t>
  </si>
  <si>
    <t>WBSR.PK</t>
  </si>
  <si>
    <t>Webstar Technology Group Inc</t>
  </si>
  <si>
    <t>-1,325314756</t>
  </si>
  <si>
    <t>6.36</t>
  </si>
  <si>
    <t>44.89</t>
  </si>
  <si>
    <t>135,132,764.00</t>
  </si>
  <si>
    <t>EXRE.L</t>
  </si>
  <si>
    <t>ENGAGE XR Holdings PLC</t>
  </si>
  <si>
    <t>-0,070151959</t>
  </si>
  <si>
    <t>-121,7%</t>
  </si>
  <si>
    <t>7.64</t>
  </si>
  <si>
    <t>49.80</t>
  </si>
  <si>
    <t>66.41</t>
  </si>
  <si>
    <t>156,127,011.00</t>
  </si>
  <si>
    <t>FLX.AX</t>
  </si>
  <si>
    <t>Felix Group Holdings Ltd</t>
  </si>
  <si>
    <t>-0,001318981</t>
  </si>
  <si>
    <t>-110,6%</t>
  </si>
  <si>
    <t>3.36</t>
  </si>
  <si>
    <t>66.67</t>
  </si>
  <si>
    <t>47.44</t>
  </si>
  <si>
    <t>203,205,081.00</t>
  </si>
  <si>
    <t>3042.T</t>
  </si>
  <si>
    <t>SecuAvail Inc</t>
  </si>
  <si>
    <t>-0,017392513</t>
  </si>
  <si>
    <t>4.42</t>
  </si>
  <si>
    <t>15.55</t>
  </si>
  <si>
    <t>12,819,140.00</t>
  </si>
  <si>
    <t>NTAR.CD</t>
  </si>
  <si>
    <t>Nextech3D.AI Corp</t>
  </si>
  <si>
    <t>-0,180754413</t>
  </si>
  <si>
    <t>-10,57</t>
  </si>
  <si>
    <t>-177,6%</t>
  </si>
  <si>
    <t>11.49</t>
  </si>
  <si>
    <t>10,500,000.00</t>
  </si>
  <si>
    <t>IVXG.DE</t>
  </si>
  <si>
    <t>InVision AG</t>
  </si>
  <si>
    <t>-0,031909465</t>
  </si>
  <si>
    <t>-9,4%</t>
  </si>
  <si>
    <t>1,931,387,000.00</t>
  </si>
  <si>
    <t>6565.TWO</t>
  </si>
  <si>
    <t>ThroughTek Co Ltd</t>
  </si>
  <si>
    <t>-2,966328521</t>
  </si>
  <si>
    <t>35,666,336.00</t>
  </si>
  <si>
    <t>DISA.SI</t>
  </si>
  <si>
    <t>DISA Ltd</t>
  </si>
  <si>
    <t>-0,143224061</t>
  </si>
  <si>
    <t>324.89</t>
  </si>
  <si>
    <t>11.80</t>
  </si>
  <si>
    <t>416,880,452.00</t>
  </si>
  <si>
    <t>3842.T</t>
  </si>
  <si>
    <t>Nextgen Inc</t>
  </si>
  <si>
    <t>-0,203940887</t>
  </si>
  <si>
    <t>13,069,979.00</t>
  </si>
  <si>
    <t>4057.T</t>
  </si>
  <si>
    <t>Interfactory Inc</t>
  </si>
  <si>
    <t>93,445,466.00</t>
  </si>
  <si>
    <t>TAL.AX</t>
  </si>
  <si>
    <t>Talius Group Ltd</t>
  </si>
  <si>
    <t>-11,5%</t>
  </si>
  <si>
    <t>15.34</t>
  </si>
  <si>
    <t>19,750,000.00</t>
  </si>
  <si>
    <t>COMANm.BK</t>
  </si>
  <si>
    <t>Comanche International PCL</t>
  </si>
  <si>
    <t>-0,156436839</t>
  </si>
  <si>
    <t>7,560,735.00</t>
  </si>
  <si>
    <t>7077.T</t>
  </si>
  <si>
    <t>ALiNK Internet INC</t>
  </si>
  <si>
    <t>-0,218715104</t>
  </si>
  <si>
    <t>-11,81</t>
  </si>
  <si>
    <t>12.79</t>
  </si>
  <si>
    <t>2,189,884.00</t>
  </si>
  <si>
    <t>8062.HK</t>
  </si>
  <si>
    <t>EFT Solutions Holdings Ltd</t>
  </si>
  <si>
    <t>19.38</t>
  </si>
  <si>
    <t>333,584,729.00</t>
  </si>
  <si>
    <t>IP.CD</t>
  </si>
  <si>
    <t>ImagineAR Inc</t>
  </si>
  <si>
    <t>6.29</t>
  </si>
  <si>
    <t>70.53</t>
  </si>
  <si>
    <t>5,168,000.00</t>
  </si>
  <si>
    <t>KRMK.L</t>
  </si>
  <si>
    <t>KRM22 PLC</t>
  </si>
  <si>
    <t>-0,011848016</t>
  </si>
  <si>
    <t>-17,5%</t>
  </si>
  <si>
    <t>6.17</t>
  </si>
  <si>
    <t>10.13</t>
  </si>
  <si>
    <t>5,932,500.00</t>
  </si>
  <si>
    <t>SOTR.MI</t>
  </si>
  <si>
    <t>SosTravel.com SpA</t>
  </si>
  <si>
    <t>-1,663113994</t>
  </si>
  <si>
    <t>9.53</t>
  </si>
  <si>
    <t>158.51</t>
  </si>
  <si>
    <t>492,836,049.00</t>
  </si>
  <si>
    <t>THP.V</t>
  </si>
  <si>
    <t>Totally Hip Technologies Inc</t>
  </si>
  <si>
    <t>-4,465060524</t>
  </si>
  <si>
    <t>199,488,614.00</t>
  </si>
  <si>
    <t>JTAI.OQ</t>
  </si>
  <si>
    <t>Jet.AI Inc</t>
  </si>
  <si>
    <t>-0,274164408</t>
  </si>
  <si>
    <t>UVCR.JK</t>
  </si>
  <si>
    <t>Trimegah Karya Pratama Tbk PT</t>
  </si>
  <si>
    <t>-1,180528466</t>
  </si>
  <si>
    <t>29,571,605.00</t>
  </si>
  <si>
    <t>123F.DE</t>
  </si>
  <si>
    <t>123fahrschule SE</t>
  </si>
  <si>
    <t>-7,5%</t>
  </si>
  <si>
    <t>19.56</t>
  </si>
  <si>
    <t>15,787,263.00</t>
  </si>
  <si>
    <t>MHUB.V</t>
  </si>
  <si>
    <t>Minehub Technologies Inc</t>
  </si>
  <si>
    <t>-0,383707327</t>
  </si>
  <si>
    <t>-2,077,5%</t>
  </si>
  <si>
    <t>48,100,998.00</t>
  </si>
  <si>
    <t>SAMES.CO</t>
  </si>
  <si>
    <t>Samesystem A/S</t>
  </si>
  <si>
    <t>-0,102049964</t>
  </si>
  <si>
    <t>11.54</t>
  </si>
  <si>
    <t>5,230,000.00</t>
  </si>
  <si>
    <t>LVH.AX</t>
  </si>
  <si>
    <t>LiveHire Ltd</t>
  </si>
  <si>
    <t>-0,209592805</t>
  </si>
  <si>
    <t>-150,0%</t>
  </si>
  <si>
    <t>23.94</t>
  </si>
  <si>
    <t>4,003,000.00</t>
  </si>
  <si>
    <t>FRSX.TA</t>
  </si>
  <si>
    <t>Foresight Autonomous Holdings Ltd</t>
  </si>
  <si>
    <t>-0,050850292</t>
  </si>
  <si>
    <t>10,922,823.00</t>
  </si>
  <si>
    <t>LITIU.ST</t>
  </si>
  <si>
    <t>Litium AB</t>
  </si>
  <si>
    <t>-33,01</t>
  </si>
  <si>
    <t>2.10</t>
  </si>
  <si>
    <t>BRQL.PK</t>
  </si>
  <si>
    <t>BrooqLy Inc</t>
  </si>
  <si>
    <t>-0.24</t>
  </si>
  <si>
    <t>-0.70</t>
  </si>
  <si>
    <t>36,082,808.00</t>
  </si>
  <si>
    <t>IMPERO.CO</t>
  </si>
  <si>
    <t>Impero A/S</t>
  </si>
  <si>
    <t>-45,2%</t>
  </si>
  <si>
    <t>40.81</t>
  </si>
  <si>
    <t>116,934,931.00</t>
  </si>
  <si>
    <t>ALW.MI</t>
  </si>
  <si>
    <t>algoWatt SpA</t>
  </si>
  <si>
    <t>12.74</t>
  </si>
  <si>
    <t>11.23</t>
  </si>
  <si>
    <t>177,344,476.00</t>
  </si>
  <si>
    <t>1059.HK</t>
  </si>
  <si>
    <t>Kantone Holdings Ltd</t>
  </si>
  <si>
    <t>-44,7623722</t>
  </si>
  <si>
    <t>351,686,984.00</t>
  </si>
  <si>
    <t>PHTM.TA</t>
  </si>
  <si>
    <t>Photomyne Ltd</t>
  </si>
  <si>
    <t>-6,921270718</t>
  </si>
  <si>
    <t>READ.CD</t>
  </si>
  <si>
    <t>Legible Inc</t>
  </si>
  <si>
    <t>-9,785,1%</t>
  </si>
  <si>
    <t>10.73</t>
  </si>
  <si>
    <t>2,052,750.00</t>
  </si>
  <si>
    <t>QUIO.NS</t>
  </si>
  <si>
    <t>Quicktouch Technologies Ltd</t>
  </si>
  <si>
    <t>-0,275633579</t>
  </si>
  <si>
    <t>23.86</t>
  </si>
  <si>
    <t>13,092,888.00</t>
  </si>
  <si>
    <t>ODTH.BO</t>
  </si>
  <si>
    <t>Odyssey Technologies Ltd</t>
  </si>
  <si>
    <t>-0.32</t>
  </si>
  <si>
    <t>44,063,317.00</t>
  </si>
  <si>
    <t>FOBI.V</t>
  </si>
  <si>
    <t>Fobi AI Inc</t>
  </si>
  <si>
    <t>-685,7%</t>
  </si>
  <si>
    <t>16,408,100.00</t>
  </si>
  <si>
    <t>8353.HK</t>
  </si>
  <si>
    <t>Anacle Systems Ltd</t>
  </si>
  <si>
    <t>-0,002171087</t>
  </si>
  <si>
    <t>-2,1%</t>
  </si>
  <si>
    <t>27,838,189.00</t>
  </si>
  <si>
    <t>ULG.WA</t>
  </si>
  <si>
    <t>Ultimate Games SA</t>
  </si>
  <si>
    <t>6.30</t>
  </si>
  <si>
    <t>9,607,672.00</t>
  </si>
  <si>
    <t>CLOQ.PK</t>
  </si>
  <si>
    <t>Cyberloq Technologies Inc</t>
  </si>
  <si>
    <t>30.36</t>
  </si>
  <si>
    <t>11,261,970.00</t>
  </si>
  <si>
    <t>LIH.BX</t>
  </si>
  <si>
    <t>Life Is Hard SA</t>
  </si>
  <si>
    <t>-0,322522496</t>
  </si>
  <si>
    <t>447,312,754.00</t>
  </si>
  <si>
    <t>PHUN.OQ</t>
  </si>
  <si>
    <t>Phunware Inc</t>
  </si>
  <si>
    <t>-0,87</t>
  </si>
  <si>
    <t>-168,0%</t>
  </si>
  <si>
    <t>2,794,594,990.00</t>
  </si>
  <si>
    <t>6933.HK</t>
  </si>
  <si>
    <t>Sino-Entertainment Technology Holdings Ltd</t>
  </si>
  <si>
    <t>-0,35228308</t>
  </si>
  <si>
    <t>-2,060,0%</t>
  </si>
  <si>
    <t>427,238,014.00</t>
  </si>
  <si>
    <t>9258.T</t>
  </si>
  <si>
    <t>CS-C Co Ltd</t>
  </si>
  <si>
    <t>-1,696144279</t>
  </si>
  <si>
    <t>21,460,800.00</t>
  </si>
  <si>
    <t>SDL.NZ</t>
  </si>
  <si>
    <t>Solution Dynamics Ltd</t>
  </si>
  <si>
    <t>113.19</t>
  </si>
  <si>
    <t>99,630,496.00</t>
  </si>
  <si>
    <t>CXZ.AX</t>
  </si>
  <si>
    <t>Connexion Mobility Ltd</t>
  </si>
  <si>
    <t>285,686,923.00</t>
  </si>
  <si>
    <t>AXE.V</t>
  </si>
  <si>
    <t>Acceleware Ltd</t>
  </si>
  <si>
    <t>-1,259,7%</t>
  </si>
  <si>
    <t>3,058,000.00</t>
  </si>
  <si>
    <t>IDNT.TA</t>
  </si>
  <si>
    <t>Identi Healthcare Ltd</t>
  </si>
  <si>
    <t>-0,308827901</t>
  </si>
  <si>
    <t>17.94</t>
  </si>
  <si>
    <t>27,323,364.00</t>
  </si>
  <si>
    <t>NORDIG.ST</t>
  </si>
  <si>
    <t>Nord Insuretech Group AB</t>
  </si>
  <si>
    <t>-37,5%</t>
  </si>
  <si>
    <t>8,480,000.00</t>
  </si>
  <si>
    <t>CRDL.L</t>
  </si>
  <si>
    <t>Cordel Group PLC</t>
  </si>
  <si>
    <t>-0,061975057</t>
  </si>
  <si>
    <t>16,334,838.00</t>
  </si>
  <si>
    <t>TKVR.PK</t>
  </si>
  <si>
    <t>Zhejiang Dashang Media Co Ltd</t>
  </si>
  <si>
    <t>3.87</t>
  </si>
  <si>
    <t>11.71</t>
  </si>
  <si>
    <t>165,845,600.00</t>
  </si>
  <si>
    <t>ILYr.AT</t>
  </si>
  <si>
    <t>Ilyda SA</t>
  </si>
  <si>
    <t>32.42</t>
  </si>
  <si>
    <t>53,881,120.00</t>
  </si>
  <si>
    <t>BWLK.V</t>
  </si>
  <si>
    <t>Boardwalktech Software Corp</t>
  </si>
  <si>
    <t>-42,8%</t>
  </si>
  <si>
    <t>3.01</t>
  </si>
  <si>
    <t>1,283,403,500.00</t>
  </si>
  <si>
    <t>ROASC.BX</t>
  </si>
  <si>
    <t>Ascendia SA</t>
  </si>
  <si>
    <t>-0,036068999</t>
  </si>
  <si>
    <t>126.29</t>
  </si>
  <si>
    <t>150,543,635.00</t>
  </si>
  <si>
    <t>K2F.AX</t>
  </si>
  <si>
    <t>K2FLY Ltd</t>
  </si>
  <si>
    <t>87.01</t>
  </si>
  <si>
    <t>199,145,041.00</t>
  </si>
  <si>
    <t>4265.T</t>
  </si>
  <si>
    <t>Institution For A Global Society Corp</t>
  </si>
  <si>
    <t>-0,149149665</t>
  </si>
  <si>
    <t>21.18</t>
  </si>
  <si>
    <t>577,066,000.00</t>
  </si>
  <si>
    <t>SYNO.NS</t>
  </si>
  <si>
    <t>Synoptics Technologies Ltd</t>
  </si>
  <si>
    <t>46,848,022.00</t>
  </si>
  <si>
    <t>LSIS.WA</t>
  </si>
  <si>
    <t>LSI Software SA</t>
  </si>
  <si>
    <t>118,340,491.00</t>
  </si>
  <si>
    <t>GBKG.ST</t>
  </si>
  <si>
    <t>Goodbye Kansas Group AB</t>
  </si>
  <si>
    <t>-2,301005025</t>
  </si>
  <si>
    <t>-9,9%</t>
  </si>
  <si>
    <t>15.82</t>
  </si>
  <si>
    <t>29,733,255.00</t>
  </si>
  <si>
    <t>AMI1.F</t>
  </si>
  <si>
    <t>Medondo Holding AG</t>
  </si>
  <si>
    <t>-0,124381332</t>
  </si>
  <si>
    <t>81,052,663.00</t>
  </si>
  <si>
    <t>BRIOX.NGM</t>
  </si>
  <si>
    <t>Briox AB</t>
  </si>
  <si>
    <t>-14,43</t>
  </si>
  <si>
    <t>-134,7%</t>
  </si>
  <si>
    <t>6,816,900.00</t>
  </si>
  <si>
    <t>CSFS.L</t>
  </si>
  <si>
    <t>Cornerstone FS PLC</t>
  </si>
  <si>
    <t>-29,6%</t>
  </si>
  <si>
    <t>8,948,332.00</t>
  </si>
  <si>
    <t>BLBX.OQ</t>
  </si>
  <si>
    <t>Blackboxstocks Inc</t>
  </si>
  <si>
    <t>-0,465246878</t>
  </si>
  <si>
    <t>-160,9%</t>
  </si>
  <si>
    <t>76.79</t>
  </si>
  <si>
    <t>6,757,800.00</t>
  </si>
  <si>
    <t>KONSOL.CO</t>
  </si>
  <si>
    <t>Konsolidator A/S</t>
  </si>
  <si>
    <t>-0,015032897</t>
  </si>
  <si>
    <t>-53,6%</t>
  </si>
  <si>
    <t>10.16</t>
  </si>
  <si>
    <t>13.94</t>
  </si>
  <si>
    <t>2,200,000.00</t>
  </si>
  <si>
    <t>SOK.WA</t>
  </si>
  <si>
    <t>Sonka SA</t>
  </si>
  <si>
    <t>-1,2115996</t>
  </si>
  <si>
    <t>-0.23</t>
  </si>
  <si>
    <t>39.74</t>
  </si>
  <si>
    <t>8,671,467.00</t>
  </si>
  <si>
    <t>4020.T</t>
  </si>
  <si>
    <t>Betrend Corp</t>
  </si>
  <si>
    <t>-0.33</t>
  </si>
  <si>
    <t>4,988,461.00</t>
  </si>
  <si>
    <t>TRH1V.HE</t>
  </si>
  <si>
    <t>Trainers' House Oyj</t>
  </si>
  <si>
    <t>9.63</t>
  </si>
  <si>
    <t>1,118,873.00</t>
  </si>
  <si>
    <t>3845.T</t>
  </si>
  <si>
    <t>I-Freek Mobile Inc</t>
  </si>
  <si>
    <t>15.07</t>
  </si>
  <si>
    <t>7.15</t>
  </si>
  <si>
    <t>6,249,000.00</t>
  </si>
  <si>
    <t>FREJA.ST</t>
  </si>
  <si>
    <t>Freja eID Group AB</t>
  </si>
  <si>
    <t>-38,9%</t>
  </si>
  <si>
    <t>-15.33</t>
  </si>
  <si>
    <t>1,428,571,400.00</t>
  </si>
  <si>
    <t>EDVE.BO</t>
  </si>
  <si>
    <t>Edvenswa Enterprises Ltd</t>
  </si>
  <si>
    <t>-0,4622068</t>
  </si>
  <si>
    <t>6.00</t>
  </si>
  <si>
    <t>31,811,688.00</t>
  </si>
  <si>
    <t>3639.T</t>
  </si>
  <si>
    <t>Voltage Inc</t>
  </si>
  <si>
    <t>-2,2%</t>
  </si>
  <si>
    <t>1,227.94</t>
  </si>
  <si>
    <t>45,458,608.00</t>
  </si>
  <si>
    <t>HTCR.OQ</t>
  </si>
  <si>
    <t>Heartcore Enterprises Inc</t>
  </si>
  <si>
    <t>-1,64635785</t>
  </si>
  <si>
    <t>-25,9%</t>
  </si>
  <si>
    <t>23.22</t>
  </si>
  <si>
    <t>27.98</t>
  </si>
  <si>
    <t>13,283,481.00</t>
  </si>
  <si>
    <t>SOBR.OQ</t>
  </si>
  <si>
    <t>Sobr Safe Inc</t>
  </si>
  <si>
    <t>-0,274992234</t>
  </si>
  <si>
    <t>-7,752,3%</t>
  </si>
  <si>
    <t>2,000,000.00</t>
  </si>
  <si>
    <t>8148.HK</t>
  </si>
  <si>
    <t>Wuxi Life International Holdings Group Ltd</t>
  </si>
  <si>
    <t>-0,174280378</t>
  </si>
  <si>
    <t>-20,5%</t>
  </si>
  <si>
    <t>334.13</t>
  </si>
  <si>
    <t>17,159,709.00</t>
  </si>
  <si>
    <t>MMSP.WA</t>
  </si>
  <si>
    <t>Madmind Studio SA</t>
  </si>
  <si>
    <t>-1,176002124</t>
  </si>
  <si>
    <t>94,156,612.00</t>
  </si>
  <si>
    <t>1933.HK</t>
  </si>
  <si>
    <t>OneForce Holdings Ltd</t>
  </si>
  <si>
    <t>4.96</t>
  </si>
  <si>
    <t>935,304,312.00</t>
  </si>
  <si>
    <t>MAPSP.CO</t>
  </si>
  <si>
    <t>Mapspeople A/S</t>
  </si>
  <si>
    <t>-170,9%</t>
  </si>
  <si>
    <t>7.32</t>
  </si>
  <si>
    <t>1,309,445,295.00</t>
  </si>
  <si>
    <t>PNTP.WA</t>
  </si>
  <si>
    <t>Pointpack SA</t>
  </si>
  <si>
    <t>-0,458448034</t>
  </si>
  <si>
    <t>20.54</t>
  </si>
  <si>
    <t>9.30</t>
  </si>
  <si>
    <t>2,573,132.00</t>
  </si>
  <si>
    <t>SAGO.BO</t>
  </si>
  <si>
    <t>Sagarsoft (India) Ltd</t>
  </si>
  <si>
    <t>11.89</t>
  </si>
  <si>
    <t>58.64</t>
  </si>
  <si>
    <t>11,816,298.00</t>
  </si>
  <si>
    <t>IDAI.OQ</t>
  </si>
  <si>
    <t>T Stamp Inc</t>
  </si>
  <si>
    <t>-435,8%</t>
  </si>
  <si>
    <t>2,661.24</t>
  </si>
  <si>
    <t>501,466,410.00</t>
  </si>
  <si>
    <t>CTID.L</t>
  </si>
  <si>
    <t>Crimson Tide PLC</t>
  </si>
  <si>
    <t>-0,083230123</t>
  </si>
  <si>
    <t>4,672,574.00</t>
  </si>
  <si>
    <t>MARK.OQ</t>
  </si>
  <si>
    <t>Remark Holdings Inc</t>
  </si>
  <si>
    <t>-0,567153285</t>
  </si>
  <si>
    <t>-766,2%</t>
  </si>
  <si>
    <t>1,800,000,000.00</t>
  </si>
  <si>
    <t>DOC.AX</t>
  </si>
  <si>
    <t>Doctor Care Anywhere Group PLC</t>
  </si>
  <si>
    <t>-0,774528213</t>
  </si>
  <si>
    <t>102.07</t>
  </si>
  <si>
    <t>353.54</t>
  </si>
  <si>
    <t>4.32</t>
  </si>
  <si>
    <t>11,395,171.00</t>
  </si>
  <si>
    <t>NOWG.PK</t>
  </si>
  <si>
    <t>Nowigence Inc</t>
  </si>
  <si>
    <t>-0,049474114</t>
  </si>
  <si>
    <t>-6,569,2%</t>
  </si>
  <si>
    <t>2,522,300.00</t>
  </si>
  <si>
    <t>THNK.V</t>
  </si>
  <si>
    <t>Think Research Corporation</t>
  </si>
  <si>
    <t>-0,29134073</t>
  </si>
  <si>
    <t>7.73</t>
  </si>
  <si>
    <t>4,920,300.00</t>
  </si>
  <si>
    <t>PMVM.TA</t>
  </si>
  <si>
    <t>Pomvom Ltd</t>
  </si>
  <si>
    <t>-2,343513759</t>
  </si>
  <si>
    <t>38.95</t>
  </si>
  <si>
    <t>19.30</t>
  </si>
  <si>
    <t>19,659,000.00</t>
  </si>
  <si>
    <t>ELIT.JK</t>
  </si>
  <si>
    <t>Data Sinergitama Jaya Tbk PT</t>
  </si>
  <si>
    <t>-0,329388967</t>
  </si>
  <si>
    <t>12.15</t>
  </si>
  <si>
    <t>20.92</t>
  </si>
  <si>
    <t>34,650,270.00</t>
  </si>
  <si>
    <t>SGN.A</t>
  </si>
  <si>
    <t>Signing Day Sports Inc</t>
  </si>
  <si>
    <t>16.42</t>
  </si>
  <si>
    <t>152,585,256.00</t>
  </si>
  <si>
    <t>8100.HK</t>
  </si>
  <si>
    <t>GET Holdings Ltd</t>
  </si>
  <si>
    <t>-1,319324338</t>
  </si>
  <si>
    <t>3.03</t>
  </si>
  <si>
    <t>28.16</t>
  </si>
  <si>
    <t>11,594,600.00</t>
  </si>
  <si>
    <t>SLSAn.DE</t>
  </si>
  <si>
    <t>Solutiance AG</t>
  </si>
  <si>
    <t>5,479,049.00</t>
  </si>
  <si>
    <t>NOR.AX</t>
  </si>
  <si>
    <t>Norwood Systems Ltd</t>
  </si>
  <si>
    <t>-180,9%</t>
  </si>
  <si>
    <t>6,834,776.00</t>
  </si>
  <si>
    <t>GLOG.NS</t>
  </si>
  <si>
    <t>Globesecure Technologies Ltd</t>
  </si>
  <si>
    <t>-0,418922173</t>
  </si>
  <si>
    <t>17.43</t>
  </si>
  <si>
    <t>34,870,787.00</t>
  </si>
  <si>
    <t>ROCODE.BX</t>
  </si>
  <si>
    <t>Softbinator Technologies SA</t>
  </si>
  <si>
    <t>7,832,800.00</t>
  </si>
  <si>
    <t>PAS1.WA</t>
  </si>
  <si>
    <t>Passus SA</t>
  </si>
  <si>
    <t>14.39</t>
  </si>
  <si>
    <t>40,604,844.00</t>
  </si>
  <si>
    <t>258250.KN</t>
  </si>
  <si>
    <t>CellGenTek Co Ltd</t>
  </si>
  <si>
    <t>8.15</t>
  </si>
  <si>
    <t>4,176,000.00</t>
  </si>
  <si>
    <t>HP.CD</t>
  </si>
  <si>
    <t>Hello Pal International Inc</t>
  </si>
  <si>
    <t>612,987,174.00</t>
  </si>
  <si>
    <t>UNT.AX</t>
  </si>
  <si>
    <t>Unith Ltd</t>
  </si>
  <si>
    <t>-0,01918549</t>
  </si>
  <si>
    <t>97.35</t>
  </si>
  <si>
    <t>452,544,655.00</t>
  </si>
  <si>
    <t>XOXT.KL</t>
  </si>
  <si>
    <t>XOX Technology Bhd</t>
  </si>
  <si>
    <t>-0,294178556</t>
  </si>
  <si>
    <t>5,194,792.00</t>
  </si>
  <si>
    <t>NRPI.PK</t>
  </si>
  <si>
    <t>NRP Stone Inc</t>
  </si>
  <si>
    <t>38.56</t>
  </si>
  <si>
    <t>71.93</t>
  </si>
  <si>
    <t>304,423,501.00</t>
  </si>
  <si>
    <t>NOW.V</t>
  </si>
  <si>
    <t>NowVertical Group Inc</t>
  </si>
  <si>
    <t>21.90</t>
  </si>
  <si>
    <t>91,892,322.00</t>
  </si>
  <si>
    <t>BBLR.PK</t>
  </si>
  <si>
    <t>Bubblr Inc</t>
  </si>
  <si>
    <t>81,536,394.00</t>
  </si>
  <si>
    <t>TRIY.NS</t>
  </si>
  <si>
    <t>Tridhya Tech Ltd</t>
  </si>
  <si>
    <t>67,555,416.44</t>
  </si>
  <si>
    <t>MLFNP.EUA</t>
  </si>
  <si>
    <t>FNP Technologies SA</t>
  </si>
  <si>
    <t>47.56</t>
  </si>
  <si>
    <t>117,548,864.00</t>
  </si>
  <si>
    <t>PEB.L</t>
  </si>
  <si>
    <t>Pebble Beach Systems Group PLC</t>
  </si>
  <si>
    <t>1,030,604,937.00</t>
  </si>
  <si>
    <t>CFCI.PK</t>
  </si>
  <si>
    <t>CIPHER-CORE Inc</t>
  </si>
  <si>
    <t>14.80</t>
  </si>
  <si>
    <t>116,838,092.00</t>
  </si>
  <si>
    <t>LKCO.OQ</t>
  </si>
  <si>
    <t>Luokung Technology Corp</t>
  </si>
  <si>
    <t>-74,8%</t>
  </si>
  <si>
    <t>9.42</t>
  </si>
  <si>
    <t>48.70</t>
  </si>
  <si>
    <t>17.74</t>
  </si>
  <si>
    <t>271,012,969.00</t>
  </si>
  <si>
    <t>VRME.OQ</t>
  </si>
  <si>
    <t>VerifyMe Inc</t>
  </si>
  <si>
    <t>-0,851956536</t>
  </si>
  <si>
    <t>-10,6%</t>
  </si>
  <si>
    <t>163.05</t>
  </si>
  <si>
    <t>78,781,747.00</t>
  </si>
  <si>
    <t>SPEONE.ST</t>
  </si>
  <si>
    <t>Spectrumone AB (publ)</t>
  </si>
  <si>
    <t>-0,50040032</t>
  </si>
  <si>
    <t>-42,1%</t>
  </si>
  <si>
    <t>16.28</t>
  </si>
  <si>
    <t>16,838,375.00</t>
  </si>
  <si>
    <t>B4P.AX</t>
  </si>
  <si>
    <t>Beforepay Group Ltd</t>
  </si>
  <si>
    <t>-8,2%</t>
  </si>
  <si>
    <t>24.07</t>
  </si>
  <si>
    <t>365.46</t>
  </si>
  <si>
    <t>406,000,000.00</t>
  </si>
  <si>
    <t>REVO.V</t>
  </si>
  <si>
    <t>RevoluGROUP Canada Inc</t>
  </si>
  <si>
    <t>-10,88260055</t>
  </si>
  <si>
    <t>-932,9%</t>
  </si>
  <si>
    <t>16.92</t>
  </si>
  <si>
    <t>188,680,742.00</t>
  </si>
  <si>
    <t>3787.T</t>
  </si>
  <si>
    <t>Techno Mathematical Co Ltd</t>
  </si>
  <si>
    <t>180,229,116.00</t>
  </si>
  <si>
    <t>8205.HK</t>
  </si>
  <si>
    <t>Shanghai Jiaoda Withub Information Industrial Co Ltd</t>
  </si>
  <si>
    <t>-25,2%</t>
  </si>
  <si>
    <t>124,023,502.00</t>
  </si>
  <si>
    <t>EVDB.KL</t>
  </si>
  <si>
    <t>Evd Bhd</t>
  </si>
  <si>
    <t>-0,24173119</t>
  </si>
  <si>
    <t>20,475,327.00</t>
  </si>
  <si>
    <t>TWOH.PK</t>
  </si>
  <si>
    <t>Two Hands Corp</t>
  </si>
  <si>
    <t>-517,1%</t>
  </si>
  <si>
    <t>15.37</t>
  </si>
  <si>
    <t>111,916,907.00</t>
  </si>
  <si>
    <t>JNGO.TA</t>
  </si>
  <si>
    <t>Jungo Connectivity Ltd</t>
  </si>
  <si>
    <t>-0,063942518</t>
  </si>
  <si>
    <t>106,569,330.00</t>
  </si>
  <si>
    <t>LCFY.OQ</t>
  </si>
  <si>
    <t>Locafy Ltd</t>
  </si>
  <si>
    <t>-12,8%</t>
  </si>
  <si>
    <t>11.74</t>
  </si>
  <si>
    <t>15.66</t>
  </si>
  <si>
    <t>31,862,500.00</t>
  </si>
  <si>
    <t>IFBD.OQ</t>
  </si>
  <si>
    <t>Infobird Co Ltd</t>
  </si>
  <si>
    <t>-0,198045289</t>
  </si>
  <si>
    <t>-191,6%</t>
  </si>
  <si>
    <t>92,298,816.00</t>
  </si>
  <si>
    <t>3849.SP</t>
  </si>
  <si>
    <t>Nippon Techno Lab Inc</t>
  </si>
  <si>
    <t>-0,303423803</t>
  </si>
  <si>
    <t>64,676,575.00</t>
  </si>
  <si>
    <t>8CO.AX</t>
  </si>
  <si>
    <t>8Common Ltd</t>
  </si>
  <si>
    <t>-19,7%</t>
  </si>
  <si>
    <t>344,637,587.00</t>
  </si>
  <si>
    <t>ONEI.PK</t>
  </si>
  <si>
    <t>OneMeta Inc</t>
  </si>
  <si>
    <t>112,116,025.00</t>
  </si>
  <si>
    <t>HOYLU.ST</t>
  </si>
  <si>
    <t>Hoylu AB</t>
  </si>
  <si>
    <t>-1,852058938</t>
  </si>
  <si>
    <t>284,985,827.00</t>
  </si>
  <si>
    <t>AYFIE.OL</t>
  </si>
  <si>
    <t>Ayfie Group AS</t>
  </si>
  <si>
    <t>-1,558970261</t>
  </si>
  <si>
    <t>-85,6%</t>
  </si>
  <si>
    <t>20.49</t>
  </si>
  <si>
    <t>5,233,796.00</t>
  </si>
  <si>
    <t>6626.TWO</t>
  </si>
  <si>
    <t>Game Hours Inc</t>
  </si>
  <si>
    <t>-0,074963925</t>
  </si>
  <si>
    <t>-37,4%</t>
  </si>
  <si>
    <t>11.47</t>
  </si>
  <si>
    <t>185,801,457.00</t>
  </si>
  <si>
    <t>MODERA.TL</t>
  </si>
  <si>
    <t>Modera AS</t>
  </si>
  <si>
    <t>-0,868017259</t>
  </si>
  <si>
    <t>135,146,251.00</t>
  </si>
  <si>
    <t>SDSY.ST</t>
  </si>
  <si>
    <t>Seamless Distribution Systems AB</t>
  </si>
  <si>
    <t>6,049,998.00</t>
  </si>
  <si>
    <t>8267.HK</t>
  </si>
  <si>
    <t>Linekong Interactive Group Co Ltd</t>
  </si>
  <si>
    <t>-5,566527824</t>
  </si>
  <si>
    <t>-71,7%</t>
  </si>
  <si>
    <t>-1.22</t>
  </si>
  <si>
    <t>-2.32</t>
  </si>
  <si>
    <t>17.87</t>
  </si>
  <si>
    <t>55,634,942.00</t>
  </si>
  <si>
    <t>SEND.MNE</t>
  </si>
  <si>
    <t>Sendly NBFI JSC</t>
  </si>
  <si>
    <t>-0,0883951</t>
  </si>
  <si>
    <t>87.41</t>
  </si>
  <si>
    <t>104,000,000.00</t>
  </si>
  <si>
    <t>MODELb.ST</t>
  </si>
  <si>
    <t>Modelon AB (publ)</t>
  </si>
  <si>
    <t>-78,8%</t>
  </si>
  <si>
    <t>-2.89</t>
  </si>
  <si>
    <t>10.23</t>
  </si>
  <si>
    <t>-14.77</t>
  </si>
  <si>
    <t>17,775,498.00</t>
  </si>
  <si>
    <t>AIFS.PK</t>
  </si>
  <si>
    <t>Agent Information Software Inc</t>
  </si>
  <si>
    <t>169.13</t>
  </si>
  <si>
    <t>67,518,240.00</t>
  </si>
  <si>
    <t>KVSR.TA</t>
  </si>
  <si>
    <t>Kvasir Education Ltd</t>
  </si>
  <si>
    <t>173,416,082.00</t>
  </si>
  <si>
    <t>CCSgb.ASE</t>
  </si>
  <si>
    <t>Crossword Cybersecurity PLC</t>
  </si>
  <si>
    <t>-104,5%</t>
  </si>
  <si>
    <t>9.21</t>
  </si>
  <si>
    <t>4.77</t>
  </si>
  <si>
    <t>56,800,000.00</t>
  </si>
  <si>
    <t>MNDRK.TE</t>
  </si>
  <si>
    <t>Mindark Pe publ AB</t>
  </si>
  <si>
    <t>-0,315251095</t>
  </si>
  <si>
    <t>1,191,216,000.00</t>
  </si>
  <si>
    <t>RINF.BO</t>
  </si>
  <si>
    <t>Raminfo Ltd</t>
  </si>
  <si>
    <t>7.70</t>
  </si>
  <si>
    <t>57,550,324.00</t>
  </si>
  <si>
    <t>3913.T</t>
  </si>
  <si>
    <t>sMedio Inc</t>
  </si>
  <si>
    <t>280,000,000.00</t>
  </si>
  <si>
    <t>MESTRO.ST</t>
  </si>
  <si>
    <t>Mestro AB</t>
  </si>
  <si>
    <t>126.12</t>
  </si>
  <si>
    <t>336,097,443.00</t>
  </si>
  <si>
    <t>SBIO.V</t>
  </si>
  <si>
    <t>Sabio Holdings Inc</t>
  </si>
  <si>
    <t>-13,1%</t>
  </si>
  <si>
    <t>17.54</t>
  </si>
  <si>
    <t>261.52</t>
  </si>
  <si>
    <t>14,009,945.00</t>
  </si>
  <si>
    <t>ICCT.OQ</t>
  </si>
  <si>
    <t>iCoreConnect Inc</t>
  </si>
  <si>
    <t>-25,82910987</t>
  </si>
  <si>
    <t>-80,2%</t>
  </si>
  <si>
    <t>40,390,440.00</t>
  </si>
  <si>
    <t>STA1.WA</t>
  </si>
  <si>
    <t>Starward Industries SA</t>
  </si>
  <si>
    <t>-1,192973505</t>
  </si>
  <si>
    <t>-46,6%</t>
  </si>
  <si>
    <t>282,124,828.00</t>
  </si>
  <si>
    <t>X.PS</t>
  </si>
  <si>
    <t>Xurpas Inc</t>
  </si>
  <si>
    <t>-33,1%</t>
  </si>
  <si>
    <t>197.20</t>
  </si>
  <si>
    <t>45.26</t>
  </si>
  <si>
    <t>31,730,777.00</t>
  </si>
  <si>
    <t>MIMO.A</t>
  </si>
  <si>
    <t>Airspan Networks Holdings Inc</t>
  </si>
  <si>
    <t>-0,662562866</t>
  </si>
  <si>
    <t>-45,7%</t>
  </si>
  <si>
    <t>8.01</t>
  </si>
  <si>
    <t>45.21</t>
  </si>
  <si>
    <t>35,142,767.00</t>
  </si>
  <si>
    <t>4179.T</t>
  </si>
  <si>
    <t>G-Next Inc</t>
  </si>
  <si>
    <t>-2,058489435</t>
  </si>
  <si>
    <t>-14,29</t>
  </si>
  <si>
    <t>-35,0%</t>
  </si>
  <si>
    <t>15.28</t>
  </si>
  <si>
    <t>1,666.71</t>
  </si>
  <si>
    <t>2,400,000,000.00</t>
  </si>
  <si>
    <t>AHAS.BO</t>
  </si>
  <si>
    <t>Ahasolar Technologies Ltd</t>
  </si>
  <si>
    <t>-0,837187756</t>
  </si>
  <si>
    <t>11.53</t>
  </si>
  <si>
    <t>9.33</t>
  </si>
  <si>
    <t>4,037,350.00</t>
  </si>
  <si>
    <t>VFX.AX</t>
  </si>
  <si>
    <t>Visionflex Group Ltd</t>
  </si>
  <si>
    <t>-69,1%</t>
  </si>
  <si>
    <t>137.64</t>
  </si>
  <si>
    <t>1,666,666,500.00</t>
  </si>
  <si>
    <t>KLAPPb.IC</t>
  </si>
  <si>
    <t>Klappir Graenar Lausnir hf</t>
  </si>
  <si>
    <t>-1,693053777</t>
  </si>
  <si>
    <t>4.69</t>
  </si>
  <si>
    <t>14.59</t>
  </si>
  <si>
    <t>180,000,000.00</t>
  </si>
  <si>
    <t>NIR.OQ</t>
  </si>
  <si>
    <t>Near Intelligence Inc</t>
  </si>
  <si>
    <t>-4,021450579</t>
  </si>
  <si>
    <t>-73,6%</t>
  </si>
  <si>
    <t>2.93</t>
  </si>
  <si>
    <t>1,142.98</t>
  </si>
  <si>
    <t>16.96</t>
  </si>
  <si>
    <t>41,135,620.00</t>
  </si>
  <si>
    <t>ISY.ST</t>
  </si>
  <si>
    <t>Image Systems AB</t>
  </si>
  <si>
    <t>-0,968960974</t>
  </si>
  <si>
    <t>18.02</t>
  </si>
  <si>
    <t>115.00</t>
  </si>
  <si>
    <t>328,553,676.00</t>
  </si>
  <si>
    <t>CRB1.WA</t>
  </si>
  <si>
    <t>Carbon Studio SA</t>
  </si>
  <si>
    <t>10.66</t>
  </si>
  <si>
    <t>425,824,684.00</t>
  </si>
  <si>
    <t>CHOME.BU</t>
  </si>
  <si>
    <t>Chameleon Smart Home Zrt</t>
  </si>
  <si>
    <t>9.23</t>
  </si>
  <si>
    <t>91,489,524.00</t>
  </si>
  <si>
    <t>TRAN.TA</t>
  </si>
  <si>
    <t>Trucknet Enterprise Ltd</t>
  </si>
  <si>
    <t>25.98</t>
  </si>
  <si>
    <t>23,551,534.00</t>
  </si>
  <si>
    <t>CISC.CD</t>
  </si>
  <si>
    <t>Ciscom Corp</t>
  </si>
  <si>
    <t>5,647,488.00</t>
  </si>
  <si>
    <t>FERN.PK</t>
  </si>
  <si>
    <t>Fernhill Corp</t>
  </si>
  <si>
    <t>-4,368694927</t>
  </si>
  <si>
    <t>149,367,491.00</t>
  </si>
  <si>
    <t>QNT.WA</t>
  </si>
  <si>
    <t>Quantum Software SA</t>
  </si>
  <si>
    <t>14.51</t>
  </si>
  <si>
    <t>46.25</t>
  </si>
  <si>
    <t>500,000,000.00</t>
  </si>
  <si>
    <t>CAG.AX</t>
  </si>
  <si>
    <t>Cape Range Ltd</t>
  </si>
  <si>
    <t>262.59</t>
  </si>
  <si>
    <t>5.70</t>
  </si>
  <si>
    <t>115,158,439.00</t>
  </si>
  <si>
    <t>AIG.CD</t>
  </si>
  <si>
    <t>Genesis AI Corp</t>
  </si>
  <si>
    <t>-0,161062086</t>
  </si>
  <si>
    <t>14.75</t>
  </si>
  <si>
    <t>257,882,093.00</t>
  </si>
  <si>
    <t>BLIN.OQ</t>
  </si>
  <si>
    <t>Bridgeline Digital Inc</t>
  </si>
  <si>
    <t>-0,100659319</t>
  </si>
  <si>
    <t>89,379,981.00</t>
  </si>
  <si>
    <t>GLOP.BO</t>
  </si>
  <si>
    <t>Globalspace Technologies Ltd</t>
  </si>
  <si>
    <t>-0,586843624</t>
  </si>
  <si>
    <t>100,343,920.00</t>
  </si>
  <si>
    <t>MA10.DE</t>
  </si>
  <si>
    <t>Binect AG</t>
  </si>
  <si>
    <t>23.31</t>
  </si>
  <si>
    <t>3,608,000.00</t>
  </si>
  <si>
    <t>FALC.PK</t>
  </si>
  <si>
    <t>FalconStor Software Inc</t>
  </si>
  <si>
    <t>-5,9%</t>
  </si>
  <si>
    <t>-0.84</t>
  </si>
  <si>
    <t>3.96</t>
  </si>
  <si>
    <t>124,214,435.00</t>
  </si>
  <si>
    <t>3RG.WA</t>
  </si>
  <si>
    <t>3R Games SA</t>
  </si>
  <si>
    <t>-1,862017934</t>
  </si>
  <si>
    <t>414,837,816.00</t>
  </si>
  <si>
    <t>DCIGk.F</t>
  </si>
  <si>
    <t>DCI Database for Commerce and Industry AG</t>
  </si>
  <si>
    <t>-17,8%</t>
  </si>
  <si>
    <t>9.78</t>
  </si>
  <si>
    <t>-0.10</t>
  </si>
  <si>
    <t>54.75</t>
  </si>
  <si>
    <t>55,994,015.00</t>
  </si>
  <si>
    <t>DATAP.CO</t>
  </si>
  <si>
    <t>Dataproces Group A/S</t>
  </si>
  <si>
    <t>110.02</t>
  </si>
  <si>
    <t>17.21</t>
  </si>
  <si>
    <t>16,167,712.00</t>
  </si>
  <si>
    <t>AKR.V</t>
  </si>
  <si>
    <t>Ackroo Inc</t>
  </si>
  <si>
    <t>-1,000573658</t>
  </si>
  <si>
    <t>2,136,900.00</t>
  </si>
  <si>
    <t>IHAI.PK</t>
  </si>
  <si>
    <t>Innovative Holdings Alliance Inc</t>
  </si>
  <si>
    <t>-9,171737944</t>
  </si>
  <si>
    <t>-1.18</t>
  </si>
  <si>
    <t>20.52</t>
  </si>
  <si>
    <t>58,168,801.00</t>
  </si>
  <si>
    <t>GTI.AX</t>
  </si>
  <si>
    <t>Gratifii Ltd</t>
  </si>
  <si>
    <t>-6,6%</t>
  </si>
  <si>
    <t>3,188.53</t>
  </si>
  <si>
    <t>15,230,475.00</t>
  </si>
  <si>
    <t>FRNT.V</t>
  </si>
  <si>
    <t>FRNT Financial Inc</t>
  </si>
  <si>
    <t>-0,50918742</t>
  </si>
  <si>
    <t>-932,7%</t>
  </si>
  <si>
    <t>8.87</t>
  </si>
  <si>
    <t>13,579,892.00</t>
  </si>
  <si>
    <t>INX.V</t>
  </si>
  <si>
    <t>Intouch Insight Ltd</t>
  </si>
  <si>
    <t>-0,124716547</t>
  </si>
  <si>
    <t>1.88</t>
  </si>
  <si>
    <t>69.37</t>
  </si>
  <si>
    <t>106,755,694.00</t>
  </si>
  <si>
    <t>GCOR.ST</t>
  </si>
  <si>
    <t>Gaming Corps AB</t>
  </si>
  <si>
    <t>-67,5%</t>
  </si>
  <si>
    <t>11.07</t>
  </si>
  <si>
    <t>89,338,560.00</t>
  </si>
  <si>
    <t>TRLST.L</t>
  </si>
  <si>
    <t>Trellus Health PLC</t>
  </si>
  <si>
    <t>26.79</t>
  </si>
  <si>
    <t>-0.89</t>
  </si>
  <si>
    <t>41.84</t>
  </si>
  <si>
    <t>3,999,800.00</t>
  </si>
  <si>
    <t>QPR1V.HE</t>
  </si>
  <si>
    <t>QPR Software Oyj</t>
  </si>
  <si>
    <t>87,851,694.00</t>
  </si>
  <si>
    <t>BBLS.TA</t>
  </si>
  <si>
    <t>Bubbles Intergroup Ltd</t>
  </si>
  <si>
    <t>-0,822743682</t>
  </si>
  <si>
    <t>9,531,422.00</t>
  </si>
  <si>
    <t>SEAS.BO</t>
  </si>
  <si>
    <t>7Seas Entertainment Ltd</t>
  </si>
  <si>
    <t>267,869,075.00</t>
  </si>
  <si>
    <t>ACRM.L</t>
  </si>
  <si>
    <t>Acuity RM Group PLC</t>
  </si>
  <si>
    <t>-277,3%</t>
  </si>
  <si>
    <t>10.58</t>
  </si>
  <si>
    <t>103,040,000.00</t>
  </si>
  <si>
    <t>DWAY.PK</t>
  </si>
  <si>
    <t>Driveitaway Holdings Inc</t>
  </si>
  <si>
    <t>-435,7%</t>
  </si>
  <si>
    <t>12.58</t>
  </si>
  <si>
    <t>5.46</t>
  </si>
  <si>
    <t>1,496,250.00</t>
  </si>
  <si>
    <t>ITIM.L</t>
  </si>
  <si>
    <t>Itim Group PLC</t>
  </si>
  <si>
    <t>-0,884302541</t>
  </si>
  <si>
    <t>-3.55</t>
  </si>
  <si>
    <t>-9.00</t>
  </si>
  <si>
    <t>10.75</t>
  </si>
  <si>
    <t>4,065,175.00</t>
  </si>
  <si>
    <t>VS.OQ</t>
  </si>
  <si>
    <t>Versus Systems Inc</t>
  </si>
  <si>
    <t>-0,663414634</t>
  </si>
  <si>
    <t>-2,455,9%</t>
  </si>
  <si>
    <t>1,612,100,675.00</t>
  </si>
  <si>
    <t>BEO.AX</t>
  </si>
  <si>
    <t>Beonic Ltd</t>
  </si>
  <si>
    <t>-0,199049347</t>
  </si>
  <si>
    <t>-22,1%</t>
  </si>
  <si>
    <t>2.84</t>
  </si>
  <si>
    <t>4.41</t>
  </si>
  <si>
    <t>32,775,130.00</t>
  </si>
  <si>
    <t>LNU.AX</t>
  </si>
  <si>
    <t>Linius Technologies Ltd</t>
  </si>
  <si>
    <t>-0,220177008</t>
  </si>
  <si>
    <t>-802,1%</t>
  </si>
  <si>
    <t>2,305,079.00</t>
  </si>
  <si>
    <t>ENS.NZ</t>
  </si>
  <si>
    <t>Enprise Group Ltd</t>
  </si>
  <si>
    <t>2,100,000.00</t>
  </si>
  <si>
    <t>OXYP.WA</t>
  </si>
  <si>
    <t>Oxygen SA</t>
  </si>
  <si>
    <t>-1,366174056</t>
  </si>
  <si>
    <t>98,874,616.00</t>
  </si>
  <si>
    <t>VRL.DE</t>
  </si>
  <si>
    <t>Net Digital AG</t>
  </si>
  <si>
    <t>-0,5676461</t>
  </si>
  <si>
    <t>-2.27</t>
  </si>
  <si>
    <t>32.26</t>
  </si>
  <si>
    <t>72,032,765.00</t>
  </si>
  <si>
    <t>DSJK.NS</t>
  </si>
  <si>
    <t>DSJ Keep Learning Ltd</t>
  </si>
  <si>
    <t>170,000,000.00</t>
  </si>
  <si>
    <t>NXGP.WA</t>
  </si>
  <si>
    <t>Nexity Global SA</t>
  </si>
  <si>
    <t>14.14</t>
  </si>
  <si>
    <t>161,075,274.00</t>
  </si>
  <si>
    <t>EPX.AX</t>
  </si>
  <si>
    <t>EP&amp;T Global Ltd</t>
  </si>
  <si>
    <t>-45,0%</t>
  </si>
  <si>
    <t>19,155,459.00</t>
  </si>
  <si>
    <t>EFFH.ST</t>
  </si>
  <si>
    <t>Effnetplattformen Holding AB</t>
  </si>
  <si>
    <t>-0,318799834</t>
  </si>
  <si>
    <t>11.84</t>
  </si>
  <si>
    <t>123.13</t>
  </si>
  <si>
    <t>1,090,094.00</t>
  </si>
  <si>
    <t>TGCB.PK</t>
  </si>
  <si>
    <t>Tego Cyber Inc</t>
  </si>
  <si>
    <t>8.76</t>
  </si>
  <si>
    <t>-0.57</t>
  </si>
  <si>
    <t>58.54</t>
  </si>
  <si>
    <t>143,492,433.00</t>
  </si>
  <si>
    <t>CDMIL.ST</t>
  </si>
  <si>
    <t>CodeMill AB (publ)</t>
  </si>
  <si>
    <t>28.68</t>
  </si>
  <si>
    <t>111.94</t>
  </si>
  <si>
    <t>5,499,260.00</t>
  </si>
  <si>
    <t>YOJ.AX</t>
  </si>
  <si>
    <t>Yojee Ltd</t>
  </si>
  <si>
    <t>-0,520615847</t>
  </si>
  <si>
    <t>-228,7%</t>
  </si>
  <si>
    <t>111,775,430.00</t>
  </si>
  <si>
    <t>DTSS.OQ</t>
  </si>
  <si>
    <t>Datasea Inc</t>
  </si>
  <si>
    <t>-0,019423942</t>
  </si>
  <si>
    <t>-125,5%</t>
  </si>
  <si>
    <t>7.50</t>
  </si>
  <si>
    <t>14.61</t>
  </si>
  <si>
    <t>8,076,600.00</t>
  </si>
  <si>
    <t>NITRO.ST</t>
  </si>
  <si>
    <t>Nitro Games Oyj</t>
  </si>
  <si>
    <t>-0,206131611</t>
  </si>
  <si>
    <t>-33,2%</t>
  </si>
  <si>
    <t>25,476,001.00</t>
  </si>
  <si>
    <t>PDO.CD</t>
  </si>
  <si>
    <t>Pudo Inc</t>
  </si>
  <si>
    <t>-0,467620476</t>
  </si>
  <si>
    <t>3.60</t>
  </si>
  <si>
    <t>22.68</t>
  </si>
  <si>
    <t>6,250,000.00</t>
  </si>
  <si>
    <t>BRILL.ST</t>
  </si>
  <si>
    <t>Brilliant Future AB</t>
  </si>
  <si>
    <t>14.52</t>
  </si>
  <si>
    <t>121,303,799.00</t>
  </si>
  <si>
    <t>BUFT.TA</t>
  </si>
  <si>
    <t>Buff Technologies Ltd</t>
  </si>
  <si>
    <t>CTRL.V</t>
  </si>
  <si>
    <t>Edge Total Intelligence Inc</t>
  </si>
  <si>
    <t>59.44</t>
  </si>
  <si>
    <t>104,429,671.00</t>
  </si>
  <si>
    <t>RAIL.CD</t>
  </si>
  <si>
    <t>Railtown AI Technologies Inc</t>
  </si>
  <si>
    <t>-2,590262677</t>
  </si>
  <si>
    <t>13.83</t>
  </si>
  <si>
    <t>11,856,000.00</t>
  </si>
  <si>
    <t>TOUCH.TE</t>
  </si>
  <si>
    <t>Touchtech AB</t>
  </si>
  <si>
    <t>-0,09922179</t>
  </si>
  <si>
    <t>2,816,400.00</t>
  </si>
  <si>
    <t>ID8.AX</t>
  </si>
  <si>
    <t>identitii Ltd</t>
  </si>
  <si>
    <t>-186,9%</t>
  </si>
  <si>
    <t>33,432,693.00</t>
  </si>
  <si>
    <t>NRGN.TA</t>
  </si>
  <si>
    <t>Nrgene Technologies Ltd</t>
  </si>
  <si>
    <t>-0,177731028</t>
  </si>
  <si>
    <t>-154,1%</t>
  </si>
  <si>
    <t>685,172,377.00</t>
  </si>
  <si>
    <t>MRIN.OQ</t>
  </si>
  <si>
    <t>Marin Software Inc</t>
  </si>
  <si>
    <t>-0,147712418</t>
  </si>
  <si>
    <t>139.71</t>
  </si>
  <si>
    <t>4.85</t>
  </si>
  <si>
    <t>407,229,500.00</t>
  </si>
  <si>
    <t>SHO.AX</t>
  </si>
  <si>
    <t>SportsHero Ltd</t>
  </si>
  <si>
    <t>187,645,475.00</t>
  </si>
  <si>
    <t>LADYLU.ST</t>
  </si>
  <si>
    <t>LL Lucky Games AB (publ)</t>
  </si>
  <si>
    <t>-0,160107417</t>
  </si>
  <si>
    <t>4.15</t>
  </si>
  <si>
    <t>12,472,000.00</t>
  </si>
  <si>
    <t>MGAM.OQ</t>
  </si>
  <si>
    <t>Mobile Global Esports Inc</t>
  </si>
  <si>
    <t>5,856,107.00</t>
  </si>
  <si>
    <t>A6TG.DE</t>
  </si>
  <si>
    <t>Artec Technologies AG</t>
  </si>
  <si>
    <t>-0,071760627</t>
  </si>
  <si>
    <t>12,500,000.00</t>
  </si>
  <si>
    <t>TBLD.L</t>
  </si>
  <si>
    <t>Tinybuild Inc</t>
  </si>
  <si>
    <t>-0,72235542</t>
  </si>
  <si>
    <t>221.22</t>
  </si>
  <si>
    <t>12,555,142.00</t>
  </si>
  <si>
    <t>EMAN.PR</t>
  </si>
  <si>
    <t>eMan as</t>
  </si>
  <si>
    <t>14.08</t>
  </si>
  <si>
    <t>8.59</t>
  </si>
  <si>
    <t>23,571,428.00</t>
  </si>
  <si>
    <t>EXT.AX</t>
  </si>
  <si>
    <t>Excite Technology Services Ltd</t>
  </si>
  <si>
    <t>-0.94</t>
  </si>
  <si>
    <t>-0.91</t>
  </si>
  <si>
    <t>408,332,592.00</t>
  </si>
  <si>
    <t>ONE.V</t>
  </si>
  <si>
    <t>01 Communique Laboratory Inc</t>
  </si>
  <si>
    <t>-0,295719115</t>
  </si>
  <si>
    <t>-129,4%</t>
  </si>
  <si>
    <t>38,704,991.00</t>
  </si>
  <si>
    <t>OPIP.WA</t>
  </si>
  <si>
    <t>Optigis SA</t>
  </si>
  <si>
    <t>-0,165218601</t>
  </si>
  <si>
    <t>11.34</t>
  </si>
  <si>
    <t>303,303,494.00</t>
  </si>
  <si>
    <t>Z2U.AX</t>
  </si>
  <si>
    <t>Zoom2u Technologies Ltd</t>
  </si>
  <si>
    <t>-3,562875358</t>
  </si>
  <si>
    <t>-87,8%</t>
  </si>
  <si>
    <t>1,942,315,754.00</t>
  </si>
  <si>
    <t>MTLO.V</t>
  </si>
  <si>
    <t>Martello Technologies Group Inc</t>
  </si>
  <si>
    <t>-0,690333412</t>
  </si>
  <si>
    <t>-43,67</t>
  </si>
  <si>
    <t>29.24</t>
  </si>
  <si>
    <t>113,133,108.00</t>
  </si>
  <si>
    <t>REDH.KL</t>
  </si>
  <si>
    <t>Red Ideas Holdings Bhd</t>
  </si>
  <si>
    <t>-2,445010155</t>
  </si>
  <si>
    <t>12.40</t>
  </si>
  <si>
    <t>14,339,440.00</t>
  </si>
  <si>
    <t>1792.HK</t>
  </si>
  <si>
    <t>CMON Ltd</t>
  </si>
  <si>
    <t>-0,231190665</t>
  </si>
  <si>
    <t>112.94</t>
  </si>
  <si>
    <t>23.69</t>
  </si>
  <si>
    <t>416,594,451.00</t>
  </si>
  <si>
    <t>SCL.AX</t>
  </si>
  <si>
    <t>Schrole Group Ltd</t>
  </si>
  <si>
    <t>113,055,275.00</t>
  </si>
  <si>
    <t>FLOWS.ST</t>
  </si>
  <si>
    <t>Flowscape Technology AB (publ)</t>
  </si>
  <si>
    <t>-0,227201576</t>
  </si>
  <si>
    <t>-28,4%</t>
  </si>
  <si>
    <t>272,026,796.00</t>
  </si>
  <si>
    <t>AIQ.L</t>
  </si>
  <si>
    <t>AIQ Ltd</t>
  </si>
  <si>
    <t>-0,00040517</t>
  </si>
  <si>
    <t>-212,9%</t>
  </si>
  <si>
    <t>3.04</t>
  </si>
  <si>
    <t>16.06</t>
  </si>
  <si>
    <t>321,565,390.00</t>
  </si>
  <si>
    <t>CRAS.BO</t>
  </si>
  <si>
    <t>Cranes Software International Ltd</t>
  </si>
  <si>
    <t>-1,05839376</t>
  </si>
  <si>
    <t>-553,9%</t>
  </si>
  <si>
    <t>2.54</t>
  </si>
  <si>
    <t>8.97</t>
  </si>
  <si>
    <t>76,089,809.00</t>
  </si>
  <si>
    <t>SEAC.PK</t>
  </si>
  <si>
    <t>SeaChange International Inc</t>
  </si>
  <si>
    <t>-8,096873852</t>
  </si>
  <si>
    <t>7.97</t>
  </si>
  <si>
    <t>128,495,881.00</t>
  </si>
  <si>
    <t>SP8.AX</t>
  </si>
  <si>
    <t>Streamplay Studio Ltd</t>
  </si>
  <si>
    <t>-249,8%</t>
  </si>
  <si>
    <t>13.18</t>
  </si>
  <si>
    <t>552,983,396.00</t>
  </si>
  <si>
    <t>DM.V</t>
  </si>
  <si>
    <t>Datametrex AI Ltd</t>
  </si>
  <si>
    <t>-153,8%</t>
  </si>
  <si>
    <t>4.47</t>
  </si>
  <si>
    <t>9.81</t>
  </si>
  <si>
    <t>54,955,683.00</t>
  </si>
  <si>
    <t>PTOP.PK</t>
  </si>
  <si>
    <t>Peer To Peer Network</t>
  </si>
  <si>
    <t>-1,885053833</t>
  </si>
  <si>
    <t>125,795,772.00</t>
  </si>
  <si>
    <t>STER.V</t>
  </si>
  <si>
    <t>Steer Technologies Inc</t>
  </si>
  <si>
    <t>-98,7%</t>
  </si>
  <si>
    <t>31.98</t>
  </si>
  <si>
    <t>4,124,400.00</t>
  </si>
  <si>
    <t>PLTP.WA</t>
  </si>
  <si>
    <t>Plot Twist SA</t>
  </si>
  <si>
    <t>-0,641820106</t>
  </si>
  <si>
    <t>8.00</t>
  </si>
  <si>
    <t>82.69</t>
  </si>
  <si>
    <t>28.75</t>
  </si>
  <si>
    <t>152,986,387.00</t>
  </si>
  <si>
    <t>VVD.WA</t>
  </si>
  <si>
    <t>Vivid Games SA</t>
  </si>
  <si>
    <t>10,726,000.00</t>
  </si>
  <si>
    <t>TTGI.V</t>
  </si>
  <si>
    <t>Turnium Technology Group Inc</t>
  </si>
  <si>
    <t>49.63</t>
  </si>
  <si>
    <t>330,000,000.00</t>
  </si>
  <si>
    <t>DACT.CO</t>
  </si>
  <si>
    <t>Decideact A/S</t>
  </si>
  <si>
    <t>17.69</t>
  </si>
  <si>
    <t>19.65</t>
  </si>
  <si>
    <t>82,519,344.00</t>
  </si>
  <si>
    <t>AIC.CD</t>
  </si>
  <si>
    <t>AlphaGen Intelligence Corp</t>
  </si>
  <si>
    <t>-0,460346007</t>
  </si>
  <si>
    <t>-67,1%</t>
  </si>
  <si>
    <t>10.85</t>
  </si>
  <si>
    <t>7.18</t>
  </si>
  <si>
    <t>8,131,000.00</t>
  </si>
  <si>
    <t>8290.HK</t>
  </si>
  <si>
    <t>Ahsay Backup Software Development Co Ltd</t>
  </si>
  <si>
    <t>-0,048211746</t>
  </si>
  <si>
    <t>11.13</t>
  </si>
  <si>
    <t>1,960,000.00</t>
  </si>
  <si>
    <t>SCAG.BO</t>
  </si>
  <si>
    <t>Scanpoint Geomatics Ltd</t>
  </si>
  <si>
    <t>-2,035940803</t>
  </si>
  <si>
    <t>1,950,995.00</t>
  </si>
  <si>
    <t>TGL.OQ</t>
  </si>
  <si>
    <t>Treasure Global Inc</t>
  </si>
  <si>
    <t>-14,2%</t>
  </si>
  <si>
    <t>2,542,440.00</t>
  </si>
  <si>
    <t>UPSL.TA</t>
  </si>
  <si>
    <t>Upsellon Brands Holdings Ltd</t>
  </si>
  <si>
    <t>-0,485053537</t>
  </si>
  <si>
    <t>-16,1%</t>
  </si>
  <si>
    <t>51.28</t>
  </si>
  <si>
    <t>50.64</t>
  </si>
  <si>
    <t>295,922,170.00</t>
  </si>
  <si>
    <t>IMINT.TE</t>
  </si>
  <si>
    <t>Imint Image Intelligence AB</t>
  </si>
  <si>
    <t>-0,148642322</t>
  </si>
  <si>
    <t>2,473,000.00</t>
  </si>
  <si>
    <t>IONI.PK</t>
  </si>
  <si>
    <t>I-On Digital Corp</t>
  </si>
  <si>
    <t>29.08</t>
  </si>
  <si>
    <t>104,887,026.00</t>
  </si>
  <si>
    <t>PBTS.OQ</t>
  </si>
  <si>
    <t>Powerbridge Technologies Co Ltd</t>
  </si>
  <si>
    <t>-226,0%</t>
  </si>
  <si>
    <t>-1.61</t>
  </si>
  <si>
    <t>6.68</t>
  </si>
  <si>
    <t>31.90</t>
  </si>
  <si>
    <t>380,019,022.00</t>
  </si>
  <si>
    <t>PIX.WA</t>
  </si>
  <si>
    <t>Second Chamber SA</t>
  </si>
  <si>
    <t>-0,581614279</t>
  </si>
  <si>
    <t>1,602,312.00</t>
  </si>
  <si>
    <t>ESE.V</t>
  </si>
  <si>
    <t>ESE Entertainment Inc</t>
  </si>
  <si>
    <t>35,922,454.00</t>
  </si>
  <si>
    <t>O2TP.WA</t>
  </si>
  <si>
    <t>One2tribe SA</t>
  </si>
  <si>
    <t>-0,452328974</t>
  </si>
  <si>
    <t>9.20</t>
  </si>
  <si>
    <t>4,204,400.00</t>
  </si>
  <si>
    <t>AILN.TA</t>
  </si>
  <si>
    <t>Axilion Smart Mobility Ltd</t>
  </si>
  <si>
    <t>-1,695,4%</t>
  </si>
  <si>
    <t>6.44</t>
  </si>
  <si>
    <t>67,124,778.00</t>
  </si>
  <si>
    <t>GO8.NH</t>
  </si>
  <si>
    <t>Goconnect Ltd</t>
  </si>
  <si>
    <t>-0,167296581</t>
  </si>
  <si>
    <t>-371,6%</t>
  </si>
  <si>
    <t>4.44</t>
  </si>
  <si>
    <t>47.14</t>
  </si>
  <si>
    <t>33,429,367.00</t>
  </si>
  <si>
    <t>ZIGN.ST</t>
  </si>
  <si>
    <t>ZignSec AB (publ)</t>
  </si>
  <si>
    <t>-6,184148057</t>
  </si>
  <si>
    <t>10,420,000.00</t>
  </si>
  <si>
    <t>SIM1.WA</t>
  </si>
  <si>
    <t>Simfabric SA</t>
  </si>
  <si>
    <t>-0,143698483</t>
  </si>
  <si>
    <t>-83,1%</t>
  </si>
  <si>
    <t>263,857,400.00</t>
  </si>
  <si>
    <t>ALNMR.PA</t>
  </si>
  <si>
    <t>Nam.R SA</t>
  </si>
  <si>
    <t>-0,236464088</t>
  </si>
  <si>
    <t>-343,8%</t>
  </si>
  <si>
    <t>16.12</t>
  </si>
  <si>
    <t>495.67</t>
  </si>
  <si>
    <t>17.22</t>
  </si>
  <si>
    <t>2,174,984,369.00</t>
  </si>
  <si>
    <t>KENH.ST</t>
  </si>
  <si>
    <t>Kentima Holding AB (publ)</t>
  </si>
  <si>
    <t>-0,929652186</t>
  </si>
  <si>
    <t>-1.17</t>
  </si>
  <si>
    <t>222,534,737.00</t>
  </si>
  <si>
    <t>STRC.BO</t>
  </si>
  <si>
    <t>Starcom Information Technology Ltd</t>
  </si>
  <si>
    <t>-196,4%</t>
  </si>
  <si>
    <t>-0.87</t>
  </si>
  <si>
    <t>82.93</t>
  </si>
  <si>
    <t>35,824,154.00</t>
  </si>
  <si>
    <t>LEE.BO</t>
  </si>
  <si>
    <t>Lee &amp; Nee Softwares (Exports) Ltd</t>
  </si>
  <si>
    <t>-4,004472679</t>
  </si>
  <si>
    <t>4,000,000.00</t>
  </si>
  <si>
    <t>AVRW.PK</t>
  </si>
  <si>
    <t>Avenir Wellness Solutions Inc</t>
  </si>
  <si>
    <t>-0,009819533</t>
  </si>
  <si>
    <t>-161,7%</t>
  </si>
  <si>
    <t>1.67</t>
  </si>
  <si>
    <t>6,380,900.00</t>
  </si>
  <si>
    <t>XESP.PK</t>
  </si>
  <si>
    <t>Electronic Servitor Publication Network Inc</t>
  </si>
  <si>
    <t>-1,265481064</t>
  </si>
  <si>
    <t>-26,3%</t>
  </si>
  <si>
    <t>102,741,000.00</t>
  </si>
  <si>
    <t>APYP.PK</t>
  </si>
  <si>
    <t>AppYea Inc</t>
  </si>
  <si>
    <t>-0,021681705</t>
  </si>
  <si>
    <t>9.13</t>
  </si>
  <si>
    <t>40.96</t>
  </si>
  <si>
    <t>634,879,578.00</t>
  </si>
  <si>
    <t>UPH.N</t>
  </si>
  <si>
    <t>UpHealth Inc</t>
  </si>
  <si>
    <t>-1,080943571</t>
  </si>
  <si>
    <t>10.82</t>
  </si>
  <si>
    <t>197,389,502.00</t>
  </si>
  <si>
    <t>FGL.AX</t>
  </si>
  <si>
    <t>Frugl Group Ltd</t>
  </si>
  <si>
    <t>-6,079223735</t>
  </si>
  <si>
    <t>-1,701,3%</t>
  </si>
  <si>
    <t>-8.63</t>
  </si>
  <si>
    <t>13,133,865.00</t>
  </si>
  <si>
    <t>CNNN.PK</t>
  </si>
  <si>
    <t>ConneXionONE Corp</t>
  </si>
  <si>
    <t>2.11</t>
  </si>
  <si>
    <t>143,869,714.00</t>
  </si>
  <si>
    <t>CHARGE.ST</t>
  </si>
  <si>
    <t>ChargePanel AB (publ)</t>
  </si>
  <si>
    <t>10.70</t>
  </si>
  <si>
    <t>9,603,800.00</t>
  </si>
  <si>
    <t>ZOMD.V</t>
  </si>
  <si>
    <t>Zoomd Technologies Ltd</t>
  </si>
  <si>
    <t>16.78</t>
  </si>
  <si>
    <t>296,974,108.00</t>
  </si>
  <si>
    <t>ISPC.OQ</t>
  </si>
  <si>
    <t>iSpecimen Inc</t>
  </si>
  <si>
    <t>-2,254966887</t>
  </si>
  <si>
    <t>-94,1%</t>
  </si>
  <si>
    <t>-0.52</t>
  </si>
  <si>
    <t>4,831,829.00</t>
  </si>
  <si>
    <t>AUUD.OQ</t>
  </si>
  <si>
    <t>Auddia Inc</t>
  </si>
  <si>
    <t>-5.60</t>
  </si>
  <si>
    <t>-14.28</t>
  </si>
  <si>
    <t>119,397,205.00</t>
  </si>
  <si>
    <t>AROI.NS</t>
  </si>
  <si>
    <t>Adroit Infotech Ltd</t>
  </si>
  <si>
    <t>-0,264106049</t>
  </si>
  <si>
    <t>23.35</t>
  </si>
  <si>
    <t>104,837,970.00</t>
  </si>
  <si>
    <t>GOJXN.AS</t>
  </si>
  <si>
    <t>GeoJunxion NV</t>
  </si>
  <si>
    <t>28,824,751.00</t>
  </si>
  <si>
    <t>MUDU.BO</t>
  </si>
  <si>
    <t>Mudunuru Ltd</t>
  </si>
  <si>
    <t>-351,6%</t>
  </si>
  <si>
    <t>2.60</t>
  </si>
  <si>
    <t>76.17</t>
  </si>
  <si>
    <t>30,892,278.00</t>
  </si>
  <si>
    <t>UNLP.WA</t>
  </si>
  <si>
    <t>United Label SA</t>
  </si>
  <si>
    <t>-2,101372565</t>
  </si>
  <si>
    <t>21.02</t>
  </si>
  <si>
    <t>298,239,500.00</t>
  </si>
  <si>
    <t>FDCT.PK</t>
  </si>
  <si>
    <t>FDCTECH Inc</t>
  </si>
  <si>
    <t>-0,2%</t>
  </si>
  <si>
    <t>87,003,692.00</t>
  </si>
  <si>
    <t>ALKLK.PA</t>
  </si>
  <si>
    <t>Kerlink SA</t>
  </si>
  <si>
    <t>-0,736973299</t>
  </si>
  <si>
    <t>-17,9%</t>
  </si>
  <si>
    <t>-3.29</t>
  </si>
  <si>
    <t>157,041,665.00</t>
  </si>
  <si>
    <t>AMST.OQ</t>
  </si>
  <si>
    <t>Amesite Inc</t>
  </si>
  <si>
    <t>-4,318142486</t>
  </si>
  <si>
    <t>-635,3%</t>
  </si>
  <si>
    <t>15,239,042.00</t>
  </si>
  <si>
    <t>GIX.TA</t>
  </si>
  <si>
    <t>Gix Internet Ltd</t>
  </si>
  <si>
    <t>19,947,223.00</t>
  </si>
  <si>
    <t>RLG.AX</t>
  </si>
  <si>
    <t>Roolife Group Ltd</t>
  </si>
  <si>
    <t>5.30</t>
  </si>
  <si>
    <t>29.71</t>
  </si>
  <si>
    <t>-0.77</t>
  </si>
  <si>
    <t>27.86</t>
  </si>
  <si>
    <t>33,631,893.00</t>
  </si>
  <si>
    <t>MBLT.L</t>
  </si>
  <si>
    <t>Mobile Tornado Group PLC</t>
  </si>
  <si>
    <t>-0,25940898</t>
  </si>
  <si>
    <t>37.90</t>
  </si>
  <si>
    <t>8.39</t>
  </si>
  <si>
    <t>197,367,840.00</t>
  </si>
  <si>
    <t>LSAI.L</t>
  </si>
  <si>
    <t>Location Sciences Group PLC</t>
  </si>
  <si>
    <t>-22,07258065</t>
  </si>
  <si>
    <t>6.51</t>
  </si>
  <si>
    <t>23.02</t>
  </si>
  <si>
    <t>7.09</t>
  </si>
  <si>
    <t>239,482,333.00</t>
  </si>
  <si>
    <t>MVY.V</t>
  </si>
  <si>
    <t>Moovly Media Inc</t>
  </si>
  <si>
    <t>-69,2%</t>
  </si>
  <si>
    <t>46,341,404.00</t>
  </si>
  <si>
    <t>MYID.V</t>
  </si>
  <si>
    <t>Reklaim Ltd</t>
  </si>
  <si>
    <t>-1,563546992</t>
  </si>
  <si>
    <t>-20,7%</t>
  </si>
  <si>
    <t>14.36</t>
  </si>
  <si>
    <t>625,000,000.00</t>
  </si>
  <si>
    <t>WHK.AX</t>
  </si>
  <si>
    <t>WhiteHawk Ltd</t>
  </si>
  <si>
    <t>-0,317860375</t>
  </si>
  <si>
    <t>2,196,600.00</t>
  </si>
  <si>
    <t>EOID.NGM</t>
  </si>
  <si>
    <t>Eyeonid Group AB</t>
  </si>
  <si>
    <t>-0,159746976</t>
  </si>
  <si>
    <t>-37,6%</t>
  </si>
  <si>
    <t>7,916,230.00</t>
  </si>
  <si>
    <t>BIDS.L</t>
  </si>
  <si>
    <t>Bidstack Group PLC</t>
  </si>
  <si>
    <t>-210,9%</t>
  </si>
  <si>
    <t>15.03</t>
  </si>
  <si>
    <t>15.97</t>
  </si>
  <si>
    <t>50,762,185.00</t>
  </si>
  <si>
    <t>VBIX.PK</t>
  </si>
  <si>
    <t>Viewbix Inc</t>
  </si>
  <si>
    <t>-0,000474719</t>
  </si>
  <si>
    <t>-0.73</t>
  </si>
  <si>
    <t>26.02</t>
  </si>
  <si>
    <t>118,201,764.00</t>
  </si>
  <si>
    <t>P2BP.WA</t>
  </si>
  <si>
    <t>Planet B2B SA</t>
  </si>
  <si>
    <t>74,638,893.00</t>
  </si>
  <si>
    <t>FLXI.PK</t>
  </si>
  <si>
    <t>Flexiinternational Software Inc</t>
  </si>
  <si>
    <t>-0,184726225</t>
  </si>
  <si>
    <t>10.14</t>
  </si>
  <si>
    <t>110,669,080.00</t>
  </si>
  <si>
    <t>DVN.CD</t>
  </si>
  <si>
    <t>Danavation Technologies Corp</t>
  </si>
  <si>
    <t>-188,8%</t>
  </si>
  <si>
    <t>352,423,864.00</t>
  </si>
  <si>
    <t>ARWY.CD</t>
  </si>
  <si>
    <t>ARway Corp</t>
  </si>
  <si>
    <t>-1,477738788</t>
  </si>
  <si>
    <t>35.17</t>
  </si>
  <si>
    <t>10,069,890.00</t>
  </si>
  <si>
    <t>MKL.AX</t>
  </si>
  <si>
    <t>Mighty Kingdom Ltd</t>
  </si>
  <si>
    <t>-151,6%</t>
  </si>
  <si>
    <t>-1.90</t>
  </si>
  <si>
    <t>-1.59</t>
  </si>
  <si>
    <t>39.86</t>
  </si>
  <si>
    <t>623,736,998.00</t>
  </si>
  <si>
    <t>ANKM.PK</t>
  </si>
  <si>
    <t>Ankam</t>
  </si>
  <si>
    <t>-0,029922117</t>
  </si>
  <si>
    <t>6.58</t>
  </si>
  <si>
    <t>2,228,000.00</t>
  </si>
  <si>
    <t>VSBY.CD</t>
  </si>
  <si>
    <t>VSBLTY Groupe Technologies Corp</t>
  </si>
  <si>
    <t>-3,888949177</t>
  </si>
  <si>
    <t>25.31</t>
  </si>
  <si>
    <t>144,317,400.00</t>
  </si>
  <si>
    <t>RSTP1.WA</t>
  </si>
  <si>
    <t>Road Studio SA</t>
  </si>
  <si>
    <t>-0,035350891</t>
  </si>
  <si>
    <t>-1,969,1%</t>
  </si>
  <si>
    <t>11,065,946.00</t>
  </si>
  <si>
    <t>RGGh.V</t>
  </si>
  <si>
    <t>React Gaming Group Inc</t>
  </si>
  <si>
    <t>-1,953,1%</t>
  </si>
  <si>
    <t>-2.08</t>
  </si>
  <si>
    <t>129,232,623.00</t>
  </si>
  <si>
    <t>KNO.AX</t>
  </si>
  <si>
    <t>Knosys Ltd</t>
  </si>
  <si>
    <t>-0,07146054</t>
  </si>
  <si>
    <t>9.96</t>
  </si>
  <si>
    <t>68.90</t>
  </si>
  <si>
    <t>99,249,682.00</t>
  </si>
  <si>
    <t>LVT.AX</t>
  </si>
  <si>
    <t>Livetiles Ltd</t>
  </si>
  <si>
    <t>-0,041713229</t>
  </si>
  <si>
    <t>-4,7%</t>
  </si>
  <si>
    <t>-0.39</t>
  </si>
  <si>
    <t>3,904,000,000.00</t>
  </si>
  <si>
    <t>DGTZ.CA</t>
  </si>
  <si>
    <t>DIGITIZE for Investment and Technology</t>
  </si>
  <si>
    <t>-1,577562923</t>
  </si>
  <si>
    <t>366,642,246.00</t>
  </si>
  <si>
    <t>QUEST.OL</t>
  </si>
  <si>
    <t>Questback Group AS</t>
  </si>
  <si>
    <t>204,499,713.00</t>
  </si>
  <si>
    <t>XMR.ST</t>
  </si>
  <si>
    <t>XMReality AB (publ)</t>
  </si>
  <si>
    <t>-123,6%</t>
  </si>
  <si>
    <t>9,094,539.00</t>
  </si>
  <si>
    <t>BECN.V</t>
  </si>
  <si>
    <t>BEACN Wizardry &amp; Magic Inc</t>
  </si>
  <si>
    <t>-85,7%</t>
  </si>
  <si>
    <t>8.82</t>
  </si>
  <si>
    <t>238,662,330.00</t>
  </si>
  <si>
    <t>DRIS.EUA</t>
  </si>
  <si>
    <t>Damaris SA</t>
  </si>
  <si>
    <t>-0,663364971</t>
  </si>
  <si>
    <t>30.44</t>
  </si>
  <si>
    <t>16.10</t>
  </si>
  <si>
    <t>159,844,780.00</t>
  </si>
  <si>
    <t>BTC1.WA</t>
  </si>
  <si>
    <t>BTC Studios SA</t>
  </si>
  <si>
    <t>-1.60</t>
  </si>
  <si>
    <t>8,265,516.00</t>
  </si>
  <si>
    <t>UMDk.DE</t>
  </si>
  <si>
    <t>UMT United Mobility Technology AG</t>
  </si>
  <si>
    <t>134,030,905.00</t>
  </si>
  <si>
    <t>BBTV.TO</t>
  </si>
  <si>
    <t>BBTV Holdings Inc</t>
  </si>
  <si>
    <t>-0,063502973</t>
  </si>
  <si>
    <t>-13,87</t>
  </si>
  <si>
    <t>-3,7%</t>
  </si>
  <si>
    <t>6,866,177.00</t>
  </si>
  <si>
    <t>SOLIDC.IC</t>
  </si>
  <si>
    <t>Solid Clouds hf</t>
  </si>
  <si>
    <t>-1,124657122</t>
  </si>
  <si>
    <t>-388,1%</t>
  </si>
  <si>
    <t>9.09</t>
  </si>
  <si>
    <t>72,239,774.00</t>
  </si>
  <si>
    <t>FUND.V</t>
  </si>
  <si>
    <t>Katipult Technology Corp</t>
  </si>
  <si>
    <t>-0,109914849</t>
  </si>
  <si>
    <t>-48,2%</t>
  </si>
  <si>
    <t>3,156,999.00</t>
  </si>
  <si>
    <t>8282.HK</t>
  </si>
  <si>
    <t>Gameone Holdings Ltd</t>
  </si>
  <si>
    <t>-2,969803371</t>
  </si>
  <si>
    <t>-17,0%</t>
  </si>
  <si>
    <t>408,037,911.00</t>
  </si>
  <si>
    <t>SNCO.BO</t>
  </si>
  <si>
    <t>Sancode Technologies Ltd</t>
  </si>
  <si>
    <t>-0,17395299</t>
  </si>
  <si>
    <t>197,140,213.00</t>
  </si>
  <si>
    <t>NAAP.BO</t>
  </si>
  <si>
    <t>Naapbooks Ltd</t>
  </si>
  <si>
    <t>-0,155981127</t>
  </si>
  <si>
    <t>2,124,900.00</t>
  </si>
  <si>
    <t>COMPDM.ST</t>
  </si>
  <si>
    <t>Compodium International AB (publ)</t>
  </si>
  <si>
    <t>9,860,000.00</t>
  </si>
  <si>
    <t>ALDS.PK</t>
  </si>
  <si>
    <t>APPlife Digital Solutions Inc</t>
  </si>
  <si>
    <t>30.97</t>
  </si>
  <si>
    <t>178,375,304.00</t>
  </si>
  <si>
    <t>AVOI.PK</t>
  </si>
  <si>
    <t>Advanced Voice Recognition Systems Inc</t>
  </si>
  <si>
    <t>-0,13758863</t>
  </si>
  <si>
    <t>124,544,300.00</t>
  </si>
  <si>
    <t>ASV.AX</t>
  </si>
  <si>
    <t>Asset Vision Co Ltd</t>
  </si>
  <si>
    <t>-0,427530017</t>
  </si>
  <si>
    <t>-52,5%</t>
  </si>
  <si>
    <t>3.82</t>
  </si>
  <si>
    <t>1,275,000.00</t>
  </si>
  <si>
    <t>0959.HK</t>
  </si>
  <si>
    <t>Century Entertainment International Holdings Ltd</t>
  </si>
  <si>
    <t>-0,010383223</t>
  </si>
  <si>
    <t>-0.41</t>
  </si>
  <si>
    <t>7.40</t>
  </si>
  <si>
    <t>41,501,280.00</t>
  </si>
  <si>
    <t>SPOT.OL</t>
  </si>
  <si>
    <t>Spotlio AS</t>
  </si>
  <si>
    <t>-4,342866685</t>
  </si>
  <si>
    <t>-25,86</t>
  </si>
  <si>
    <t>20.03</t>
  </si>
  <si>
    <t>7.80</t>
  </si>
  <si>
    <t>174,767,387.00</t>
  </si>
  <si>
    <t>HPNN.PK</t>
  </si>
  <si>
    <t>Hop On Inc</t>
  </si>
  <si>
    <t>-0,034740096</t>
  </si>
  <si>
    <t>30,799,895.00</t>
  </si>
  <si>
    <t>VRF.WA</t>
  </si>
  <si>
    <t>VR Factory Games SA</t>
  </si>
  <si>
    <t>124,404,208.00</t>
  </si>
  <si>
    <t>LGIQ.PK</t>
  </si>
  <si>
    <t>Logiq Inc</t>
  </si>
  <si>
    <t>-26,62</t>
  </si>
  <si>
    <t>-135,1%</t>
  </si>
  <si>
    <t>21.57</t>
  </si>
  <si>
    <t>18.20</t>
  </si>
  <si>
    <t>22,223,785.00</t>
  </si>
  <si>
    <t>EDL.WA</t>
  </si>
  <si>
    <t>Editel Polska SA</t>
  </si>
  <si>
    <t>-0,00033945</t>
  </si>
  <si>
    <t>120,824,850.00</t>
  </si>
  <si>
    <t>RCL.AX</t>
  </si>
  <si>
    <t>ReadCloud Ltd</t>
  </si>
  <si>
    <t>-52,3%</t>
  </si>
  <si>
    <t>7.27</t>
  </si>
  <si>
    <t>62,623,353.00</t>
  </si>
  <si>
    <t>KLIMAT.ST</t>
  </si>
  <si>
    <t>Klimator AB</t>
  </si>
  <si>
    <t>-0,094505122</t>
  </si>
  <si>
    <t>15,664,510.00</t>
  </si>
  <si>
    <t>RW.V</t>
  </si>
  <si>
    <t>Renoworks Software Inc</t>
  </si>
  <si>
    <t>-0,03363835</t>
  </si>
  <si>
    <t>-1.26</t>
  </si>
  <si>
    <t>70,317,792.00</t>
  </si>
  <si>
    <t>XYLB.PK</t>
  </si>
  <si>
    <t>XY Labs Inc</t>
  </si>
  <si>
    <t>-28,1%</t>
  </si>
  <si>
    <t>-0.69</t>
  </si>
  <si>
    <t>12,601,700.00</t>
  </si>
  <si>
    <t>KERN.OQ</t>
  </si>
  <si>
    <t>Akerna Corp</t>
  </si>
  <si>
    <t>-0,297214524</t>
  </si>
  <si>
    <t>-19,94</t>
  </si>
  <si>
    <t>-46,4%</t>
  </si>
  <si>
    <t>5.17</t>
  </si>
  <si>
    <t>17.02</t>
  </si>
  <si>
    <t>68.63</t>
  </si>
  <si>
    <t>81,889,763.00</t>
  </si>
  <si>
    <t>P2C.WA</t>
  </si>
  <si>
    <t>Play2Chill SA</t>
  </si>
  <si>
    <t>-0,984481626</t>
  </si>
  <si>
    <t>305,660,331.00</t>
  </si>
  <si>
    <t>BKD1.WA</t>
  </si>
  <si>
    <t>Baked Games SA</t>
  </si>
  <si>
    <t>212,976,588.00</t>
  </si>
  <si>
    <t>OLL.AX</t>
  </si>
  <si>
    <t>Openlearning Ltd</t>
  </si>
  <si>
    <t>-170,8%</t>
  </si>
  <si>
    <t>-1.16</t>
  </si>
  <si>
    <t>15,254,389.00</t>
  </si>
  <si>
    <t>SPCB.OQ</t>
  </si>
  <si>
    <t>Supercom Ltd</t>
  </si>
  <si>
    <t>12.93</t>
  </si>
  <si>
    <t>8.69</t>
  </si>
  <si>
    <t>2,688,884.00</t>
  </si>
  <si>
    <t>MLTV.EUB</t>
  </si>
  <si>
    <t>Choice NV</t>
  </si>
  <si>
    <t>-5,57868443</t>
  </si>
  <si>
    <t>451,777,937.00</t>
  </si>
  <si>
    <t>VQS.TO</t>
  </si>
  <si>
    <t>Viq Solutions Inc</t>
  </si>
  <si>
    <t>-15,25</t>
  </si>
  <si>
    <t>202,307,854.00</t>
  </si>
  <si>
    <t>GTH.AX</t>
  </si>
  <si>
    <t>Gathid Ltd</t>
  </si>
  <si>
    <t>-0,808075245</t>
  </si>
  <si>
    <t>52,946,836.00</t>
  </si>
  <si>
    <t>TERRNTb.ST</t>
  </si>
  <si>
    <t>Terranet AB</t>
  </si>
  <si>
    <t>-0,184273709</t>
  </si>
  <si>
    <t>54.61</t>
  </si>
  <si>
    <t>26.80</t>
  </si>
  <si>
    <t>6,462,000.00</t>
  </si>
  <si>
    <t>EMPP.WA</t>
  </si>
  <si>
    <t>Emplocity SA</t>
  </si>
  <si>
    <t>-1,241632903</t>
  </si>
  <si>
    <t>46,443,282.00</t>
  </si>
  <si>
    <t>RUNS.JK</t>
  </si>
  <si>
    <t>Global Sukses Solusi Tbk PT</t>
  </si>
  <si>
    <t>4,212,616.00</t>
  </si>
  <si>
    <t>121060.KN</t>
  </si>
  <si>
    <t>UniPoint Corp</t>
  </si>
  <si>
    <t>2.77</t>
  </si>
  <si>
    <t>3,264,026.00</t>
  </si>
  <si>
    <t>INV.CS</t>
  </si>
  <si>
    <t>Involys SA</t>
  </si>
  <si>
    <t>-5,546330696</t>
  </si>
  <si>
    <t>139,199,730.00</t>
  </si>
  <si>
    <t>1TT.AX</t>
  </si>
  <si>
    <t>Thrive Tribe Technologies Ltd</t>
  </si>
  <si>
    <t>-3,732,1%</t>
  </si>
  <si>
    <t>5.64</t>
  </si>
  <si>
    <t>164,178,830.00</t>
  </si>
  <si>
    <t>ISFT.CD</t>
  </si>
  <si>
    <t>ICEsoft Technologies Canada Corp</t>
  </si>
  <si>
    <t>-3,392567563</t>
  </si>
  <si>
    <t>5.98</t>
  </si>
  <si>
    <t>35,041,200.00</t>
  </si>
  <si>
    <t>PBX.V</t>
  </si>
  <si>
    <t>PowerBand Solutions Inc</t>
  </si>
  <si>
    <t>-883,7%</t>
  </si>
  <si>
    <t>2,170,800.00</t>
  </si>
  <si>
    <t>SMK.ASE</t>
  </si>
  <si>
    <t>Samarkand Group PLC</t>
  </si>
  <si>
    <t>-0,288862103</t>
  </si>
  <si>
    <t>-16,5%</t>
  </si>
  <si>
    <t>118,075,349.00</t>
  </si>
  <si>
    <t>DDT.AX</t>
  </si>
  <si>
    <t>DataDot Technology Ltd</t>
  </si>
  <si>
    <t>-0,496744471</t>
  </si>
  <si>
    <t>51,745,501.00</t>
  </si>
  <si>
    <t>GLEX.NFF</t>
  </si>
  <si>
    <t>Glex AS</t>
  </si>
  <si>
    <t>3,921,486.00</t>
  </si>
  <si>
    <t>RMDX.TE</t>
  </si>
  <si>
    <t>Railway Metrics and Dynamics Sweden AB (publ)</t>
  </si>
  <si>
    <t>2,327,400.00</t>
  </si>
  <si>
    <t>WINP.NS</t>
  </si>
  <si>
    <t>WINPRO INDUSTRIES LIMITED</t>
  </si>
  <si>
    <t>2.20</t>
  </si>
  <si>
    <t>575,793,393.00</t>
  </si>
  <si>
    <t>THINC.TE</t>
  </si>
  <si>
    <t>Thinc Collective AB (publ)</t>
  </si>
  <si>
    <t>-1,628875969</t>
  </si>
  <si>
    <t>20.84</t>
  </si>
  <si>
    <t>45,701,626.00</t>
  </si>
  <si>
    <t>WATR.TA</t>
  </si>
  <si>
    <t>Water.io Ltd</t>
  </si>
  <si>
    <t>11.21</t>
  </si>
  <si>
    <t>143,230,970.00</t>
  </si>
  <si>
    <t>MLBS.KL</t>
  </si>
  <si>
    <t>Mlabs Systems Bhd</t>
  </si>
  <si>
    <t>-0,139701608</t>
  </si>
  <si>
    <t>-9,2%</t>
  </si>
  <si>
    <t>141,405,627.00</t>
  </si>
  <si>
    <t>BERCM.TL</t>
  </si>
  <si>
    <t>Bercman Technologies AS</t>
  </si>
  <si>
    <t>-0,277247974</t>
  </si>
  <si>
    <t>387,335,513.00</t>
  </si>
  <si>
    <t>STKS.L</t>
  </si>
  <si>
    <t>StreaksAI PLC</t>
  </si>
  <si>
    <t>-0,12065583</t>
  </si>
  <si>
    <t>14,157,540.00</t>
  </si>
  <si>
    <t>ZONE.V</t>
  </si>
  <si>
    <t>Zonetail Inc</t>
  </si>
  <si>
    <t>-2,951,9%</t>
  </si>
  <si>
    <t>59.68</t>
  </si>
  <si>
    <t>1,697,381,000.00</t>
  </si>
  <si>
    <t>DSG.L</t>
  </si>
  <si>
    <t>Dillistone Group PLC</t>
  </si>
  <si>
    <t>-0,285913641</t>
  </si>
  <si>
    <t>203,878,238.00</t>
  </si>
  <si>
    <t>VAR2.WA</t>
  </si>
  <si>
    <t>Varsav Game Studios SA</t>
  </si>
  <si>
    <t>-6,300940439</t>
  </si>
  <si>
    <t>14.02</t>
  </si>
  <si>
    <t>-0.27</t>
  </si>
  <si>
    <t>36.84</t>
  </si>
  <si>
    <t>335,801,572.00</t>
  </si>
  <si>
    <t>SPS.NH</t>
  </si>
  <si>
    <t>Senterprisys Ltd</t>
  </si>
  <si>
    <t>6.01</t>
  </si>
  <si>
    <t>11.98</t>
  </si>
  <si>
    <t>5,327,800.00</t>
  </si>
  <si>
    <t>VFA.WA</t>
  </si>
  <si>
    <t>VRfabric SA</t>
  </si>
  <si>
    <t>2,755,330.00</t>
  </si>
  <si>
    <t>SVRE.TA</t>
  </si>
  <si>
    <t>Saverone 2014 Ltd</t>
  </si>
  <si>
    <t>-1,568,6%</t>
  </si>
  <si>
    <t>420,369,595.00</t>
  </si>
  <si>
    <t>IAI.CD</t>
  </si>
  <si>
    <t>infinitii ai inc</t>
  </si>
  <si>
    <t>-0,022184943</t>
  </si>
  <si>
    <t>47,051,275.00</t>
  </si>
  <si>
    <t>CALI.NS</t>
  </si>
  <si>
    <t>California Software Company Ltd</t>
  </si>
  <si>
    <t>-0,425745236</t>
  </si>
  <si>
    <t>-429,6%</t>
  </si>
  <si>
    <t>25,945,616.00</t>
  </si>
  <si>
    <t>PLUG.CD</t>
  </si>
  <si>
    <t>Energy Plug Technologies Corp</t>
  </si>
  <si>
    <t>122,870,787.00</t>
  </si>
  <si>
    <t>RDTR.L</t>
  </si>
  <si>
    <t>Rosslyn Data Technologies PLC</t>
  </si>
  <si>
    <t>-84,3%</t>
  </si>
  <si>
    <t>38.06</t>
  </si>
  <si>
    <t>71,364,180.00</t>
  </si>
  <si>
    <t>DDIP.WA</t>
  </si>
  <si>
    <t>Draw Distance SA</t>
  </si>
  <si>
    <t>-0,038353975</t>
  </si>
  <si>
    <t>APP.CD</t>
  </si>
  <si>
    <t>Global Compliance Applications Corp</t>
  </si>
  <si>
    <t>-75,82552938</t>
  </si>
  <si>
    <t>-1.00</t>
  </si>
  <si>
    <t>85,820,365.00</t>
  </si>
  <si>
    <t>SOFC.BO</t>
  </si>
  <si>
    <t>SOFCOM Systems Ltd</t>
  </si>
  <si>
    <t>9.98</t>
  </si>
  <si>
    <t>32.83</t>
  </si>
  <si>
    <t>169,986,052.00</t>
  </si>
  <si>
    <t>WLSS.PK</t>
  </si>
  <si>
    <t>Welsis Corp</t>
  </si>
  <si>
    <t>58,358,201.00</t>
  </si>
  <si>
    <t>318660.KN</t>
  </si>
  <si>
    <t>Time Technical Support Ltd</t>
  </si>
  <si>
    <t>-0,97394692</t>
  </si>
  <si>
    <t>6.32</t>
  </si>
  <si>
    <t>21,708,020.00</t>
  </si>
  <si>
    <t>ROVS.CO</t>
  </si>
  <si>
    <t>Rovsing A/S</t>
  </si>
  <si>
    <t>445,913,710.00</t>
  </si>
  <si>
    <t>BZWR.PK</t>
  </si>
  <si>
    <t>Business Warrior Corp</t>
  </si>
  <si>
    <t>-12,3625</t>
  </si>
  <si>
    <t>-73,4%</t>
  </si>
  <si>
    <t>81,756,608.00</t>
  </si>
  <si>
    <t>GEO.NZ</t>
  </si>
  <si>
    <t>Geo Ltd</t>
  </si>
  <si>
    <t>-0,078766881</t>
  </si>
  <si>
    <t>-125,0%</t>
  </si>
  <si>
    <t>20,009,298.00</t>
  </si>
  <si>
    <t>ATW.V</t>
  </si>
  <si>
    <t>ATW Tech Inc</t>
  </si>
  <si>
    <t>-0,449350649</t>
  </si>
  <si>
    <t>3.61</t>
  </si>
  <si>
    <t>47,507,691.00</t>
  </si>
  <si>
    <t>PNNX.PK</t>
  </si>
  <si>
    <t>Pennexx Foods Inc</t>
  </si>
  <si>
    <t>15.31</t>
  </si>
  <si>
    <t>49.10</t>
  </si>
  <si>
    <t>1,064,800.00</t>
  </si>
  <si>
    <t>NVQ.AX</t>
  </si>
  <si>
    <t>Noviqtech Ltd</t>
  </si>
  <si>
    <t>-935,7%</t>
  </si>
  <si>
    <t>68.26</t>
  </si>
  <si>
    <t>164,071,365.00</t>
  </si>
  <si>
    <t>EXAP.WA</t>
  </si>
  <si>
    <t>Examobile SA</t>
  </si>
  <si>
    <t>-0,083051234</t>
  </si>
  <si>
    <t>9,155.87</t>
  </si>
  <si>
    <t>79,936,980.00</t>
  </si>
  <si>
    <t>TESSIN.ST</t>
  </si>
  <si>
    <t>Tessin Nordic Holding AB</t>
  </si>
  <si>
    <t>-25,3%</t>
  </si>
  <si>
    <t>23.41</t>
  </si>
  <si>
    <t>566,078,259.00</t>
  </si>
  <si>
    <t>IFXY.PK</t>
  </si>
  <si>
    <t>Infrax Systems Inc</t>
  </si>
  <si>
    <t>-4,915422187</t>
  </si>
  <si>
    <t>22,844,889.00</t>
  </si>
  <si>
    <t>TELE.BO</t>
  </si>
  <si>
    <t>Telesys Info-Infra (I) Ltd</t>
  </si>
  <si>
    <t>-16,61369622</t>
  </si>
  <si>
    <t>140,564,259.00</t>
  </si>
  <si>
    <t>SASI.OQ</t>
  </si>
  <si>
    <t>Sigma Additive Solutions Inc</t>
  </si>
  <si>
    <t>-1,133,3%</t>
  </si>
  <si>
    <t>6.54</t>
  </si>
  <si>
    <t>49.07</t>
  </si>
  <si>
    <t>215,005,011.00</t>
  </si>
  <si>
    <t>MOS.V</t>
  </si>
  <si>
    <t>Mobi724 Global Solutions Inc</t>
  </si>
  <si>
    <t>-1,094,8%</t>
  </si>
  <si>
    <t>57,417,101.00</t>
  </si>
  <si>
    <t>FRMP.WA</t>
  </si>
  <si>
    <t>Freemind SA</t>
  </si>
  <si>
    <t>-2,326711843</t>
  </si>
  <si>
    <t>-1.12</t>
  </si>
  <si>
    <t>9,075,807.00</t>
  </si>
  <si>
    <t>MADP.WA</t>
  </si>
  <si>
    <t>Madkom SA</t>
  </si>
  <si>
    <t>32.84</t>
  </si>
  <si>
    <t>22.29</t>
  </si>
  <si>
    <t>201,940,559.00</t>
  </si>
  <si>
    <t>QCORE.ST</t>
  </si>
  <si>
    <t>Qlucore AB (publ)</t>
  </si>
  <si>
    <t>50,907,431.00</t>
  </si>
  <si>
    <t>GRB2G.TL</t>
  </si>
  <si>
    <t>Grab2Go AS</t>
  </si>
  <si>
    <t>-0,273413063</t>
  </si>
  <si>
    <t>-0.43</t>
  </si>
  <si>
    <t>-0.74</t>
  </si>
  <si>
    <t>16,707,075.00</t>
  </si>
  <si>
    <t>NUGL.PK</t>
  </si>
  <si>
    <t>NUGL Inc</t>
  </si>
  <si>
    <t>-0,914438992</t>
  </si>
  <si>
    <t>2,347,813.00</t>
  </si>
  <si>
    <t>SONE.ST</t>
  </si>
  <si>
    <t>Sonetel AB (publ)</t>
  </si>
  <si>
    <t>78,444,014.00</t>
  </si>
  <si>
    <t>FASTPC.CO</t>
  </si>
  <si>
    <t>Fastpasscorp A/S</t>
  </si>
  <si>
    <t>9,595,253.00</t>
  </si>
  <si>
    <t>AISX.V</t>
  </si>
  <si>
    <t>Aisix Solutions Inc</t>
  </si>
  <si>
    <t>-1,553582047</t>
  </si>
  <si>
    <t>35.56</t>
  </si>
  <si>
    <t>4.60</t>
  </si>
  <si>
    <t>700,248,936.00</t>
  </si>
  <si>
    <t>ASFT.PK</t>
  </si>
  <si>
    <t>AppSoft Technologies Inc</t>
  </si>
  <si>
    <t>88,241,898.00</t>
  </si>
  <si>
    <t>MPS1.WA</t>
  </si>
  <si>
    <t>Megapixel Studio SA</t>
  </si>
  <si>
    <t>-13,10163412</t>
  </si>
  <si>
    <t>-79,8%</t>
  </si>
  <si>
    <t>78,271,804.00</t>
  </si>
  <si>
    <t>ZAPLOX.ST</t>
  </si>
  <si>
    <t>Zaplox AB</t>
  </si>
  <si>
    <t>-226,1%</t>
  </si>
  <si>
    <t>67.26</t>
  </si>
  <si>
    <t>41,884,470.00</t>
  </si>
  <si>
    <t>EBYH.PK</t>
  </si>
  <si>
    <t>Strainsforpains Inc</t>
  </si>
  <si>
    <t>29,196,517.00</t>
  </si>
  <si>
    <t>OODA.ST</t>
  </si>
  <si>
    <t>oodash Group AB (publ)</t>
  </si>
  <si>
    <t>306.73</t>
  </si>
  <si>
    <t>4,327,996.00</t>
  </si>
  <si>
    <t>MYSZ.OQ</t>
  </si>
  <si>
    <t>My Size Inc</t>
  </si>
  <si>
    <t>-0,50584247</t>
  </si>
  <si>
    <t>-146,2%</t>
  </si>
  <si>
    <t>36.19</t>
  </si>
  <si>
    <t>39,668,550.00</t>
  </si>
  <si>
    <t>ALNRG.PA</t>
  </si>
  <si>
    <t>Energisme SA</t>
  </si>
  <si>
    <t>-0,065474723</t>
  </si>
  <si>
    <t>-26,7%</t>
  </si>
  <si>
    <t>72.93</t>
  </si>
  <si>
    <t>20.94</t>
  </si>
  <si>
    <t>177,588,921.00</t>
  </si>
  <si>
    <t>YOO.V</t>
  </si>
  <si>
    <t>YANGAROO Inc</t>
  </si>
  <si>
    <t>-0,923981783</t>
  </si>
  <si>
    <t>7.83</t>
  </si>
  <si>
    <t>214,277,531.00</t>
  </si>
  <si>
    <t>TWEP.MI</t>
  </si>
  <si>
    <t>Tweppy SpA</t>
  </si>
  <si>
    <t>-10,95680693</t>
  </si>
  <si>
    <t>20,701,276.00</t>
  </si>
  <si>
    <t>BRAINP.CO</t>
  </si>
  <si>
    <t>Brain+ A/S</t>
  </si>
  <si>
    <t>-1,666943913</t>
  </si>
  <si>
    <t>-321,4%</t>
  </si>
  <si>
    <t>22.79</t>
  </si>
  <si>
    <t>120,577,997.00</t>
  </si>
  <si>
    <t>DCSI.CD</t>
  </si>
  <si>
    <t>Direct Communication Solutions Inc</t>
  </si>
  <si>
    <t>-33,7%</t>
  </si>
  <si>
    <t>-0.62</t>
  </si>
  <si>
    <t>1,064.94</t>
  </si>
  <si>
    <t>1,519,788,791.00</t>
  </si>
  <si>
    <t>LCN.WA</t>
  </si>
  <si>
    <t>Labocanna SA</t>
  </si>
  <si>
    <t>-0,944579518</t>
  </si>
  <si>
    <t>2,592,412.00</t>
  </si>
  <si>
    <t>8280.HK</t>
  </si>
  <si>
    <t>China Digital Video Holdings Ltd</t>
  </si>
  <si>
    <t>-3,52826087</t>
  </si>
  <si>
    <t>11.69</t>
  </si>
  <si>
    <t>47.79</t>
  </si>
  <si>
    <t>29,289,405.00</t>
  </si>
  <si>
    <t>IWSP.WA</t>
  </si>
  <si>
    <t>Iron Wolf Studio SA</t>
  </si>
  <si>
    <t>78,349,054.00</t>
  </si>
  <si>
    <t>KNM.AX</t>
  </si>
  <si>
    <t>Kneomedia Ltd</t>
  </si>
  <si>
    <t>-241,6%</t>
  </si>
  <si>
    <t>56.83</t>
  </si>
  <si>
    <t>12,166,093.00</t>
  </si>
  <si>
    <t>8018.HK</t>
  </si>
  <si>
    <t>Finsoft Financial Investment Holdings Ltd</t>
  </si>
  <si>
    <t>-0,576422014</t>
  </si>
  <si>
    <t>-27,1%</t>
  </si>
  <si>
    <t>58,079,619.00</t>
  </si>
  <si>
    <t>NNG.AX</t>
  </si>
  <si>
    <t>NEXION Group Ltd</t>
  </si>
  <si>
    <t>-0,503133492</t>
  </si>
  <si>
    <t>91,223,380.00</t>
  </si>
  <si>
    <t>VENZ.V</t>
  </si>
  <si>
    <t>Venzee Technologies Inc</t>
  </si>
  <si>
    <t>-0,522974238</t>
  </si>
  <si>
    <t>10.86</t>
  </si>
  <si>
    <t>-1.58</t>
  </si>
  <si>
    <t>174.08</t>
  </si>
  <si>
    <t>48,277,499.00</t>
  </si>
  <si>
    <t>TBLP.WA</t>
  </si>
  <si>
    <t>T-Bull SA</t>
  </si>
  <si>
    <t>30.79</t>
  </si>
  <si>
    <t>-0.60</t>
  </si>
  <si>
    <t>3.74</t>
  </si>
  <si>
    <t>167,618,865.00</t>
  </si>
  <si>
    <t>OMNIC.TE</t>
  </si>
  <si>
    <t>OmniCar Holding AB</t>
  </si>
  <si>
    <t>-0,261592883</t>
  </si>
  <si>
    <t>-162,2%</t>
  </si>
  <si>
    <t>10.04</t>
  </si>
  <si>
    <t>88,246,721.00</t>
  </si>
  <si>
    <t>TAPM.PK</t>
  </si>
  <si>
    <t>Tapinator Inc</t>
  </si>
  <si>
    <t>11,868,944.00</t>
  </si>
  <si>
    <t>VRAI.CD</t>
  </si>
  <si>
    <t>XR Immersive Tech Inc</t>
  </si>
  <si>
    <t>-76,7%</t>
  </si>
  <si>
    <t>24.67</t>
  </si>
  <si>
    <t>50.30</t>
  </si>
  <si>
    <t>76,477,181.20</t>
  </si>
  <si>
    <t>IMGP.WA</t>
  </si>
  <si>
    <t>Immersion Games SA</t>
  </si>
  <si>
    <t>-0,831921355</t>
  </si>
  <si>
    <t>135,096,057.00</t>
  </si>
  <si>
    <t>COMINT.TE</t>
  </si>
  <si>
    <t>Comintelli AB</t>
  </si>
  <si>
    <t>13,557,063.00</t>
  </si>
  <si>
    <t>LITE.CD</t>
  </si>
  <si>
    <t>SpotLite360 IOT Solutions Inc</t>
  </si>
  <si>
    <t>144,929,955.00</t>
  </si>
  <si>
    <t>HUBSO.TE</t>
  </si>
  <si>
    <t>Hubso Group AB (publ)</t>
  </si>
  <si>
    <t>-0,019630175</t>
  </si>
  <si>
    <t>-372.08</t>
  </si>
  <si>
    <t>161,508,333.00</t>
  </si>
  <si>
    <t>STSP.WA</t>
  </si>
  <si>
    <t>Satis Group SA</t>
  </si>
  <si>
    <t>64.48</t>
  </si>
  <si>
    <t>4.97</t>
  </si>
  <si>
    <t>19,570,882.00</t>
  </si>
  <si>
    <t>ZRFY.PK</t>
  </si>
  <si>
    <t>Zerify Inc</t>
  </si>
  <si>
    <t>-2,925445705</t>
  </si>
  <si>
    <t>-5,397,3%</t>
  </si>
  <si>
    <t>56,921,659.00</t>
  </si>
  <si>
    <t>MBLV.PK</t>
  </si>
  <si>
    <t>Globex Holdings Corp</t>
  </si>
  <si>
    <t>-0,787399659</t>
  </si>
  <si>
    <t>8.03</t>
  </si>
  <si>
    <t>5,792,007.00</t>
  </si>
  <si>
    <t>HOODIN.TE</t>
  </si>
  <si>
    <t>Hoodin AB</t>
  </si>
  <si>
    <t>-532,9%</t>
  </si>
  <si>
    <t>43.76</t>
  </si>
  <si>
    <t>93,750,000.00</t>
  </si>
  <si>
    <t>KYNC.PK</t>
  </si>
  <si>
    <t>KYN Capital Group Inc</t>
  </si>
  <si>
    <t>-0,041903655</t>
  </si>
  <si>
    <t>3.39</t>
  </si>
  <si>
    <t>83.63</t>
  </si>
  <si>
    <t>273,890,453.00</t>
  </si>
  <si>
    <t>SHYP.WA</t>
  </si>
  <si>
    <t>Sheepyard SA</t>
  </si>
  <si>
    <t>4.04</t>
  </si>
  <si>
    <t>43.56</t>
  </si>
  <si>
    <t>21,408,410,600.00</t>
  </si>
  <si>
    <t>APTY.PK</t>
  </si>
  <si>
    <t>APT Systems Inc</t>
  </si>
  <si>
    <t>19.44</t>
  </si>
  <si>
    <t>9.57</t>
  </si>
  <si>
    <t>188,658,621.00</t>
  </si>
  <si>
    <t>FBSE.PK</t>
  </si>
  <si>
    <t>Fastbase Inc</t>
  </si>
  <si>
    <t>-0,340168495</t>
  </si>
  <si>
    <t>13,792,961.00</t>
  </si>
  <si>
    <t>TGGL.CD</t>
  </si>
  <si>
    <t>Toggle3D.ai Inc</t>
  </si>
  <si>
    <t>73,234,500.00</t>
  </si>
  <si>
    <t>CYBE.V</t>
  </si>
  <si>
    <t>Cybercatch Global Inc</t>
  </si>
  <si>
    <t>13,621,653.00</t>
  </si>
  <si>
    <t>EPAZ.PK</t>
  </si>
  <si>
    <t>Auto Dataflow Inc</t>
  </si>
  <si>
    <t>176.55</t>
  </si>
  <si>
    <t>66,109,978.00</t>
  </si>
  <si>
    <t>KOLL.ST</t>
  </si>
  <si>
    <t>Kollect on Demand Holding AB (publ)</t>
  </si>
  <si>
    <t>-1,043187094</t>
  </si>
  <si>
    <t>9.06</t>
  </si>
  <si>
    <t>20,277,563.00</t>
  </si>
  <si>
    <t>ELNX.PK</t>
  </si>
  <si>
    <t>Elinx Corp</t>
  </si>
  <si>
    <t>-23,82181519</t>
  </si>
  <si>
    <t>12,674,538.00</t>
  </si>
  <si>
    <t>RDAR.PK</t>
  </si>
  <si>
    <t>RAADR Inc</t>
  </si>
  <si>
    <t>21.36</t>
  </si>
  <si>
    <t>150,805,276.00</t>
  </si>
  <si>
    <t>KRET.BO</t>
  </si>
  <si>
    <t>Kretto Syscon Ltd</t>
  </si>
  <si>
    <t>-0,171184485</t>
  </si>
  <si>
    <t>36.18</t>
  </si>
  <si>
    <t>69,655,846.00</t>
  </si>
  <si>
    <t>SIS.AX</t>
  </si>
  <si>
    <t>Simble Solutions Ltd</t>
  </si>
  <si>
    <t>-135,8%</t>
  </si>
  <si>
    <t>23.42</t>
  </si>
  <si>
    <t>298,674,778.00</t>
  </si>
  <si>
    <t>SFDGk.F</t>
  </si>
  <si>
    <t>Softline AG</t>
  </si>
  <si>
    <t>-0,09030392</t>
  </si>
  <si>
    <t>28,515,000.00</t>
  </si>
  <si>
    <t>IDSP.EUA</t>
  </si>
  <si>
    <t>IDS SA</t>
  </si>
  <si>
    <t>-1.39</t>
  </si>
  <si>
    <t>21,251,569.00</t>
  </si>
  <si>
    <t>DUA.WA</t>
  </si>
  <si>
    <t>Duality SA</t>
  </si>
  <si>
    <t>12,207.26</t>
  </si>
  <si>
    <t>101,939,817.00</t>
  </si>
  <si>
    <t>ACES.BO</t>
  </si>
  <si>
    <t>ACE Software Exports Ltd</t>
  </si>
  <si>
    <t>171,522,305.00</t>
  </si>
  <si>
    <t>ENDP.WA</t>
  </si>
  <si>
    <t>Eneida Games SA</t>
  </si>
  <si>
    <t>1,439,031.00</t>
  </si>
  <si>
    <t>NOGN.OQ</t>
  </si>
  <si>
    <t>Nogin Inc</t>
  </si>
  <si>
    <t>-69,6%</t>
  </si>
  <si>
    <t>45.75</t>
  </si>
  <si>
    <t>89,932,949.00</t>
  </si>
  <si>
    <t>KAST.PK</t>
  </si>
  <si>
    <t>Kasten Inc</t>
  </si>
  <si>
    <t>-1,517960487</t>
  </si>
  <si>
    <t>8.61</t>
  </si>
  <si>
    <t>-0.59</t>
  </si>
  <si>
    <t>23.04</t>
  </si>
  <si>
    <t>307,875,078.00</t>
  </si>
  <si>
    <t>JJB.WA</t>
  </si>
  <si>
    <t>Jujubee SA</t>
  </si>
  <si>
    <t>19.55</t>
  </si>
  <si>
    <t>50,911,234.00</t>
  </si>
  <si>
    <t>XRA.CD</t>
  </si>
  <si>
    <t>XRApplied Technologies Inc</t>
  </si>
  <si>
    <t>-0,253438313</t>
  </si>
  <si>
    <t>8,367,207.00</t>
  </si>
  <si>
    <t>POKO.CD</t>
  </si>
  <si>
    <t>Poko Innovations Inc</t>
  </si>
  <si>
    <t>-0,151478234</t>
  </si>
  <si>
    <t>-0.65</t>
  </si>
  <si>
    <t>-1.07</t>
  </si>
  <si>
    <t>19.49</t>
  </si>
  <si>
    <t>47,074,529.00</t>
  </si>
  <si>
    <t>DMED.CD</t>
  </si>
  <si>
    <t>DiagnaMed Holdings Corp</t>
  </si>
  <si>
    <t>-2,766381766</t>
  </si>
  <si>
    <t>2,152,101.00</t>
  </si>
  <si>
    <t>CGUD.PK</t>
  </si>
  <si>
    <t>Com-Guard.Com Inc</t>
  </si>
  <si>
    <t>248,198,941.00</t>
  </si>
  <si>
    <t>UBQU.PK</t>
  </si>
  <si>
    <t>Ubiquitech Software Corp</t>
  </si>
  <si>
    <t>58.60</t>
  </si>
  <si>
    <t>299.76</t>
  </si>
  <si>
    <t>15.18</t>
  </si>
  <si>
    <t>542,941,768.00</t>
  </si>
  <si>
    <t>VMSI.PK</t>
  </si>
  <si>
    <t>Vita Mobile Systems Inc</t>
  </si>
  <si>
    <t>12,603,000.00</t>
  </si>
  <si>
    <t>BKMT.V</t>
  </si>
  <si>
    <t>BlockMint Technologies Inc</t>
  </si>
  <si>
    <t>10.79</t>
  </si>
  <si>
    <t>258,973,147.00</t>
  </si>
  <si>
    <t>ENERS.ST</t>
  </si>
  <si>
    <t>Enersize Oyj</t>
  </si>
  <si>
    <t>-588,1%</t>
  </si>
  <si>
    <t>31,210,607.00</t>
  </si>
  <si>
    <t>PGIP.WA</t>
  </si>
  <si>
    <t>Sunway Network SA</t>
  </si>
  <si>
    <t>36.71</t>
  </si>
  <si>
    <t>135,000,000.00</t>
  </si>
  <si>
    <t>LTMP.WA</t>
  </si>
  <si>
    <t>Longterm Games SA</t>
  </si>
  <si>
    <t>1,214,880,130.00</t>
  </si>
  <si>
    <t>PROVIT.TE</t>
  </si>
  <si>
    <t>Provide IT Sweden AB (publ)</t>
  </si>
  <si>
    <t>691,330,500.00</t>
  </si>
  <si>
    <t>AMOI.L</t>
  </si>
  <si>
    <t>Anemoi International Ltd</t>
  </si>
  <si>
    <t>-327,4%</t>
  </si>
  <si>
    <t>565,050,738.00</t>
  </si>
  <si>
    <t>PPJE.PK</t>
  </si>
  <si>
    <t>PPJ Healthcare Enterprises Inc</t>
  </si>
  <si>
    <t>186,748,157.00</t>
  </si>
  <si>
    <t>SWRM.PK</t>
  </si>
  <si>
    <t>Appswarm Inc</t>
  </si>
  <si>
    <t>1,240,000.00</t>
  </si>
  <si>
    <t>AO1.AX</t>
  </si>
  <si>
    <t>AssetOwl Ltd</t>
  </si>
  <si>
    <t>-3,198,7%</t>
  </si>
  <si>
    <t>30.55</t>
  </si>
  <si>
    <t>59,428,464.00</t>
  </si>
  <si>
    <t>DEGP.WA</t>
  </si>
  <si>
    <t>Detalion Games SA</t>
  </si>
  <si>
    <t>-0,236477372</t>
  </si>
  <si>
    <t>-1.51</t>
  </si>
  <si>
    <t>65,132,006.00</t>
  </si>
  <si>
    <t>CNTL.TA</t>
  </si>
  <si>
    <t>Continual Ltd</t>
  </si>
  <si>
    <t>2,000,144,838.00</t>
  </si>
  <si>
    <t>BP.V</t>
  </si>
  <si>
    <t>Backstageplay Inc</t>
  </si>
  <si>
    <t>182,927,353.00</t>
  </si>
  <si>
    <t>AMPI.CA</t>
  </si>
  <si>
    <t>Al Moasher for Programming and Information Dissemination SAE</t>
  </si>
  <si>
    <t>27,608,753.00</t>
  </si>
  <si>
    <t>OVI.WA</t>
  </si>
  <si>
    <t>Ovid Works SA</t>
  </si>
  <si>
    <t>67,689,382.00</t>
  </si>
  <si>
    <t>SPZI.PK</t>
  </si>
  <si>
    <t>Spooz Inc</t>
  </si>
  <si>
    <t>4.30</t>
  </si>
  <si>
    <t>178,274,640.00</t>
  </si>
  <si>
    <t>ID.V</t>
  </si>
  <si>
    <t>Identillect Technologies Corp</t>
  </si>
  <si>
    <t>-56,0%</t>
  </si>
  <si>
    <t>13.27</t>
  </si>
  <si>
    <t>31.13</t>
  </si>
  <si>
    <t>127,500,000.00</t>
  </si>
  <si>
    <t>JOIN.BO</t>
  </si>
  <si>
    <t>Jointeca Education Solutions Ltd</t>
  </si>
  <si>
    <t>-1,016549359</t>
  </si>
  <si>
    <t>-315,0%</t>
  </si>
  <si>
    <t>24.40</t>
  </si>
  <si>
    <t>184,198,626.00</t>
  </si>
  <si>
    <t>OCTE.BO</t>
  </si>
  <si>
    <t>Octaware Technologies Ltd</t>
  </si>
  <si>
    <t>-1,115449241</t>
  </si>
  <si>
    <t>-0.93</t>
  </si>
  <si>
    <t>60,627,445.00</t>
  </si>
  <si>
    <t>KASY.BO</t>
  </si>
  <si>
    <t>Kashyap Tele-Medicines Ltd</t>
  </si>
  <si>
    <t>-0,44853538</t>
  </si>
  <si>
    <t>24.58</t>
  </si>
  <si>
    <t>144,696,156.00</t>
  </si>
  <si>
    <t>SLDC.PK</t>
  </si>
  <si>
    <t>Solidus Communications Inc</t>
  </si>
  <si>
    <t>10,255,893.00</t>
  </si>
  <si>
    <t>PSH1.WA</t>
  </si>
  <si>
    <t>Polyslash SA</t>
  </si>
  <si>
    <t>50,812,035.00</t>
  </si>
  <si>
    <t>XIGM.CD</t>
  </si>
  <si>
    <t>Xigem Technologies Corp</t>
  </si>
  <si>
    <t>5.15</t>
  </si>
  <si>
    <t>67.33</t>
  </si>
  <si>
    <t>7.21</t>
  </si>
  <si>
    <t>69,000,000.00</t>
  </si>
  <si>
    <t>TKXh.V</t>
  </si>
  <si>
    <t>Trackx Holdings Inc</t>
  </si>
  <si>
    <t>617,249.32</t>
  </si>
  <si>
    <t>514,333,691.00</t>
  </si>
  <si>
    <t>AMVP.WA</t>
  </si>
  <si>
    <t>Asmodev SA</t>
  </si>
  <si>
    <t>-2,898935621</t>
  </si>
  <si>
    <t>2,515,223.00</t>
  </si>
  <si>
    <t>KILI.ST</t>
  </si>
  <si>
    <t>Kiliaro AB</t>
  </si>
  <si>
    <t>239,590,000.00</t>
  </si>
  <si>
    <t>DGSP.WA</t>
  </si>
  <si>
    <t>Demolish Games SA</t>
  </si>
  <si>
    <t>48,574,596.00</t>
  </si>
  <si>
    <t>IMTL.PK</t>
  </si>
  <si>
    <t>Image Protect Inc</t>
  </si>
  <si>
    <t>297,215,714.00</t>
  </si>
  <si>
    <t>BOMO.PK</t>
  </si>
  <si>
    <t>bowmo Inc</t>
  </si>
  <si>
    <t>11.62</t>
  </si>
  <si>
    <t>1,286,752.00</t>
  </si>
  <si>
    <t>DRGP.WA</t>
  </si>
  <si>
    <t>Drageus Games SA</t>
  </si>
  <si>
    <t>-1,718678521</t>
  </si>
  <si>
    <t>9.68</t>
  </si>
  <si>
    <t>59.47</t>
  </si>
  <si>
    <t>7.84</t>
  </si>
  <si>
    <t>117,777,952.00</t>
  </si>
  <si>
    <t>CHS.V</t>
  </si>
  <si>
    <t>Comprehensive Healthcare Systems Inc</t>
  </si>
  <si>
    <t>64.11</t>
  </si>
  <si>
    <t>155,457,956.00</t>
  </si>
  <si>
    <t>BRP1.WA</t>
  </si>
  <si>
    <t>Black Rose Projects SA</t>
  </si>
  <si>
    <t>5.47</t>
  </si>
  <si>
    <t>3,006,600.00</t>
  </si>
  <si>
    <t>PBT1.WA</t>
  </si>
  <si>
    <t>Prime Bit Games SA</t>
  </si>
  <si>
    <t>20.07</t>
  </si>
  <si>
    <t>295,289,357.00</t>
  </si>
  <si>
    <t>INX.L</t>
  </si>
  <si>
    <t>i-nexus Global PLC</t>
  </si>
  <si>
    <t>-24,0%</t>
  </si>
  <si>
    <t>78.83</t>
  </si>
  <si>
    <t>22.85</t>
  </si>
  <si>
    <t>168,096,841.00</t>
  </si>
  <si>
    <t>VULTS.TE</t>
  </si>
  <si>
    <t>Vultus AB</t>
  </si>
  <si>
    <t>-2,345325606</t>
  </si>
  <si>
    <t>15.06</t>
  </si>
  <si>
    <t>540,207,899.00</t>
  </si>
  <si>
    <t>GCLT.PK</t>
  </si>
  <si>
    <t>GainClients Inc</t>
  </si>
  <si>
    <t>73.14</t>
  </si>
  <si>
    <t>41,503,222.00</t>
  </si>
  <si>
    <t>DAC.V</t>
  </si>
  <si>
    <t>Datable Technology Corp</t>
  </si>
  <si>
    <t>-60,2%</t>
  </si>
  <si>
    <t>18.94</t>
  </si>
  <si>
    <t>242,950,377.00</t>
  </si>
  <si>
    <t>TBIX.V</t>
  </si>
  <si>
    <t>TrustBIX Inc</t>
  </si>
  <si>
    <t>-0,828502466</t>
  </si>
  <si>
    <t>-130,6%</t>
  </si>
  <si>
    <t>983,557,875.00</t>
  </si>
  <si>
    <t>IFA.WA</t>
  </si>
  <si>
    <t>Infra SA</t>
  </si>
  <si>
    <t>-0,257662838</t>
  </si>
  <si>
    <t>4,277,572.00</t>
  </si>
  <si>
    <t>TEVO.CD</t>
  </si>
  <si>
    <t>Tevano Systems Holdings Inc</t>
  </si>
  <si>
    <t>-1.89</t>
  </si>
  <si>
    <t>154,632,057.00</t>
  </si>
  <si>
    <t>MLALV.EUA</t>
  </si>
  <si>
    <t>Alveen SA</t>
  </si>
  <si>
    <t>-0,006342857</t>
  </si>
  <si>
    <t>21.76</t>
  </si>
  <si>
    <t>99,553,003.00</t>
  </si>
  <si>
    <t>VERT.CA</t>
  </si>
  <si>
    <t>Vertika for Industry &amp; Trade</t>
  </si>
  <si>
    <t>2,487,850.00</t>
  </si>
  <si>
    <t>UAMM.PK</t>
  </si>
  <si>
    <t>Ua Multimedia Inc</t>
  </si>
  <si>
    <t>4.56</t>
  </si>
  <si>
    <t>10,443,956.00</t>
  </si>
  <si>
    <t>FSPORT.ST</t>
  </si>
  <si>
    <t>FSport AB (publ )</t>
  </si>
  <si>
    <t>13.28</t>
  </si>
  <si>
    <t>466,087,000.00</t>
  </si>
  <si>
    <t>OOOO.V</t>
  </si>
  <si>
    <t>OOOOO Entertainment Commerce Ltd</t>
  </si>
  <si>
    <t>41,802,944.00</t>
  </si>
  <si>
    <t>KUU.V</t>
  </si>
  <si>
    <t>Kuuhubb Inc</t>
  </si>
  <si>
    <t>-0,175211801</t>
  </si>
  <si>
    <t>-69,8%</t>
  </si>
  <si>
    <t>7.00</t>
  </si>
  <si>
    <t>15,190,607.00</t>
  </si>
  <si>
    <t>VCOR.PK</t>
  </si>
  <si>
    <t>Visiber57 Corp</t>
  </si>
  <si>
    <t>-2,540047741</t>
  </si>
  <si>
    <t>10.95</t>
  </si>
  <si>
    <t>11,998,000.00</t>
  </si>
  <si>
    <t>ICCO.PK</t>
  </si>
  <si>
    <t>Intercare DX Inc</t>
  </si>
  <si>
    <t>193,785,927.00</t>
  </si>
  <si>
    <t>RABI.V</t>
  </si>
  <si>
    <t>Adrabbit Ltd</t>
  </si>
  <si>
    <t>7,810,625.00</t>
  </si>
  <si>
    <t>ROI.OQ</t>
  </si>
  <si>
    <t>Riskon International Inc</t>
  </si>
  <si>
    <t>-0.71</t>
  </si>
  <si>
    <t>26,329,032.00</t>
  </si>
  <si>
    <t>RDSP.WA</t>
  </si>
  <si>
    <t>Red Dev Studio SA</t>
  </si>
  <si>
    <t>-0,019916042</t>
  </si>
  <si>
    <t>9,139,963.00</t>
  </si>
  <si>
    <t>VISV.ASE</t>
  </si>
  <si>
    <t>Visum Technologies Plc</t>
  </si>
  <si>
    <t>35,117,329.00</t>
  </si>
  <si>
    <t>FIRT.BO</t>
  </si>
  <si>
    <t>First Fintec Ltd</t>
  </si>
  <si>
    <t>3,205,000.00</t>
  </si>
  <si>
    <t>UFCP.WA</t>
  </si>
  <si>
    <t>Unified Factory SA</t>
  </si>
  <si>
    <t>-111,1%</t>
  </si>
  <si>
    <t>29,301,703.00</t>
  </si>
  <si>
    <t>ZICX.PK</t>
  </si>
  <si>
    <t>Zicix Corp</t>
  </si>
  <si>
    <t>-3,924954863</t>
  </si>
  <si>
    <t>25,193,077.00</t>
  </si>
  <si>
    <t>DISHB.L</t>
  </si>
  <si>
    <t>Amala Foods PLC</t>
  </si>
  <si>
    <t>-32.68</t>
  </si>
  <si>
    <t>11,288,253.00</t>
  </si>
  <si>
    <t>NRSP.WA</t>
  </si>
  <si>
    <t>Neurone Studio SA</t>
  </si>
  <si>
    <t>-4,094549771</t>
  </si>
  <si>
    <t>-0.40</t>
  </si>
  <si>
    <t>4.16</t>
  </si>
  <si>
    <t>72,945,171.00</t>
  </si>
  <si>
    <t>QON.WA</t>
  </si>
  <si>
    <t>Quarticon SA</t>
  </si>
  <si>
    <t>-26,4%</t>
  </si>
  <si>
    <t>10,266,900.00</t>
  </si>
  <si>
    <t>FDM.CD</t>
  </si>
  <si>
    <t>Fandifi Technology Corp</t>
  </si>
  <si>
    <t>-0,156526703</t>
  </si>
  <si>
    <t>59.07</t>
  </si>
  <si>
    <t>155,700,000.00</t>
  </si>
  <si>
    <t>SPAI.CD</t>
  </si>
  <si>
    <t>Sparc AI Inc</t>
  </si>
  <si>
    <t>7.25</t>
  </si>
  <si>
    <t>63.18</t>
  </si>
  <si>
    <t>127,478,377.00</t>
  </si>
  <si>
    <t>IFAN.PK</t>
  </si>
  <si>
    <t>IFAN Financial Inc</t>
  </si>
  <si>
    <t>-0,410453058</t>
  </si>
  <si>
    <t>3,381,520.00</t>
  </si>
  <si>
    <t>WHER.BO</t>
  </si>
  <si>
    <t>Wherrelz IT Solutions Ltd</t>
  </si>
  <si>
    <t>-0,220624302</t>
  </si>
  <si>
    <t>11.29</t>
  </si>
  <si>
    <t>119,050,098.00</t>
  </si>
  <si>
    <t>LAAB.PK</t>
  </si>
  <si>
    <t>Startech Labs Inc</t>
  </si>
  <si>
    <t>25.00</t>
  </si>
  <si>
    <t>19,153,600.00</t>
  </si>
  <si>
    <t>GKO.V</t>
  </si>
  <si>
    <t>Geekco Technologies Corp</t>
  </si>
  <si>
    <t>-4,083307037</t>
  </si>
  <si>
    <t>47,206,561.00</t>
  </si>
  <si>
    <t>OEE.V</t>
  </si>
  <si>
    <t>Memex Inc</t>
  </si>
  <si>
    <t>-1,004681708</t>
  </si>
  <si>
    <t>9.19</t>
  </si>
  <si>
    <t>24.02</t>
  </si>
  <si>
    <t>24.45</t>
  </si>
  <si>
    <t>23,738,406.00</t>
  </si>
  <si>
    <t>BCDS.PK</t>
  </si>
  <si>
    <t>Blaqclouds Inc</t>
  </si>
  <si>
    <t>-2,75661312</t>
  </si>
  <si>
    <t>9,015,414.00</t>
  </si>
  <si>
    <t>ZMA.V</t>
  </si>
  <si>
    <t>ZoomAway Technologies Inc</t>
  </si>
  <si>
    <t>14.28</t>
  </si>
  <si>
    <t>3.24</t>
  </si>
  <si>
    <t>328,803,729.00</t>
  </si>
  <si>
    <t>APTR.ST</t>
  </si>
  <si>
    <t>Appspotr AB</t>
  </si>
  <si>
    <t>-6,558357238</t>
  </si>
  <si>
    <t>-289,7%</t>
  </si>
  <si>
    <t>3.15</t>
  </si>
  <si>
    <t>36,854,383.00</t>
  </si>
  <si>
    <t>TWIIK.ST</t>
  </si>
  <si>
    <t>Twiik AB</t>
  </si>
  <si>
    <t>-0,075645174</t>
  </si>
  <si>
    <t>11,923,661.00</t>
  </si>
  <si>
    <t>IMCI.PK</t>
  </si>
  <si>
    <t>Infinite Group Inc</t>
  </si>
  <si>
    <t>-23,3%</t>
  </si>
  <si>
    <t>19.35</t>
  </si>
  <si>
    <t>35.54</t>
  </si>
  <si>
    <t>494,000,000.00</t>
  </si>
  <si>
    <t>PXE.CD</t>
  </si>
  <si>
    <t>P2Earn Inc</t>
  </si>
  <si>
    <t>-1,730094207</t>
  </si>
  <si>
    <t>-902,1%</t>
  </si>
  <si>
    <t>38.24</t>
  </si>
  <si>
    <t>27.09</t>
  </si>
  <si>
    <t>291,126,903.00</t>
  </si>
  <si>
    <t>QUIN.NS</t>
  </si>
  <si>
    <t>Quintegra Solutions Ltd</t>
  </si>
  <si>
    <t>-0,053087842</t>
  </si>
  <si>
    <t>4,028,060.00</t>
  </si>
  <si>
    <t>SOLV.CD</t>
  </si>
  <si>
    <t>Solvbl Solutions Inc</t>
  </si>
  <si>
    <t>-114,8987508</t>
  </si>
  <si>
    <t>65,462,430.00</t>
  </si>
  <si>
    <t>BOGIO.TE</t>
  </si>
  <si>
    <t>Bogio Technologies AB</t>
  </si>
  <si>
    <t>-0,022493849</t>
  </si>
  <si>
    <t>3.76</t>
  </si>
  <si>
    <t>11.27</t>
  </si>
  <si>
    <t>218,666,667.00</t>
  </si>
  <si>
    <t>ISGI.V</t>
  </si>
  <si>
    <t>InsuraGuest Technologies Inc</t>
  </si>
  <si>
    <t>-110,1%</t>
  </si>
  <si>
    <t>4.46</t>
  </si>
  <si>
    <t>8,500,000.00</t>
  </si>
  <si>
    <t>SPTZ.CD</t>
  </si>
  <si>
    <t>Spetz Inc</t>
  </si>
  <si>
    <t>-134,0%</t>
  </si>
  <si>
    <t>7,408,068.00</t>
  </si>
  <si>
    <t>MFA.TE</t>
  </si>
  <si>
    <t>MyFirstApp Sweden AB (publ)</t>
  </si>
  <si>
    <t>-0,102101116</t>
  </si>
  <si>
    <t>5.19</t>
  </si>
  <si>
    <t>15,356,544.00</t>
  </si>
  <si>
    <t>NETR.BO</t>
  </si>
  <si>
    <t>Netripples Software Ltd</t>
  </si>
  <si>
    <t>10,324,878.00</t>
  </si>
  <si>
    <t>SVAS.BO</t>
  </si>
  <si>
    <t>Svam Software Ltd</t>
  </si>
  <si>
    <t>1,962,489.00</t>
  </si>
  <si>
    <t>CTEA.L</t>
  </si>
  <si>
    <t>Catenae Innovation PLC</t>
  </si>
  <si>
    <t>-503,6%</t>
  </si>
  <si>
    <t>158,392,263.00</t>
  </si>
  <si>
    <t>XNDA.PK</t>
  </si>
  <si>
    <t>Tribal Rides International Corp</t>
  </si>
  <si>
    <t>-0.85</t>
  </si>
  <si>
    <t>1,314,130.00</t>
  </si>
  <si>
    <t>XONE.CD</t>
  </si>
  <si>
    <t>X1 Entertainment Group Inc</t>
  </si>
  <si>
    <t>-0,430913178</t>
  </si>
  <si>
    <t>-6,676,7%</t>
  </si>
  <si>
    <t>40,634,592.00</t>
  </si>
  <si>
    <t>EMPH.CD</t>
  </si>
  <si>
    <t>Empatho Holdings Inc</t>
  </si>
  <si>
    <t>-0,011898419</t>
  </si>
  <si>
    <t>83,735,718.00</t>
  </si>
  <si>
    <t>WWSG.PK</t>
  </si>
  <si>
    <t>Worldwide Strategies Inc</t>
  </si>
  <si>
    <t>-0,035840748</t>
  </si>
  <si>
    <t>8.72</t>
  </si>
  <si>
    <t>275,066,106.00</t>
  </si>
  <si>
    <t>CNS.V</t>
  </si>
  <si>
    <t>Contagious Gaming Inc</t>
  </si>
  <si>
    <t>-18,45108136</t>
  </si>
  <si>
    <t>35.75</t>
  </si>
  <si>
    <t>84.72</t>
  </si>
  <si>
    <t>26.14</t>
  </si>
  <si>
    <t>54,048,269.00</t>
  </si>
  <si>
    <t>FCGY.PK</t>
  </si>
  <si>
    <t>Forecastagility Corp</t>
  </si>
  <si>
    <t>174,000,400.00</t>
  </si>
  <si>
    <t>SPFY.CD</t>
  </si>
  <si>
    <t>Spacefy Inc</t>
  </si>
  <si>
    <t>9.56</t>
  </si>
  <si>
    <t>69,474,011.00</t>
  </si>
  <si>
    <t>MOVEA.ST</t>
  </si>
  <si>
    <t>Move About Group AB</t>
  </si>
  <si>
    <t>-2,062891138</t>
  </si>
  <si>
    <t>133,814,311.00</t>
  </si>
  <si>
    <t>ZVLO.PK</t>
  </si>
  <si>
    <t>Zvelo Inc</t>
  </si>
  <si>
    <t>-1,173303591</t>
  </si>
  <si>
    <t>-0.68</t>
  </si>
  <si>
    <t>54.19</t>
  </si>
  <si>
    <t>98,866,866.00</t>
  </si>
  <si>
    <t>PENGU.CY</t>
  </si>
  <si>
    <t>MR Pengu Public Co Ltd</t>
  </si>
  <si>
    <t>-100,7%</t>
  </si>
  <si>
    <t>7.36</t>
  </si>
  <si>
    <t>26,355,746.00</t>
  </si>
  <si>
    <t>MAPT.PK</t>
  </si>
  <si>
    <t>Maptelligent Inc</t>
  </si>
  <si>
    <t>-6,143854437</t>
  </si>
  <si>
    <t>135.82</t>
  </si>
  <si>
    <t>45,496,114.00</t>
  </si>
  <si>
    <t>NMXS.PK</t>
  </si>
  <si>
    <t>Net Medical Xpress Solutions Inc</t>
  </si>
  <si>
    <t>-1,348741496</t>
  </si>
  <si>
    <t>23.98</t>
  </si>
  <si>
    <t>NIRh.V</t>
  </si>
  <si>
    <t>Noble Iron Inc</t>
  </si>
  <si>
    <t>-0,235294118</t>
  </si>
  <si>
    <t>22.01</t>
  </si>
  <si>
    <t>29.73</t>
  </si>
  <si>
    <t>3,000,520.00</t>
  </si>
  <si>
    <t>PLAY.CD</t>
  </si>
  <si>
    <t>Playground Ventures Inc</t>
  </si>
  <si>
    <t>264.47</t>
  </si>
  <si>
    <t>31,472,532.00</t>
  </si>
  <si>
    <t>PFLI.BO</t>
  </si>
  <si>
    <t>PFL Infotech Ltd</t>
  </si>
  <si>
    <t>-0,379269034</t>
  </si>
  <si>
    <t>6.61</t>
  </si>
  <si>
    <t>24.90</t>
  </si>
  <si>
    <t>193,887,740.00</t>
  </si>
  <si>
    <t>TECHT.ASE</t>
  </si>
  <si>
    <t>TechFinancials Inc</t>
  </si>
  <si>
    <t>-0,684827575</t>
  </si>
  <si>
    <t>51,040,000.00</t>
  </si>
  <si>
    <t>INNI.PK</t>
  </si>
  <si>
    <t>Innovaro Inc</t>
  </si>
  <si>
    <t>18,562,005.00</t>
  </si>
  <si>
    <t>SPZ.V</t>
  </si>
  <si>
    <t>SuperBuzz Inc</t>
  </si>
  <si>
    <t>37.45</t>
  </si>
  <si>
    <t>1,393,876,104.00</t>
  </si>
  <si>
    <t>MLTP.WA</t>
  </si>
  <si>
    <t>Moonlit SA</t>
  </si>
  <si>
    <t>4.71</t>
  </si>
  <si>
    <t>103,131,057.00</t>
  </si>
  <si>
    <t>CYAP.PK</t>
  </si>
  <si>
    <t>Cyber Apps World Inc</t>
  </si>
  <si>
    <t>5.10</t>
  </si>
  <si>
    <t>1,612,779,660.00</t>
  </si>
  <si>
    <t>GAHC.PK</t>
  </si>
  <si>
    <t>Global Arena Holding Inc</t>
  </si>
  <si>
    <t>-2,597325409</t>
  </si>
  <si>
    <t>6,890,000.00</t>
  </si>
  <si>
    <t>WOWID.PK</t>
  </si>
  <si>
    <t>Metro One Telecommunications Inc</t>
  </si>
  <si>
    <t>-4,691180199</t>
  </si>
  <si>
    <t>2,851,800.00</t>
  </si>
  <si>
    <t>KHYA.BO</t>
  </si>
  <si>
    <t>Khyati Multimedia Entertainment Ltd</t>
  </si>
  <si>
    <t>-0,71959246</t>
  </si>
  <si>
    <t>13.77</t>
  </si>
  <si>
    <t>13.91</t>
  </si>
  <si>
    <t>4,270,400.00</t>
  </si>
  <si>
    <t>JPIM.V</t>
  </si>
  <si>
    <t>Jasper Commerce Inc</t>
  </si>
  <si>
    <t>15.59</t>
  </si>
  <si>
    <t>11,281,048.00</t>
  </si>
  <si>
    <t>RAD.CD</t>
  </si>
  <si>
    <t>Radial Research Corp</t>
  </si>
  <si>
    <t>6,572,800.00</t>
  </si>
  <si>
    <t>ZESEC.NGM</t>
  </si>
  <si>
    <t>Zesec of Sweden AB (publ)</t>
  </si>
  <si>
    <t>-4,305199368</t>
  </si>
  <si>
    <t>8,887,333.00</t>
  </si>
  <si>
    <t>TRML.NGM</t>
  </si>
  <si>
    <t>Trainimal AB</t>
  </si>
  <si>
    <t>19.19</t>
  </si>
  <si>
    <t>6.74</t>
  </si>
  <si>
    <t>14,916,434.00</t>
  </si>
  <si>
    <t>EARI.PK</t>
  </si>
  <si>
    <t>Entertainment Arts Research Inc</t>
  </si>
  <si>
    <t>4,494,300.00</t>
  </si>
  <si>
    <t>TLGN.PK</t>
  </si>
  <si>
    <t>Ever Harvest International Group Inc</t>
  </si>
  <si>
    <t>-2,623,6%</t>
  </si>
  <si>
    <t>91,602,040.00</t>
  </si>
  <si>
    <t>DKGH.PK</t>
  </si>
  <si>
    <t>FVP Holdings Inc</t>
  </si>
  <si>
    <t>16,270,196.00</t>
  </si>
  <si>
    <t>APVS.PK</t>
  </si>
  <si>
    <t>Applied Visual Sciences Inc</t>
  </si>
  <si>
    <t>416.60</t>
  </si>
  <si>
    <t>133,373,250.00</t>
  </si>
  <si>
    <t>MJEM.CD</t>
  </si>
  <si>
    <t>Mijem Newcomm Tech Inc</t>
  </si>
  <si>
    <t>-2,906235663</t>
  </si>
  <si>
    <t>10.12</t>
  </si>
  <si>
    <t>120,842,068.00</t>
  </si>
  <si>
    <t>GLBH.PK</t>
  </si>
  <si>
    <t>Globaltech Holdings Inc</t>
  </si>
  <si>
    <t>4,400,000.00</t>
  </si>
  <si>
    <t>BARO.BO</t>
  </si>
  <si>
    <t>Baron Infotech Ltd</t>
  </si>
  <si>
    <t>-2.42</t>
  </si>
  <si>
    <t>-15.55</t>
  </si>
  <si>
    <t>41,845,327.00</t>
  </si>
  <si>
    <t>CLXS.PK</t>
  </si>
  <si>
    <t>Collexis Holdings Inc</t>
  </si>
  <si>
    <t>13,200,000.00</t>
  </si>
  <si>
    <t>CDRBQ.PK</t>
  </si>
  <si>
    <t>Code Rebel Corp</t>
  </si>
  <si>
    <t>26,344,994.00</t>
  </si>
  <si>
    <t>PPMH.PK</t>
  </si>
  <si>
    <t>Point To Point Methodics Inc</t>
  </si>
  <si>
    <t>14.68</t>
  </si>
  <si>
    <t>5.41</t>
  </si>
  <si>
    <t>4,135,000.00</t>
  </si>
  <si>
    <t>GMGT.PK</t>
  </si>
  <si>
    <t>Gaming Technologies Inc</t>
  </si>
  <si>
    <t>-3,314,5%</t>
  </si>
  <si>
    <t>8.45</t>
  </si>
  <si>
    <t>33,468,925,000.00</t>
  </si>
  <si>
    <t>MNIZ.PK</t>
  </si>
  <si>
    <t>Gen 2 Technologies Inc</t>
  </si>
  <si>
    <t>-1,0061185</t>
  </si>
  <si>
    <t>7,596,024.00</t>
  </si>
  <si>
    <t>IWSY.PK</t>
  </si>
  <si>
    <t>ImageWare Systems Inc</t>
  </si>
  <si>
    <t>-0,532255325</t>
  </si>
  <si>
    <t>-271,6%</t>
  </si>
  <si>
    <t>228.59</t>
  </si>
  <si>
    <t>24,806,692.00</t>
  </si>
  <si>
    <t>LIVC.PK</t>
  </si>
  <si>
    <t>Live Current Media Inc</t>
  </si>
  <si>
    <t>-0,050273434</t>
  </si>
  <si>
    <t>-1,436,4%</t>
  </si>
  <si>
    <t>20.72</t>
  </si>
  <si>
    <t>33.73</t>
  </si>
  <si>
    <t>540,195,817.00</t>
  </si>
  <si>
    <t>CICND.PK</t>
  </si>
  <si>
    <t>SMS Alternatives Inc</t>
  </si>
  <si>
    <t>-0,229994336</t>
  </si>
  <si>
    <t>-286,8%</t>
  </si>
  <si>
    <t>1,460,000.00</t>
  </si>
  <si>
    <t>ADGO.PK</t>
  </si>
  <si>
    <t>Advantego Corp</t>
  </si>
  <si>
    <t>-1,772424018</t>
  </si>
  <si>
    <t>11.35</t>
  </si>
  <si>
    <t>206,620,642.00</t>
  </si>
  <si>
    <t>WORC.PK</t>
  </si>
  <si>
    <t>Wake Up Now Inc</t>
  </si>
  <si>
    <t>-3,249656318</t>
  </si>
  <si>
    <t>35,318,697.00</t>
  </si>
  <si>
    <t>FDBL.PK</t>
  </si>
  <si>
    <t>Friendable Inc</t>
  </si>
  <si>
    <t>179.10</t>
  </si>
  <si>
    <t>2,752,667.00</t>
  </si>
  <si>
    <t>0US7.L</t>
  </si>
  <si>
    <t>Pareteum Corp</t>
  </si>
  <si>
    <t>-0,068134709</t>
  </si>
  <si>
    <t>389,600.00</t>
  </si>
  <si>
    <t>HAON.PK</t>
  </si>
  <si>
    <t>Halitron Inc</t>
  </si>
  <si>
    <t>-0,242678974</t>
  </si>
  <si>
    <t>17.98</t>
  </si>
  <si>
    <t>14,365,000.00</t>
  </si>
  <si>
    <t>CGLO.PK</t>
  </si>
  <si>
    <t>Coro Global Inc</t>
  </si>
  <si>
    <t>7,682,971.00</t>
  </si>
  <si>
    <t>DVAR.PK</t>
  </si>
  <si>
    <t>Dovarri Inc</t>
  </si>
  <si>
    <t>-0,037321261</t>
  </si>
  <si>
    <t>11.72</t>
  </si>
  <si>
    <t>12,554,474.00</t>
  </si>
  <si>
    <t>ITLI.PK</t>
  </si>
  <si>
    <t>Intelligentias Inc</t>
  </si>
  <si>
    <t>13.33</t>
  </si>
  <si>
    <t>77,350,000.00</t>
  </si>
  <si>
    <t>DLAD.PK</t>
  </si>
  <si>
    <t>DealerAdvance Inc</t>
  </si>
  <si>
    <t>102,041,983.00</t>
  </si>
  <si>
    <t>ADTR.PK</t>
  </si>
  <si>
    <t>Alliance Media Holdings Inc</t>
  </si>
  <si>
    <t>20,421,593.00</t>
  </si>
  <si>
    <t>ALIF.PK</t>
  </si>
  <si>
    <t>Artificial Life Inc</t>
  </si>
  <si>
    <t>-0,059576346</t>
  </si>
  <si>
    <t>1,018,514,133.00</t>
  </si>
  <si>
    <t>MAXD.PK</t>
  </si>
  <si>
    <t>Max Sound Corp</t>
  </si>
  <si>
    <t>85.08</t>
  </si>
  <si>
    <t>27,787,636.00</t>
  </si>
  <si>
    <t>DUSYF.PK</t>
  </si>
  <si>
    <t>Duesenberg Technologies Inc</t>
  </si>
  <si>
    <t>-16,6745404</t>
  </si>
  <si>
    <t>-0.36</t>
  </si>
  <si>
    <t>20,842,690.00</t>
  </si>
  <si>
    <t>BZIC.PK</t>
  </si>
  <si>
    <t>Beamz Interactive Inc</t>
  </si>
  <si>
    <t>-0,054715638</t>
  </si>
  <si>
    <t>168.93</t>
  </si>
  <si>
    <t>1,473,150.00</t>
  </si>
  <si>
    <t>TTCM.PK</t>
  </si>
  <si>
    <t>Tautachrome Inc</t>
  </si>
  <si>
    <t>-0,83702307</t>
  </si>
  <si>
    <t>120,944.00</t>
  </si>
  <si>
    <t>VCST.PK</t>
  </si>
  <si>
    <t>Viewcast.Com Inc</t>
  </si>
  <si>
    <t>-2,297891791</t>
  </si>
  <si>
    <t>19.33</t>
  </si>
  <si>
    <t>3,643,120.00</t>
  </si>
  <si>
    <t>SAHN.PK</t>
  </si>
  <si>
    <t>Saudi American Holdings Corp</t>
  </si>
  <si>
    <t>FRXX.PK</t>
  </si>
  <si>
    <t>Forecross Corp</t>
  </si>
  <si>
    <t>28.87</t>
  </si>
  <si>
    <t>9,108,349.00</t>
  </si>
  <si>
    <t>VSRV.PK</t>
  </si>
  <si>
    <t>VoiceServe Inc</t>
  </si>
  <si>
    <t>7.30</t>
  </si>
  <si>
    <t>1,276,248.00</t>
  </si>
  <si>
    <t>PUGE.PK</t>
  </si>
  <si>
    <t>Puget Technologies Inc</t>
  </si>
  <si>
    <t>7,508,961.00</t>
  </si>
  <si>
    <t>PXPP.PK</t>
  </si>
  <si>
    <t>Phoenix Apps Inc</t>
  </si>
  <si>
    <t>-0,499264589</t>
  </si>
  <si>
    <t>103,660,476.00</t>
  </si>
  <si>
    <t>OPMG.PK</t>
  </si>
  <si>
    <t>Options Media Group Holdings Inc</t>
  </si>
  <si>
    <t>-2,601235231</t>
  </si>
  <si>
    <t>1,149,791.00</t>
  </si>
  <si>
    <t>MLKNA.PK</t>
  </si>
  <si>
    <t>MedLink International Inc</t>
  </si>
  <si>
    <t>22.71</t>
  </si>
  <si>
    <t>33,681,812.00</t>
  </si>
  <si>
    <t>ALYI.PK</t>
  </si>
  <si>
    <t>Alternet Systems Inc</t>
  </si>
  <si>
    <t>9,515,498.00</t>
  </si>
  <si>
    <t>STNX.PK</t>
  </si>
  <si>
    <t>Startronix International Inc</t>
  </si>
  <si>
    <t>-0,484125445</t>
  </si>
  <si>
    <t>71.15</t>
  </si>
  <si>
    <t>72,640,800.00</t>
  </si>
  <si>
    <t>SMAA.PK</t>
  </si>
  <si>
    <t>SMA Alliance Inc</t>
  </si>
  <si>
    <t>138,000,000.00</t>
  </si>
  <si>
    <t>LMSC.PK</t>
  </si>
  <si>
    <t>Live Microsystems Inc</t>
  </si>
  <si>
    <t>2.07</t>
  </si>
  <si>
    <t>13,966,000.00</t>
  </si>
  <si>
    <t>BIGG.PK</t>
  </si>
  <si>
    <t>Big Tree Group Inc</t>
  </si>
  <si>
    <t>XCLL.PK</t>
  </si>
  <si>
    <t>XcelMobility Inc</t>
  </si>
  <si>
    <t>223,570,000.00</t>
  </si>
  <si>
    <t>FTWS.PK</t>
  </si>
  <si>
    <t>Flitways Technology Inc</t>
  </si>
  <si>
    <t>-0,903495372</t>
  </si>
  <si>
    <t>25,142,528.00</t>
  </si>
  <si>
    <t>XFCH.PK</t>
  </si>
  <si>
    <t>X-Factor Communications Holdings Inc</t>
  </si>
  <si>
    <t>-1,330637681</t>
  </si>
  <si>
    <t>-3.39</t>
  </si>
  <si>
    <t>249,618.00</t>
  </si>
  <si>
    <t>IMGX.PK</t>
  </si>
  <si>
    <t>Image Metrics Inc</t>
  </si>
  <si>
    <t>8,951,472.00</t>
  </si>
  <si>
    <t>LCLP.PK</t>
  </si>
  <si>
    <t>Life Clips Inc</t>
  </si>
  <si>
    <t>-360,5%</t>
  </si>
  <si>
    <t>21.28</t>
  </si>
  <si>
    <t>13,750,560.00</t>
  </si>
  <si>
    <t>GLCC.PK</t>
  </si>
  <si>
    <t>Good Life China Corp</t>
  </si>
  <si>
    <t>-7,503629979</t>
  </si>
  <si>
    <t>-0.50</t>
  </si>
  <si>
    <t>53,439,309.00</t>
  </si>
  <si>
    <t>ARCS.PK</t>
  </si>
  <si>
    <t>Arcis Resources Corp</t>
  </si>
  <si>
    <t>15,466,417.00</t>
  </si>
  <si>
    <t>TLDN.PK</t>
  </si>
  <si>
    <t>Telidyne Inc</t>
  </si>
  <si>
    <t>10,344,546.00</t>
  </si>
  <si>
    <t>IPUB.PK</t>
  </si>
  <si>
    <t>indiePub Entertainment Inc</t>
  </si>
  <si>
    <t>-0,899776132</t>
  </si>
  <si>
    <t>24.12</t>
  </si>
  <si>
    <t>33,919,142.00</t>
  </si>
  <si>
    <t>TPNI.PK</t>
  </si>
  <si>
    <t>Pulse Network Inc</t>
  </si>
  <si>
    <t>22.78</t>
  </si>
  <si>
    <t>24.60</t>
  </si>
  <si>
    <t>11,416,888.00</t>
  </si>
  <si>
    <t>ISOL.PK</t>
  </si>
  <si>
    <t>1mage Software Inc</t>
  </si>
  <si>
    <t>-2,660642765</t>
  </si>
  <si>
    <t>6,450,916.00</t>
  </si>
  <si>
    <t>IDLM.PK</t>
  </si>
  <si>
    <t>Idle Media Inc</t>
  </si>
  <si>
    <t>1,435,000.00</t>
  </si>
  <si>
    <t>SPDC.PK</t>
  </si>
  <si>
    <t>Speed Commerce Inc</t>
  </si>
  <si>
    <t>SQCC.PK</t>
  </si>
  <si>
    <t>Square Chain Corp</t>
  </si>
  <si>
    <t>-4,149508362</t>
  </si>
  <si>
    <t>GFGU.PK</t>
  </si>
  <si>
    <t>GetFugu Inc</t>
  </si>
  <si>
    <t>-1,04906973</t>
  </si>
  <si>
    <t>50,721,287.00</t>
  </si>
  <si>
    <t>ADSV.PK</t>
  </si>
  <si>
    <t>Allied Security Innovations Inc</t>
  </si>
  <si>
    <t>174,673,165.00</t>
  </si>
  <si>
    <t>SDEC.PK</t>
  </si>
  <si>
    <t>Smart Decision Inc</t>
  </si>
  <si>
    <t>40,250,000.00</t>
  </si>
  <si>
    <t>CLIS.PK</t>
  </si>
  <si>
    <t>Clickstream Corp</t>
  </si>
  <si>
    <t>220,000,000.00</t>
  </si>
  <si>
    <t>NXPS.PK</t>
  </si>
  <si>
    <t>NexPrise Inc</t>
  </si>
  <si>
    <t>7.53</t>
  </si>
  <si>
    <t>9,170,625.00</t>
  </si>
  <si>
    <t>TLPC.PK</t>
  </si>
  <si>
    <t>Telpac Industries Inc</t>
  </si>
  <si>
    <t>102.98</t>
  </si>
  <si>
    <t>45,500,000.00</t>
  </si>
  <si>
    <t>VOYT.PK</t>
  </si>
  <si>
    <t>Voyant International Corp</t>
  </si>
  <si>
    <t>13.43</t>
  </si>
  <si>
    <t>28.70</t>
  </si>
  <si>
    <t>26.05</t>
  </si>
  <si>
    <t>7,195,566.00</t>
  </si>
  <si>
    <t>IZNN.PK</t>
  </si>
  <si>
    <t>Prelude Financial Inc</t>
  </si>
  <si>
    <t>11,343,912.00</t>
  </si>
  <si>
    <t>RBTI.PK</t>
  </si>
  <si>
    <t>Red Branch Technologies Inc</t>
  </si>
  <si>
    <t>40.44</t>
  </si>
  <si>
    <t>4,225,450.00</t>
  </si>
  <si>
    <t>NHEL.PK</t>
  </si>
  <si>
    <t>Natural Health Farm Holdings Inc</t>
  </si>
  <si>
    <t>-18,3%</t>
  </si>
  <si>
    <t>5.22</t>
  </si>
  <si>
    <t>5,178,252.00</t>
  </si>
  <si>
    <t>RDVWF.PK</t>
  </si>
  <si>
    <t>Radview Software Ltd</t>
  </si>
  <si>
    <t>-0,042223489</t>
  </si>
  <si>
    <t>17,755,690.00</t>
  </si>
  <si>
    <t>PSWR.PK</t>
  </si>
  <si>
    <t>Prism Software Corp</t>
  </si>
  <si>
    <t>45,782,922.00</t>
  </si>
  <si>
    <t>BLKCF.PK</t>
  </si>
  <si>
    <t>Global Gaming Technologies Corp</t>
  </si>
  <si>
    <t>5,780,000.00</t>
  </si>
  <si>
    <t>IPLY.PK</t>
  </si>
  <si>
    <t>Interplay Entertainment Corp</t>
  </si>
  <si>
    <t>-0,209059006</t>
  </si>
  <si>
    <t>43,465,834.00</t>
  </si>
  <si>
    <t>PLYZ.PK</t>
  </si>
  <si>
    <t>Plyzer Technologies Inc</t>
  </si>
  <si>
    <t>9.88</t>
  </si>
  <si>
    <t>7,751,826.00</t>
  </si>
  <si>
    <t>IRNTQ.PK</t>
  </si>
  <si>
    <t>IronNet Inc</t>
  </si>
  <si>
    <t>-0,013242182</t>
  </si>
  <si>
    <t>-387,9%</t>
  </si>
  <si>
    <t>36,649,725.00</t>
  </si>
  <si>
    <t>SRSN.PK</t>
  </si>
  <si>
    <t>Strategic Resources International Inc</t>
  </si>
  <si>
    <t>-0,194201257</t>
  </si>
  <si>
    <t>11,963,575.00</t>
  </si>
  <si>
    <t>VOIS.PK</t>
  </si>
  <si>
    <t>Gamerica Holdings and Acquisitions Corp</t>
  </si>
  <si>
    <t>378,732,535.00</t>
  </si>
  <si>
    <t>EMMD.PK</t>
  </si>
  <si>
    <t>eMedia Group Inc</t>
  </si>
  <si>
    <t>-0,082501315</t>
  </si>
  <si>
    <t>1,286,300.00</t>
  </si>
  <si>
    <t>LFER.PK</t>
  </si>
  <si>
    <t>Life On Earth Inc</t>
  </si>
  <si>
    <t>PLGC.PK</t>
  </si>
  <si>
    <t>Playlogic Entertainment Inc</t>
  </si>
  <si>
    <t>-0,501021445</t>
  </si>
  <si>
    <t>68.95</t>
  </si>
  <si>
    <t>3,919,376.00</t>
  </si>
  <si>
    <t>SOPK.PK</t>
  </si>
  <si>
    <t>SouthPeak Interactive Corp</t>
  </si>
  <si>
    <t>822,381,403.00</t>
  </si>
  <si>
    <t>VBTC.PK</t>
  </si>
  <si>
    <t>Vubotics Inc</t>
  </si>
  <si>
    <t>9,287,580.00</t>
  </si>
  <si>
    <t>PGFY.PK</t>
  </si>
  <si>
    <t>Pingify International Inc</t>
  </si>
  <si>
    <t>9.90</t>
  </si>
  <si>
    <t>11.73</t>
  </si>
  <si>
    <t>7,694,625.00</t>
  </si>
  <si>
    <t>ANVV.PK</t>
  </si>
  <si>
    <t>Anvia Holdings Corp</t>
  </si>
  <si>
    <t>26,786,867.00</t>
  </si>
  <si>
    <t>NETO.PK</t>
  </si>
  <si>
    <t>NetObjects Inc</t>
  </si>
  <si>
    <t>80,052,640.00</t>
  </si>
  <si>
    <t>GTSWF.PK</t>
  </si>
  <si>
    <t>GetSwift Technologies Ltd</t>
  </si>
  <si>
    <t>-39,9%</t>
  </si>
  <si>
    <t>12,882,896.00</t>
  </si>
  <si>
    <t>AXCP.PK</t>
  </si>
  <si>
    <t>Allixon International Corp</t>
  </si>
  <si>
    <t>-0,074733001</t>
  </si>
  <si>
    <t>1,693.57</t>
  </si>
  <si>
    <t>6,208,170.00</t>
  </si>
  <si>
    <t>CYPJ.PK</t>
  </si>
  <si>
    <t>Cyber Operations Inc</t>
  </si>
  <si>
    <t>10,356,340.00</t>
  </si>
  <si>
    <t>GTGP.PK</t>
  </si>
  <si>
    <t>Global Technologies Group Inc</t>
  </si>
  <si>
    <t>86.83</t>
  </si>
  <si>
    <t>101,270,539.00</t>
  </si>
  <si>
    <t>VSTCQ.PK</t>
  </si>
  <si>
    <t>Vision Technology Corp</t>
  </si>
  <si>
    <t>42,054,000.00</t>
  </si>
  <si>
    <t>SSTRF.PK</t>
  </si>
  <si>
    <t>Silverstar Holdings Ltd</t>
  </si>
  <si>
    <t>12.51</t>
  </si>
  <si>
    <t>144.28</t>
  </si>
  <si>
    <t>6,265,193,445.00</t>
  </si>
  <si>
    <t>HTSF.PK</t>
  </si>
  <si>
    <t>Heartsoft Inc</t>
  </si>
  <si>
    <t>11.81</t>
  </si>
  <si>
    <t>4.64</t>
  </si>
  <si>
    <t>9,604,012.00</t>
  </si>
  <si>
    <t>SMRL.PK</t>
  </si>
  <si>
    <t>Simtrol Inc</t>
  </si>
  <si>
    <t>35.64</t>
  </si>
  <si>
    <t>534,439,918.00</t>
  </si>
  <si>
    <t>SPLY.PK</t>
  </si>
  <si>
    <t>SocialPlay USA Inc</t>
  </si>
  <si>
    <t>11.18</t>
  </si>
  <si>
    <t>53,117,437.00</t>
  </si>
  <si>
    <t>CLTY.PK</t>
  </si>
  <si>
    <t>Celerity Solutions Inc</t>
  </si>
  <si>
    <t>-0,568966279</t>
  </si>
  <si>
    <t>137,977,135.00</t>
  </si>
  <si>
    <t>ZIMCF.PK</t>
  </si>
  <si>
    <t>Zim Corp</t>
  </si>
  <si>
    <t>32.64</t>
  </si>
  <si>
    <t>16,099,365.00</t>
  </si>
  <si>
    <t>CYRNQ.PK</t>
  </si>
  <si>
    <t>Cyren Ltd</t>
  </si>
  <si>
    <t>-86,1%</t>
  </si>
  <si>
    <t>6,300.00</t>
  </si>
  <si>
    <t>TMIX.PK</t>
  </si>
  <si>
    <t>Tarsin Mobile Inc</t>
  </si>
  <si>
    <t>-0,39339601</t>
  </si>
  <si>
    <t>432,999,999.00</t>
  </si>
  <si>
    <t>RIVX.PK</t>
  </si>
  <si>
    <t>Rivex Technology Corp</t>
  </si>
  <si>
    <t>5,611,680.00</t>
  </si>
  <si>
    <t>BVTK.PK</t>
  </si>
  <si>
    <t>Bravatek Solutions Inc</t>
  </si>
  <si>
    <t>16.02</t>
  </si>
  <si>
    <t>102.05</t>
  </si>
  <si>
    <t>24.42</t>
  </si>
  <si>
    <t>2,820,400.00</t>
  </si>
  <si>
    <t>USDC.PK</t>
  </si>
  <si>
    <t>USData Corp</t>
  </si>
  <si>
    <t>-0,705168003</t>
  </si>
  <si>
    <t>2,031,513,339.00</t>
  </si>
  <si>
    <t>VIPK.PK</t>
  </si>
  <si>
    <t>VIP Comlink Inc</t>
  </si>
  <si>
    <t>16.11</t>
  </si>
  <si>
    <t>3,903,350.00</t>
  </si>
  <si>
    <t>ZNAE.PK</t>
  </si>
  <si>
    <t>Zane Interactive Publishing Inc</t>
  </si>
  <si>
    <t>28,296,511.00</t>
  </si>
  <si>
    <t>STLh.V</t>
  </si>
  <si>
    <t>Solutioninc Technologies Ltd</t>
  </si>
  <si>
    <t>31,524,625.00</t>
  </si>
  <si>
    <t>MCIM.PK</t>
  </si>
  <si>
    <t>Macau Capital Investments Inc</t>
  </si>
  <si>
    <t>3,000,000.00</t>
  </si>
  <si>
    <t>CROC.BO</t>
  </si>
  <si>
    <t>CREDENCE SOUND &amp; VISION LTD.</t>
  </si>
  <si>
    <t>37.31</t>
  </si>
  <si>
    <t>5,000,342,253.00</t>
  </si>
  <si>
    <t>DION.BO</t>
  </si>
  <si>
    <t>Dion Global Solutions Ltd</t>
  </si>
  <si>
    <t>-45,1%</t>
  </si>
  <si>
    <t>14.95</t>
  </si>
  <si>
    <t>9.99</t>
  </si>
  <si>
    <t>3,622,160.00</t>
  </si>
  <si>
    <t>TJSS.PK</t>
  </si>
  <si>
    <t>Taj Systems Inc</t>
  </si>
  <si>
    <t>-181,9494092</t>
  </si>
  <si>
    <t>72,046,848.00</t>
  </si>
  <si>
    <t>BELR.PK</t>
  </si>
  <si>
    <t>Bellrose Capital Inc</t>
  </si>
  <si>
    <t>6.55</t>
  </si>
  <si>
    <t>33.07</t>
  </si>
  <si>
    <t>9,690,904.00</t>
  </si>
  <si>
    <t>SRMT.BO</t>
  </si>
  <si>
    <t>Sriven Multi-Tech Ltd</t>
  </si>
  <si>
    <t>52,808,589.00</t>
  </si>
  <si>
    <t>ADCO.BO</t>
  </si>
  <si>
    <t>Advent Computer Services Ltd</t>
  </si>
  <si>
    <t>18.42</t>
  </si>
  <si>
    <t>2,950,530,800.00</t>
  </si>
  <si>
    <t>INTE.BO</t>
  </si>
  <si>
    <t>Integrated Hitech Ltd</t>
  </si>
  <si>
    <t>20,231,250.00</t>
  </si>
  <si>
    <t>MLSr.AT</t>
  </si>
  <si>
    <t>MLS Multimedia SA</t>
  </si>
  <si>
    <t>31.01</t>
  </si>
  <si>
    <t>4,068,867.00</t>
  </si>
  <si>
    <t>PINE.BO</t>
  </si>
  <si>
    <t>Pine Animation Ltd</t>
  </si>
  <si>
    <t>-2,196612159</t>
  </si>
  <si>
    <t>19,050,000.00</t>
  </si>
  <si>
    <t>LCRE.PK</t>
  </si>
  <si>
    <t>Lecere Corp</t>
  </si>
  <si>
    <t>23,288,000.00</t>
  </si>
  <si>
    <t>GEIS.M3</t>
  </si>
  <si>
    <t>Geodesic Ltd</t>
  </si>
  <si>
    <t>47.48</t>
  </si>
  <si>
    <t>4.94</t>
  </si>
  <si>
    <t>12,100,250.00</t>
  </si>
  <si>
    <t>LLNXF.PK</t>
  </si>
  <si>
    <t>Link Linux Inc</t>
  </si>
  <si>
    <t>-0,225977122</t>
  </si>
  <si>
    <t>1,053,675.00</t>
  </si>
  <si>
    <t>SESH.BO</t>
  </si>
  <si>
    <t>Seshachal Technologies Ltd</t>
  </si>
  <si>
    <t>12,000,000.00</t>
  </si>
  <si>
    <t>CYBS.BO</t>
  </si>
  <si>
    <t>Cyberscape Multimedia Ltd</t>
  </si>
  <si>
    <t>716,887,240.00</t>
  </si>
  <si>
    <t>EFOT.PK</t>
  </si>
  <si>
    <t>eFotoXpress Inc</t>
  </si>
  <si>
    <t>82.15</t>
  </si>
  <si>
    <t>3,082,288.00</t>
  </si>
  <si>
    <t>CYRP.PK</t>
  </si>
  <si>
    <t>CYBRA Corp</t>
  </si>
  <si>
    <t>YDXh.V</t>
  </si>
  <si>
    <t>YDx Innovation Corp</t>
  </si>
  <si>
    <t>-387,1%</t>
  </si>
  <si>
    <t>23.13</t>
  </si>
  <si>
    <t>6.88</t>
  </si>
  <si>
    <t>16,225,961.00</t>
  </si>
  <si>
    <t>830799.BJE</t>
  </si>
  <si>
    <t>Shanghai i2Finance Technology Co Ltd</t>
  </si>
  <si>
    <t>-0,272872558</t>
  </si>
  <si>
    <t>78,618,000.00</t>
  </si>
  <si>
    <t>150440.KN</t>
  </si>
  <si>
    <t>Finotek Co Ltd</t>
  </si>
  <si>
    <t>5,108.01</t>
  </si>
  <si>
    <t>RDMR.PK</t>
  </si>
  <si>
    <t>Road Marshall Inc</t>
  </si>
  <si>
    <t>-4,172903852</t>
  </si>
  <si>
    <t>178.86</t>
  </si>
  <si>
    <t>7,819,826.00</t>
  </si>
  <si>
    <t>832171.BJE</t>
  </si>
  <si>
    <t>HeBei Raisesun Information Technology Co Ltd</t>
  </si>
  <si>
    <t>-46,2%</t>
  </si>
  <si>
    <t>225.17</t>
  </si>
  <si>
    <t>8,125,272.00</t>
  </si>
  <si>
    <t>208860.KQ</t>
  </si>
  <si>
    <t>Engis Technologies Inc</t>
  </si>
  <si>
    <t>-0,241770996</t>
  </si>
  <si>
    <t>-143,2%</t>
  </si>
  <si>
    <t>531,600,000.00</t>
  </si>
  <si>
    <t>MNIA.PK</t>
  </si>
  <si>
    <t>Cannis Inc</t>
  </si>
  <si>
    <t>-4,042076669</t>
  </si>
  <si>
    <t>26,930,000.00</t>
  </si>
  <si>
    <t>839790.BJE</t>
  </si>
  <si>
    <t>Nanjing Liandi Information Systems Co Ltd</t>
  </si>
  <si>
    <t>-0,91938889</t>
  </si>
  <si>
    <t>7.85</t>
  </si>
  <si>
    <t>169.18</t>
  </si>
  <si>
    <t>5.88</t>
  </si>
  <si>
    <t>31,964,785.00</t>
  </si>
  <si>
    <t>837592.BJE</t>
  </si>
  <si>
    <t>Hi-Think Yondervision (Beijing) Tech Co Ltd</t>
  </si>
  <si>
    <t>35.27</t>
  </si>
  <si>
    <t>67,000,000.00</t>
  </si>
  <si>
    <t>BESW.M3</t>
  </si>
  <si>
    <t>Be Swasth Healthcare Ltd</t>
  </si>
  <si>
    <t>28,632,473.00</t>
  </si>
  <si>
    <t>837092.BJE</t>
  </si>
  <si>
    <t>Shandong Hiacent Technology Co Ltd</t>
  </si>
  <si>
    <t>2.48</t>
  </si>
  <si>
    <t>34.38</t>
  </si>
  <si>
    <t>12.10</t>
  </si>
  <si>
    <t>4,942,930.00</t>
  </si>
  <si>
    <t>838227.BJE</t>
  </si>
  <si>
    <t>Hangzhou Meideng Technology Co Ltd</t>
  </si>
  <si>
    <t>-5,887450482</t>
  </si>
  <si>
    <t>1,269,000.00</t>
  </si>
  <si>
    <t>CVSG.LJ</t>
  </si>
  <si>
    <t>CVS Mobile dd</t>
  </si>
  <si>
    <t>51,563,831.00</t>
  </si>
  <si>
    <t>TMEF.PK</t>
  </si>
  <si>
    <t>Tipmefast Inc</t>
  </si>
  <si>
    <t>7,949,335.00</t>
  </si>
  <si>
    <t>IERT.M3</t>
  </si>
  <si>
    <t>Intertec Technologies Ltd</t>
  </si>
  <si>
    <t>206,677,575.00</t>
  </si>
  <si>
    <t>839680.BJE</t>
  </si>
  <si>
    <t>Shenzhen Suntang Digital Technology Co Ltd</t>
  </si>
  <si>
    <t>24,234,982.00</t>
  </si>
  <si>
    <t>834415.BJE</t>
  </si>
  <si>
    <t>Forever Opensource Software Inc</t>
  </si>
  <si>
    <t>11.82</t>
  </si>
  <si>
    <t>17.10</t>
  </si>
  <si>
    <t>4,901,526.00</t>
  </si>
  <si>
    <t>4426.T</t>
  </si>
  <si>
    <t>Passlogy Co Ltd</t>
  </si>
  <si>
    <t>10.53</t>
  </si>
  <si>
    <t>5,248,600.00</t>
  </si>
  <si>
    <t>ENVY.JK</t>
  </si>
  <si>
    <t>Envy Technologies Indonesia Tbk PT</t>
  </si>
  <si>
    <t>132.93</t>
  </si>
  <si>
    <t>18.04</t>
  </si>
  <si>
    <t>6,050,000.00</t>
  </si>
  <si>
    <t>MALR.LJ</t>
  </si>
  <si>
    <t>MAIS dd Ljubljana</t>
  </si>
  <si>
    <t>25.96</t>
  </si>
  <si>
    <t>5,447,675.00</t>
  </si>
  <si>
    <t>CREG.VI</t>
  </si>
  <si>
    <t>Creactives Group SpA</t>
  </si>
  <si>
    <t>2,300,000.00</t>
  </si>
  <si>
    <t>TREG.BO</t>
  </si>
  <si>
    <t>Trekkingtoes.com Limited</t>
  </si>
  <si>
    <t>-7,646814457</t>
  </si>
  <si>
    <t>22.06</t>
  </si>
  <si>
    <t>56,183,920.00</t>
  </si>
  <si>
    <t>RTST.KL</t>
  </si>
  <si>
    <t>RTS Technology Holdings Bhd</t>
  </si>
  <si>
    <t>7,206,940.00</t>
  </si>
  <si>
    <t>CARE.VI</t>
  </si>
  <si>
    <t>Icona Technology SpA</t>
  </si>
  <si>
    <t>1,107,000.00</t>
  </si>
  <si>
    <t>4257.T</t>
  </si>
  <si>
    <t>Evixar Inc</t>
  </si>
  <si>
    <t>-78,4%</t>
  </si>
  <si>
    <t>13,037,476.00</t>
  </si>
  <si>
    <t>LNDOS.PK</t>
  </si>
  <si>
    <t>Landa App LLC</t>
  </si>
  <si>
    <t>-1,229797215</t>
  </si>
  <si>
    <t>17,197,755.00</t>
  </si>
  <si>
    <t>OGMBS.PK</t>
  </si>
  <si>
    <t>Otis Collection LLC</t>
  </si>
  <si>
    <t>351.06</t>
  </si>
  <si>
    <t>42,522,091.00</t>
  </si>
  <si>
    <t>RSARS.PK</t>
  </si>
  <si>
    <t>RSE Collection LLC</t>
  </si>
  <si>
    <t>205,183,350.00</t>
  </si>
  <si>
    <t>TFLM.PK</t>
  </si>
  <si>
    <t>Tofla Megaline</t>
  </si>
  <si>
    <t>3,631,876.00</t>
  </si>
  <si>
    <t>872953.BJE</t>
  </si>
  <si>
    <t>Shandong Guozi Software Co Ltd</t>
  </si>
  <si>
    <t>114.29</t>
  </si>
  <si>
    <t>8,937,652.00</t>
  </si>
  <si>
    <t>CDSYS.BU</t>
  </si>
  <si>
    <t>CDSYS Nyrt</t>
  </si>
  <si>
    <t>VALBERG.BU</t>
  </si>
  <si>
    <t>Valberg Nyrt</t>
  </si>
  <si>
    <t>FOXP.WA</t>
  </si>
  <si>
    <t>Space Fox Games SA</t>
  </si>
  <si>
    <t>5.97</t>
  </si>
  <si>
    <t>14.82</t>
  </si>
  <si>
    <t>671,187,000.00</t>
  </si>
  <si>
    <t>RSG1.WA</t>
  </si>
  <si>
    <t>Red Square Games SA</t>
  </si>
  <si>
    <t>1,200,000,000.00</t>
  </si>
  <si>
    <t>Company GICS Sector:</t>
  </si>
  <si>
    <t>Yes</t>
  </si>
  <si>
    <t>Information Technology</t>
  </si>
  <si>
    <t>&lt;- Select Industry</t>
  </si>
  <si>
    <t>No</t>
  </si>
  <si>
    <t>ESG Analysis</t>
  </si>
  <si>
    <t>Relative ESG Analysis</t>
  </si>
  <si>
    <t>Parameters</t>
  </si>
  <si>
    <t>Impact</t>
  </si>
  <si>
    <t>Do they report?</t>
  </si>
  <si>
    <t>Ranking</t>
  </si>
  <si>
    <t>Mitigation Plan</t>
  </si>
  <si>
    <t>Traffic Lights</t>
  </si>
  <si>
    <t>Improvement over time?</t>
  </si>
  <si>
    <t>Targets / Goals?</t>
  </si>
  <si>
    <t>Comments</t>
  </si>
  <si>
    <t>AVERAGE (ex. Cisco)</t>
  </si>
  <si>
    <t>Environmental</t>
  </si>
  <si>
    <t>Ratios</t>
  </si>
  <si>
    <t>CO2 Direct Emissions</t>
  </si>
  <si>
    <t>Medium</t>
  </si>
  <si>
    <t>To be carbon neutral by 2050</t>
  </si>
  <si>
    <t>Since 2020 CO2 Direct direct emissions has been relatively constant</t>
  </si>
  <si>
    <t>CO2 Emissions/$M Sales</t>
  </si>
  <si>
    <t>Total Water Consumption</t>
  </si>
  <si>
    <t>Water Consumption/$M Sales</t>
  </si>
  <si>
    <t>Total Energy Consumption</t>
  </si>
  <si>
    <t>Has actually seen an increase in consumption levels in the last 3 years</t>
  </si>
  <si>
    <t>Increased focus on renewabilitiy and re-using energy</t>
  </si>
  <si>
    <t>Energy Consumption/$M Sales</t>
  </si>
  <si>
    <t>Waste Management</t>
  </si>
  <si>
    <t>No improvement but rather an increase in waste by double, however they have roughly 20% of that waste being recycled</t>
  </si>
  <si>
    <t>They don't actively have a target/goal byt are commited to implementing the circular economy</t>
  </si>
  <si>
    <t>Waste Production/$M Sales</t>
  </si>
  <si>
    <t>Land Degradation/Deforestation/Biodiversity loss/Animal sufering/…</t>
  </si>
  <si>
    <t>Inputs</t>
  </si>
  <si>
    <t>Social</t>
  </si>
  <si>
    <t>Net Sales ($M)</t>
  </si>
  <si>
    <t>Employee Turnover %</t>
  </si>
  <si>
    <t>No improvement but rather saw an increase from 9% to 12% since 2020</t>
  </si>
  <si>
    <t>CO2 Emissions Total (Tonnes)</t>
  </si>
  <si>
    <t>N/A</t>
  </si>
  <si>
    <t>Salaries &amp; Compensation</t>
  </si>
  <si>
    <t>Hasn't seen the best improvement and doesn't have the best of average and median salaries in their industry</t>
  </si>
  <si>
    <t>Water Consumption Total (Cubic Meters)</t>
  </si>
  <si>
    <t>Reputation</t>
  </si>
  <si>
    <t>Was recognized as one of the best places to work in 2023 in the United States of America</t>
  </si>
  <si>
    <t>No specific goals, but are focused on making sure employees are heard and happy</t>
  </si>
  <si>
    <t>Energy Consumption Total (Gigajoules)</t>
  </si>
  <si>
    <t>Discrimination Events</t>
  </si>
  <si>
    <t>Waste Production Total (Tonnes)</t>
  </si>
  <si>
    <t>Work Safety</t>
  </si>
  <si>
    <t>"Best in class"</t>
  </si>
  <si>
    <t>Have safeguards implemented, improvements over time haven't really been visible because they already excel in the work safety aspect</t>
  </si>
  <si>
    <t>ESG Scores</t>
  </si>
  <si>
    <t>Damage to consumer health</t>
  </si>
  <si>
    <t>Refinitiv</t>
  </si>
  <si>
    <t>PXP?</t>
  </si>
  <si>
    <t>Sustainalytics</t>
  </si>
  <si>
    <t>Supply chain</t>
  </si>
  <si>
    <t>ISS</t>
  </si>
  <si>
    <t>C</t>
  </si>
  <si>
    <t>C+</t>
  </si>
  <si>
    <t>B-</t>
  </si>
  <si>
    <t>C-</t>
  </si>
  <si>
    <t>Community involvement</t>
  </si>
  <si>
    <t>CDP</t>
  </si>
  <si>
    <t>A</t>
  </si>
  <si>
    <t>F</t>
  </si>
  <si>
    <t>D-</t>
  </si>
  <si>
    <t>Not Scored</t>
  </si>
  <si>
    <t>Public Sector</t>
  </si>
  <si>
    <t>"Villain"</t>
  </si>
  <si>
    <t>A lot of controversy regarding decisions or actions influenced by governments recently</t>
  </si>
  <si>
    <t>Whistleblower lawsuit in 2019 regarding the sale of chinese equipment to the governement without disclosure, also involved in scandel regarding the use of equipment by chinese government for cyberattacks</t>
  </si>
  <si>
    <t>Litigation</t>
  </si>
  <si>
    <t>Had a whistleblower lawsuit in 2019, has a current court case regarding improper use of patented technology</t>
  </si>
  <si>
    <t>CEO also being sued which isn't good for company image, despite not really being related about Fortinet</t>
  </si>
  <si>
    <t>Corporate Governance</t>
  </si>
  <si>
    <t>PARAMETERS</t>
  </si>
  <si>
    <t>Diversity (Gender, Age, Industry, Region)</t>
  </si>
  <si>
    <t>Small increase in diversity between 2020-2022</t>
  </si>
  <si>
    <t>Partnered with Women in Cybersecurity (WiCyS). Goal is to train 1 Million women by 2026</t>
  </si>
  <si>
    <t>Increase in % of women employees and managers in last 4 years, however reduced number of women directors from 3 to 2 recently, have a 25% of board members female (roughly the average in the industry)</t>
  </si>
  <si>
    <t>IMPACT</t>
  </si>
  <si>
    <t>RANKING</t>
  </si>
  <si>
    <t>MITIGATION PLAN</t>
  </si>
  <si>
    <t>% Independence</t>
  </si>
  <si>
    <t>Have always had about the same % of independent directors within the board</t>
  </si>
  <si>
    <t>Decrease in board by 1 independent member, but high % of independence amongst board of directors</t>
  </si>
  <si>
    <t>Low</t>
  </si>
  <si>
    <t>Is there evidence of a plan/program ?</t>
  </si>
  <si>
    <t>average time as independent directors</t>
  </si>
  <si>
    <t>4/8 directors within the 3-7 year tenure</t>
  </si>
  <si>
    <t>no</t>
  </si>
  <si>
    <t>Out of the 4/8 not within the 3-7 year tenure, 3 have been 10+ years</t>
  </si>
  <si>
    <t>Medium High</t>
  </si>
  <si>
    <t>Recent departures of directors / C-level executives?</t>
  </si>
  <si>
    <t>One departure over last two years</t>
  </si>
  <si>
    <t>No major reason/no scndal behind departure</t>
  </si>
  <si>
    <t>High</t>
  </si>
  <si>
    <t>CEO/Chairman duality</t>
  </si>
  <si>
    <t xml:space="preserve">Stayed the same </t>
  </si>
  <si>
    <t>Co-Founder has remained CEO and Chairman since the foundation of Fortinet</t>
  </si>
  <si>
    <t>Very high</t>
  </si>
  <si>
    <t>Transparency (ESG, segments, acquisitions, other)</t>
  </si>
  <si>
    <t>Disclose a lot of information</t>
  </si>
  <si>
    <t>Fortinet website has a page on all board members with specific information on each individual</t>
  </si>
  <si>
    <t>Time taken to report after the end of the quarter / year</t>
  </si>
  <si>
    <t>Has always remained withing the 1.5-2 month disclosure period</t>
  </si>
  <si>
    <t>Time taken to report has been consistent, always report the 10-K within the 60 day limit set by the SEC</t>
  </si>
  <si>
    <t>Additional participation of the CEO in other boards or excessive participation of Ch.</t>
  </si>
  <si>
    <t>Audit / Consulting</t>
  </si>
  <si>
    <t>Has remained at a high level for the last 5 years</t>
  </si>
  <si>
    <t>Have 100% independent comittie and consistent auditing happening</t>
  </si>
  <si>
    <t>ESG-compensation related</t>
  </si>
  <si>
    <t>Haven't done much in the past</t>
  </si>
  <si>
    <t>Have a decarbonization plan in developing stages however only scheduled for validation by 2024</t>
  </si>
  <si>
    <t xml:space="preserve"> Their new headquarters used 30% less  of energy than normal buildings in production and the new site only use 100% renewable energy</t>
  </si>
  <si>
    <t>Management compensation schemes</t>
  </si>
  <si>
    <t>Has almost tripled since 2018</t>
  </si>
  <si>
    <t>Has decreased in relation to revenue since 2018, depite a 2.5x increase in total senior executive compensation</t>
  </si>
  <si>
    <t>VALUATION MODEL</t>
  </si>
  <si>
    <t>Short Term</t>
  </si>
  <si>
    <t>Long Term</t>
  </si>
  <si>
    <t>Section</t>
  </si>
  <si>
    <t>Line #</t>
  </si>
  <si>
    <t>ITEM</t>
  </si>
  <si>
    <t>2020 (Real)</t>
  </si>
  <si>
    <t>2021 (Real)</t>
  </si>
  <si>
    <t>2022 (Real)</t>
  </si>
  <si>
    <t>INCOME STATEMENT</t>
  </si>
  <si>
    <t>Growth</t>
  </si>
  <si>
    <t>Revenues/Sales</t>
  </si>
  <si>
    <t>EBIT/Operating Margin</t>
  </si>
  <si>
    <t>5a</t>
  </si>
  <si>
    <t>(Dep)</t>
  </si>
  <si>
    <t>5b</t>
  </si>
  <si>
    <t>Amort</t>
  </si>
  <si>
    <t>5c</t>
  </si>
  <si>
    <t>(Stock based compensation)</t>
  </si>
  <si>
    <t>jk</t>
  </si>
  <si>
    <t>(Net financing cost)</t>
  </si>
  <si>
    <t>Other income/(cost)</t>
  </si>
  <si>
    <t>Earnings before taxes</t>
  </si>
  <si>
    <t>(Income tax)</t>
  </si>
  <si>
    <t>Net income</t>
  </si>
  <si>
    <t> </t>
  </si>
  <si>
    <t>CASH FLOW STATEMENT</t>
  </si>
  <si>
    <t>Operating cash flows before WK</t>
  </si>
  <si>
    <t>(Stock-based compensation)</t>
  </si>
  <si>
    <t>(Working Capital Flows)</t>
  </si>
  <si>
    <t>-Total Operating Cash Flow</t>
  </si>
  <si>
    <t>(CAPEX)</t>
  </si>
  <si>
    <t>Adq</t>
  </si>
  <si>
    <t>(Other investing flows)</t>
  </si>
  <si>
    <t>-Total Investing Flows</t>
  </si>
  <si>
    <t>(Flows related to leases)</t>
  </si>
  <si>
    <t>Flows related to debt</t>
  </si>
  <si>
    <t>(Repurchases)/Issuance of stock</t>
  </si>
  <si>
    <t>(Dividends)</t>
  </si>
  <si>
    <t>Other financing flows</t>
  </si>
  <si>
    <t>-Total Financing flows</t>
  </si>
  <si>
    <t>SUMMARY</t>
  </si>
  <si>
    <t>Cash before shareholder returns</t>
  </si>
  <si>
    <t>Returns to shareholders</t>
  </si>
  <si>
    <t>Excess cash acumulation</t>
  </si>
  <si>
    <t>BALANCE SHEET</t>
  </si>
  <si>
    <t>Intangible assets</t>
  </si>
  <si>
    <t>Accumulated amortization</t>
  </si>
  <si>
    <t>PPE+Right of use Assets</t>
  </si>
  <si>
    <t>Accumulated depreciation</t>
  </si>
  <si>
    <t>CASH &amp; DEBT &amp; DISCOUNTING</t>
  </si>
  <si>
    <t>Ending cash balance</t>
  </si>
  <si>
    <t>Discount factor</t>
  </si>
  <si>
    <t>DF + 0.1%</t>
  </si>
  <si>
    <t>+0.1%</t>
  </si>
  <si>
    <t>DF+0.5%</t>
  </si>
  <si>
    <t>+0.5%</t>
  </si>
  <si>
    <t> Discount Rate</t>
  </si>
  <si>
    <t>Risk free rate</t>
  </si>
  <si>
    <t>Equity premium</t>
  </si>
  <si>
    <t>Firm premium</t>
  </si>
  <si>
    <t>Total</t>
  </si>
  <si>
    <t>Modelling factors</t>
  </si>
  <si>
    <t>Reference (line)</t>
  </si>
  <si>
    <t>Depreciation factor</t>
  </si>
  <si>
    <t>% PPE</t>
  </si>
  <si>
    <t>Amortization factor</t>
  </si>
  <si>
    <t>% IA</t>
  </si>
  <si>
    <t>Stock-based comp</t>
  </si>
  <si>
    <t>% revenue</t>
  </si>
  <si>
    <t>Tax Rate</t>
  </si>
  <si>
    <t>% (line 9)</t>
  </si>
  <si>
    <t>Interest Rate on debt</t>
  </si>
  <si>
    <t>% debt (l29)</t>
  </si>
  <si>
    <t>Interest Rate on cash</t>
  </si>
  <si>
    <t>% of cash (l28)</t>
  </si>
  <si>
    <t>PPE+ROA</t>
  </si>
  <si>
    <t>- -</t>
  </si>
  <si>
    <t>Growing with capex</t>
  </si>
  <si>
    <t>Working capital flows</t>
  </si>
  <si>
    <t>% of change revenues (l2)</t>
  </si>
  <si>
    <t>Intangible Assets</t>
  </si>
  <si>
    <t>Growing with amortization</t>
  </si>
  <si>
    <t>Capex</t>
  </si>
  <si>
    <t>% revenue (l2)</t>
  </si>
  <si>
    <t>Acquisition factor</t>
  </si>
  <si>
    <t>% net income (11)</t>
  </si>
  <si>
    <t>Repurchases</t>
  </si>
  <si>
    <t>Leases</t>
  </si>
  <si>
    <t>Cash Costs for EBIT</t>
  </si>
  <si>
    <t>% EBITDA</t>
  </si>
  <si>
    <t>$ millions</t>
  </si>
  <si>
    <t>Value of flows</t>
  </si>
  <si>
    <t>Value of perpetuity</t>
  </si>
  <si>
    <t>Total Value</t>
  </si>
  <si>
    <t>Actual share price</t>
  </si>
  <si>
    <t>Total value vs Mkt Cap</t>
  </si>
  <si>
    <t>Estimated NPV per share</t>
  </si>
  <si>
    <t>Sensibility</t>
  </si>
  <si>
    <t>Sensitivity +0.1%</t>
  </si>
  <si>
    <t>Sensitivity +0.5%</t>
  </si>
  <si>
    <t>Notes</t>
  </si>
  <si>
    <t>Historical Period</t>
  </si>
  <si>
    <t>CAGR</t>
  </si>
  <si>
    <t>Projection period</t>
  </si>
  <si>
    <t>(19-22)</t>
  </si>
  <si>
    <t>(23-43)</t>
  </si>
  <si>
    <t>Sales</t>
  </si>
  <si>
    <t>%Growth</t>
  </si>
  <si>
    <t>%margin</t>
  </si>
  <si>
    <t>18,8%</t>
  </si>
  <si>
    <t>DA</t>
  </si>
  <si>
    <t>EBIAT</t>
  </si>
  <si>
    <t>(+) DA</t>
  </si>
  <si>
    <t>(-) CapEx</t>
  </si>
  <si>
    <t>(-) Change in NWC</t>
  </si>
  <si>
    <t>Unlevered Free Cash Fow</t>
  </si>
  <si>
    <t>WACC</t>
  </si>
  <si>
    <t>Present Value of Free Cash Flow</t>
  </si>
  <si>
    <t>Enterprise Value</t>
  </si>
  <si>
    <t>Implied Perpetuity Growth Rate</t>
  </si>
  <si>
    <t>Implied Equity Value and Share Price</t>
  </si>
  <si>
    <t>WACC Data</t>
  </si>
  <si>
    <t>Comulative Present Value of FCF</t>
  </si>
  <si>
    <t>Terminal year FCF (2043)</t>
  </si>
  <si>
    <t>Market premium</t>
  </si>
  <si>
    <t>(-) Total Debt</t>
  </si>
  <si>
    <t>Tax rate</t>
  </si>
  <si>
    <t>Terminal Value</t>
  </si>
  <si>
    <t>(-) Non controlling interest</t>
  </si>
  <si>
    <t>US10Y</t>
  </si>
  <si>
    <t>Terminal Year EBITDA (2033)</t>
  </si>
  <si>
    <t>(+)Cash and Cash equivalents</t>
  </si>
  <si>
    <t>Beta</t>
  </si>
  <si>
    <t xml:space="preserve">Exit Multiple </t>
  </si>
  <si>
    <t>Perpetuity Growth Rate</t>
  </si>
  <si>
    <t xml:space="preserve">Cost of Debt </t>
  </si>
  <si>
    <t xml:space="preserve"> Terminal Value</t>
  </si>
  <si>
    <t>Implied Equity Value</t>
  </si>
  <si>
    <t>Cost of Capital</t>
  </si>
  <si>
    <t>Size premium</t>
  </si>
  <si>
    <t xml:space="preserve"> Present Value of Terminal Value</t>
  </si>
  <si>
    <t>Implied Exit MUltiple</t>
  </si>
  <si>
    <t>% of Enterprise Value</t>
  </si>
  <si>
    <t>Optimal Capital Structure</t>
  </si>
  <si>
    <t>Total Value vs Market Cap</t>
  </si>
  <si>
    <t>Debt</t>
  </si>
  <si>
    <t>Equity</t>
  </si>
  <si>
    <t>Assumptions</t>
  </si>
  <si>
    <t>Prospects:</t>
  </si>
  <si>
    <t>Links:</t>
  </si>
  <si>
    <t xml:space="preserve">Average </t>
  </si>
  <si>
    <t>Short Term Forecast</t>
  </si>
  <si>
    <t>Long Term Forecast</t>
  </si>
  <si>
    <t>Revenue growth</t>
  </si>
  <si>
    <t>Modelling Factors</t>
  </si>
  <si>
    <t>Last 5 Years</t>
  </si>
  <si>
    <t>Average 5y</t>
  </si>
  <si>
    <t>average 12y</t>
  </si>
  <si>
    <t>Reference</t>
  </si>
  <si>
    <t xml:space="preserve">CAPEX </t>
  </si>
  <si>
    <t>Forecasts</t>
  </si>
  <si>
    <t>Gartner, September 2023 - Forecast: Enterprise Network Equipment by Market Segment, Worldwide, 2021-2027, 3Q23 Update Gartner, September 2023 - Forecast: Information Security and Risk Management, Worldwide, 2021-2027, 3Q23 Update Gartner, Forecast Analysis: Secure Access Service Edge, Worldwide Published 10 October 2023 - ID G00784465</t>
  </si>
  <si>
    <t>Credit Ranking (Moody's)</t>
  </si>
  <si>
    <t>Revenues</t>
  </si>
  <si>
    <t xml:space="preserve">Westland Advisory - Industrial Cybersecurity Industry Analysis, July 2023 </t>
  </si>
  <si>
    <t>Default Spread</t>
  </si>
  <si>
    <t>https://pages.stern.nyu.edu/~adamodar/New_Home_Page/datafile/histgr.html</t>
  </si>
  <si>
    <t>5Y US Bond Yield</t>
  </si>
  <si>
    <t>ST multiple</t>
  </si>
  <si>
    <t>Short Term forecast</t>
  </si>
  <si>
    <t>https://investor.fortinet.com/static-files/2d21430a-2c22-4b9d-b7f5-3f4bdaa420b6</t>
  </si>
  <si>
    <t>30Y Bond Yield</t>
  </si>
  <si>
    <t>LT multiple</t>
  </si>
  <si>
    <t>past performance</t>
  </si>
  <si>
    <t>Fortinet's bonds</t>
  </si>
  <si>
    <t>Yield</t>
  </si>
  <si>
    <t>revenues</t>
  </si>
  <si>
    <t>3Y Bond</t>
  </si>
  <si>
    <t>7Y Bond</t>
  </si>
  <si>
    <t>comparison with Damodaran's industry data for reference</t>
  </si>
  <si>
    <t>Fortinet's revenue growth</t>
  </si>
  <si>
    <t>software(system &amp; application) industry</t>
  </si>
  <si>
    <t>Fortinet's</t>
  </si>
  <si>
    <t>average growth total</t>
  </si>
  <si>
    <t>CAGR past 5y</t>
  </si>
  <si>
    <t>tax rate</t>
  </si>
  <si>
    <t>average growth 3y</t>
  </si>
  <si>
    <t>Net Income Before Taxes</t>
  </si>
  <si>
    <t>average growth 5y</t>
  </si>
  <si>
    <t>tax</t>
  </si>
  <si>
    <t>average growth pre covid</t>
  </si>
  <si>
    <t>effective tax rate</t>
  </si>
  <si>
    <t>CAGR past 4y</t>
  </si>
  <si>
    <t>CAGR past total</t>
  </si>
  <si>
    <t>Industry Breakdown for Forinet</t>
  </si>
  <si>
    <t>share of revenues</t>
  </si>
  <si>
    <t>interest rate on cash</t>
  </si>
  <si>
    <t>Secure Networking</t>
  </si>
  <si>
    <t>US 10Y bond</t>
  </si>
  <si>
    <t>Security Operations</t>
  </si>
  <si>
    <t>Universal SASE</t>
  </si>
  <si>
    <t>Total Adresable Market growth</t>
  </si>
  <si>
    <t>expected CAGR for Fortinet</t>
  </si>
  <si>
    <t>depreciation for a year</t>
  </si>
  <si>
    <t>Gross PPE</t>
  </si>
  <si>
    <t>Depreciaiton/PPE</t>
  </si>
  <si>
    <t>universal SASE</t>
  </si>
  <si>
    <t>Amortization</t>
  </si>
  <si>
    <t>gross intangible assets</t>
  </si>
  <si>
    <t>amortization/gross intangible assets</t>
  </si>
  <si>
    <t>stock based compensation factor</t>
  </si>
  <si>
    <t>stock based compensation</t>
  </si>
  <si>
    <t>stock based compensation/revenues</t>
  </si>
  <si>
    <t>working capital</t>
  </si>
  <si>
    <t>changes in revenues</t>
  </si>
  <si>
    <t>Expected CAGR for Fortinet 4y industry based</t>
  </si>
  <si>
    <t>changes in wc</t>
  </si>
  <si>
    <t>past CAGR 4y</t>
  </si>
  <si>
    <t>changes in WC/changes in revenues</t>
  </si>
  <si>
    <t>weighted revenue projection for 4y</t>
  </si>
  <si>
    <t>CAPEX</t>
  </si>
  <si>
    <t>capex</t>
  </si>
  <si>
    <t>https://www.gminsights.com/industry-analysis/secure-access-service-edge-market</t>
  </si>
  <si>
    <t>Long term forecast</t>
  </si>
  <si>
    <t>https://www.verifiedmarketresearch.com/product/secure-access-service-edge-sase-market/</t>
  </si>
  <si>
    <t>capex/revenues</t>
  </si>
  <si>
    <t>https://reports.valuates.com/reports/QYRE-Auto-16W5806/global-sase-secure-access-service-edge</t>
  </si>
  <si>
    <t>Industry Breakdown for Fortinet</t>
  </si>
  <si>
    <t>average of market foecasts</t>
  </si>
  <si>
    <t>https://www.linkedin.com/pulse/sase-secure-access-service-edge-market-3f/</t>
  </si>
  <si>
    <t>forecast</t>
  </si>
  <si>
    <t>SASE</t>
  </si>
  <si>
    <t>https://uk.finance.yahoo.com/news/worldwide-security-operations-center-industry-084300931.html</t>
  </si>
  <si>
    <t>SOC</t>
  </si>
  <si>
    <t>https://medium.com/@watsonmac944/security-operation-center-soc-as-a-service-market-2030-market-trends-status-discover-the-share-ae7dbb5a5146</t>
  </si>
  <si>
    <t>note: expected capex for 2023 - 400-450mil</t>
  </si>
  <si>
    <t>Network Security</t>
  </si>
  <si>
    <t>https://www.globenewswire.com/en/news-release/2023/05/24/2675417/0/en/Security-Operations-Center-Market-worth-USD-69-52-Billion-growing-at-a-8-1-CAGR-by-2030-Report-by-Market-Research-Future-MRFR.html</t>
  </si>
  <si>
    <t>https://www.psmarketresearch.com/market-analysis/soc-as-a-service-market</t>
  </si>
  <si>
    <t>CAGR(by 2030)</t>
  </si>
  <si>
    <t>https://www.fortunebusinessinsights.com/industry-reports/network-security-market-100339</t>
  </si>
  <si>
    <t>share buyback</t>
  </si>
  <si>
    <t>https://www.acumenresearchandconsulting.com/network-security-market</t>
  </si>
  <si>
    <t>net income</t>
  </si>
  <si>
    <t>share buyback/net income</t>
  </si>
  <si>
    <t>Forecast</t>
  </si>
  <si>
    <t>55% of net income in subsiquent years</t>
  </si>
  <si>
    <t>revenue projection</t>
  </si>
  <si>
    <t>cash available for repurchase</t>
  </si>
  <si>
    <t>CAGR 8y</t>
  </si>
  <si>
    <t>growth</t>
  </si>
  <si>
    <t>growth rate</t>
  </si>
  <si>
    <t>share repurchase 2023</t>
  </si>
  <si>
    <t>CAGR 5y</t>
  </si>
  <si>
    <t>long term(2027-2033)</t>
  </si>
  <si>
    <t>cash available for 2024</t>
  </si>
  <si>
    <t>after 2034</t>
  </si>
  <si>
    <t>changes in share repurchase</t>
  </si>
  <si>
    <t>Year of consolidation</t>
  </si>
  <si>
    <t>Growth till 2038</t>
  </si>
  <si>
    <t>changes in repurchases/changes in revenues</t>
  </si>
  <si>
    <t>2039-2045</t>
  </si>
  <si>
    <t>2045-2055</t>
  </si>
  <si>
    <t>2055+ (perpetuity growth rate)</t>
  </si>
  <si>
    <t>D/A ratio is higher among competitors</t>
  </si>
  <si>
    <t>total debt</t>
  </si>
  <si>
    <t>total debt/EBITDA</t>
  </si>
  <si>
    <t>acquisition factor</t>
  </si>
  <si>
    <t>investments and acquisitions</t>
  </si>
  <si>
    <t>operating margin projection</t>
  </si>
  <si>
    <t>acq/revenues</t>
  </si>
  <si>
    <t>%of revenues</t>
  </si>
  <si>
    <t>opeating margin</t>
  </si>
  <si>
    <t>...</t>
  </si>
  <si>
    <t>5y average</t>
  </si>
  <si>
    <t>12y average</t>
  </si>
  <si>
    <t>Equity Risk Premium</t>
  </si>
  <si>
    <t>Revenues percent ttm</t>
  </si>
  <si>
    <t>Equity risk premium (Aswath Damodaran)</t>
  </si>
  <si>
    <t>Adjusted ERP</t>
  </si>
  <si>
    <t>Europe, Middle East and Aftica (EMEA)</t>
  </si>
  <si>
    <t>note: countries included for calculation of ERP are jurisdictions of incorporations of Fortinet's subsidiaries excluding Cayman Islands and Mauritius</t>
  </si>
  <si>
    <t>Firm Premium</t>
  </si>
  <si>
    <t>Volatile, fast-paced industry</t>
  </si>
  <si>
    <t>Strong competition</t>
  </si>
  <si>
    <t>Risk correlated with Intelectual Property Rights</t>
  </si>
  <si>
    <t>Total Firm Premium</t>
  </si>
  <si>
    <t>Growth vs. Previous year</t>
  </si>
  <si>
    <t>Gross Profit</t>
  </si>
  <si>
    <t>% over sales</t>
  </si>
  <si>
    <t>Operating expenses</t>
  </si>
  <si>
    <t xml:space="preserve">     Growth vs. Previous year</t>
  </si>
  <si>
    <t>Other Expenses (Revenues)</t>
  </si>
  <si>
    <t>Changes Net Working Capital</t>
  </si>
  <si>
    <t>EBITDA Margin</t>
  </si>
  <si>
    <t>% Tax</t>
  </si>
  <si>
    <t>Cash Generated</t>
  </si>
  <si>
    <t>Share buyback</t>
  </si>
  <si>
    <t>FNP''</t>
  </si>
  <si>
    <t>FNP'</t>
  </si>
  <si>
    <t>Payout Ratio</t>
  </si>
  <si>
    <t>Assets</t>
  </si>
  <si>
    <t>Accounts Receivable</t>
  </si>
  <si>
    <t>Property, Plant and Equipment</t>
  </si>
  <si>
    <t>Other Assets</t>
  </si>
  <si>
    <t>Liabilities</t>
  </si>
  <si>
    <t xml:space="preserve">   Short-Term Debt</t>
  </si>
  <si>
    <t xml:space="preserve">   Short-Term Leases</t>
  </si>
  <si>
    <t>Other current liabilities</t>
  </si>
  <si>
    <t>Non-current Liabilities</t>
  </si>
  <si>
    <t xml:space="preserve">   Long-Term Debt</t>
  </si>
  <si>
    <t xml:space="preserve">   Long-Term Leases</t>
  </si>
  <si>
    <t>Other non-current liabilities</t>
  </si>
  <si>
    <t>Net Debt</t>
  </si>
  <si>
    <t>Minority Interest</t>
  </si>
  <si>
    <t xml:space="preserve">Shareholder's Equity </t>
  </si>
  <si>
    <t>Changes in cash</t>
  </si>
  <si>
    <t>Other Data</t>
  </si>
  <si>
    <t>Number of employees</t>
  </si>
  <si>
    <t xml:space="preserve">Shares Outstanding </t>
  </si>
  <si>
    <t>Fitch/ S&amp;P Rating</t>
  </si>
  <si>
    <t>Dividend Yield</t>
  </si>
  <si>
    <t>Daily Volume in Millions of USD</t>
  </si>
  <si>
    <t>TTM</t>
  </si>
  <si>
    <t xml:space="preserve">Short % of Float </t>
  </si>
  <si>
    <t>Corporate Bonds 3, 5 Y 10</t>
  </si>
  <si>
    <t>Average Price</t>
  </si>
  <si>
    <t>Moody's</t>
  </si>
  <si>
    <t>YTM</t>
  </si>
  <si>
    <t>DIVISA</t>
  </si>
  <si>
    <t>Sector</t>
  </si>
  <si>
    <t>Sub-Industry</t>
  </si>
  <si>
    <t>Environment</t>
  </si>
  <si>
    <t>Communication Services</t>
  </si>
  <si>
    <t>Interactive Home Entertainment</t>
  </si>
  <si>
    <t>CO2</t>
  </si>
  <si>
    <t>Water</t>
  </si>
  <si>
    <t>Energy</t>
  </si>
  <si>
    <t>Waste</t>
  </si>
  <si>
    <t>Degradation</t>
  </si>
  <si>
    <t>Turnover</t>
  </si>
  <si>
    <t>Compensation</t>
  </si>
  <si>
    <t>Discrimination</t>
  </si>
  <si>
    <t>Security</t>
  </si>
  <si>
    <t>Damage</t>
  </si>
  <si>
    <t>Pension</t>
  </si>
  <si>
    <t>Supply</t>
  </si>
  <si>
    <t>Community</t>
  </si>
  <si>
    <t>Public</t>
  </si>
  <si>
    <t>Interactive Media &amp; Services</t>
  </si>
  <si>
    <t>Integrated Telecommunication Services</t>
  </si>
  <si>
    <t>Very High</t>
  </si>
  <si>
    <t>Consumer Discretionary</t>
  </si>
  <si>
    <t>Direct CO2 emissions</t>
  </si>
  <si>
    <t>Cable &amp; Satellite</t>
  </si>
  <si>
    <t>Consumer Staples</t>
  </si>
  <si>
    <t>Total Water Use</t>
  </si>
  <si>
    <t>Broadcasting</t>
  </si>
  <si>
    <t>Renewable Energy</t>
  </si>
  <si>
    <t>Movies &amp; Entertainment</t>
  </si>
  <si>
    <t>Financials</t>
  </si>
  <si>
    <t>Forestry</t>
  </si>
  <si>
    <t>Advertising</t>
  </si>
  <si>
    <t>Health Care</t>
  </si>
  <si>
    <t>Land Degradation/Deforestation/Biodiversity loss/Animal sufering/...</t>
  </si>
  <si>
    <t>Alternative Carriers</t>
  </si>
  <si>
    <t>Industrials</t>
  </si>
  <si>
    <t>Publishing</t>
  </si>
  <si>
    <t>Employee turnover</t>
  </si>
  <si>
    <t>Wireless Telecommunication Services</t>
  </si>
  <si>
    <t>Materials</t>
  </si>
  <si>
    <t>Salaries and compensation</t>
  </si>
  <si>
    <t>Automotive Retail</t>
  </si>
  <si>
    <t>Real Estate</t>
  </si>
  <si>
    <t>Reputational issues</t>
  </si>
  <si>
    <t>Internet &amp; Direct Marketing Retail</t>
  </si>
  <si>
    <t>Utilities</t>
  </si>
  <si>
    <t>Discrimination issues</t>
  </si>
  <si>
    <t>Auto Parts &amp; Equipment</t>
  </si>
  <si>
    <t>Job security</t>
  </si>
  <si>
    <t>Specialty Stores</t>
  </si>
  <si>
    <t>Health injuries</t>
  </si>
  <si>
    <t>Computer &amp; Electronics Retail</t>
  </si>
  <si>
    <t>Hotels, Resorts &amp; Cruise Lines</t>
  </si>
  <si>
    <t>Tobacco</t>
  </si>
  <si>
    <t>Oil &amp; Gas Exploration &amp; Production</t>
  </si>
  <si>
    <t>Life &amp; Health Insurance</t>
  </si>
  <si>
    <t>Health Care Equipment</t>
  </si>
  <si>
    <t>Industrial Conglomerates</t>
  </si>
  <si>
    <t>IT Consulting &amp; Other Services</t>
  </si>
  <si>
    <t>Industrial Gases</t>
  </si>
  <si>
    <t>Office REITs</t>
  </si>
  <si>
    <t>Independent Power Producers &amp; Energy Traders</t>
  </si>
  <si>
    <t>Restaurants</t>
  </si>
  <si>
    <t>Agricultural Products</t>
  </si>
  <si>
    <t>Oil &amp; Gas Equipment &amp; Services</t>
  </si>
  <si>
    <t>Property &amp; Casualty Insurance</t>
  </si>
  <si>
    <t>Pharmaceuticals</t>
  </si>
  <si>
    <t>Airlines</t>
  </si>
  <si>
    <t>Application Software</t>
  </si>
  <si>
    <t>Specialty Chemicals</t>
  </si>
  <si>
    <t>Specialized REITs</t>
  </si>
  <si>
    <t>Electric Utilities</t>
  </si>
  <si>
    <t>Homebuilding</t>
  </si>
  <si>
    <t>Distillers &amp; Vintners</t>
  </si>
  <si>
    <t>Integrated Oil &amp; Gas</t>
  </si>
  <si>
    <t>Consumer Finance</t>
  </si>
  <si>
    <t>Health Care Supplies</t>
  </si>
  <si>
    <t>Building Products</t>
  </si>
  <si>
    <t>Semiconductors</t>
  </si>
  <si>
    <t>Paper Packaging</t>
  </si>
  <si>
    <t>Residential REITs</t>
  </si>
  <si>
    <t>Multi-Utilities</t>
  </si>
  <si>
    <t>General Merchandise Stores</t>
  </si>
  <si>
    <t>Packaged Foods &amp; Meats</t>
  </si>
  <si>
    <t>Oil &amp; Gas Refining &amp; Marketing</t>
  </si>
  <si>
    <t>Asset Management &amp; Custody Banks</t>
  </si>
  <si>
    <t>Health Care Distributors</t>
  </si>
  <si>
    <t>Electrical Components &amp; Equipment</t>
  </si>
  <si>
    <t>Internet Services &amp; Infrastructure</t>
  </si>
  <si>
    <t>Metal &amp; Glass Containers</t>
  </si>
  <si>
    <t>Real Estate Services</t>
  </si>
  <si>
    <t>Water Utilities</t>
  </si>
  <si>
    <t>Automobile Manufacturers</t>
  </si>
  <si>
    <t>Household Products</t>
  </si>
  <si>
    <t>Oil &amp; Gas Storage &amp; Transportation</t>
  </si>
  <si>
    <t>Insurance Brokers</t>
  </si>
  <si>
    <t>Biotechnology</t>
  </si>
  <si>
    <t>Aerospace &amp; Defense</t>
  </si>
  <si>
    <t>Electronic Components</t>
  </si>
  <si>
    <t>Fertilizers &amp; Agricultural Chemicals</t>
  </si>
  <si>
    <t>Industrial REITs</t>
  </si>
  <si>
    <t>Gas Utilities</t>
  </si>
  <si>
    <t>Apparel Retail</t>
  </si>
  <si>
    <t>Soft Drinks</t>
  </si>
  <si>
    <t>Multi-line Insurance</t>
  </si>
  <si>
    <t>Managed Health Care</t>
  </si>
  <si>
    <t>Air Freight &amp; Logistics</t>
  </si>
  <si>
    <t>Technology Hardware, Storage &amp; Peripherals</t>
  </si>
  <si>
    <t>Commodity Chemicals</t>
  </si>
  <si>
    <t>Retail REITs</t>
  </si>
  <si>
    <t>Consumer Electronics</t>
  </si>
  <si>
    <t>Hypermarkets &amp; Super Centers</t>
  </si>
  <si>
    <t>Diversified Banks</t>
  </si>
  <si>
    <t>Life Sciences Tools &amp; Services</t>
  </si>
  <si>
    <t>Construction Machinery &amp; Heavy Trucks</t>
  </si>
  <si>
    <t>Semiconductor Equipment</t>
  </si>
  <si>
    <t>Diversified Chemicals</t>
  </si>
  <si>
    <t>Health Care REITs</t>
  </si>
  <si>
    <t>Apparel, Accessories &amp; Luxury Goods</t>
  </si>
  <si>
    <t>Personal Products</t>
  </si>
  <si>
    <t>Multi-Sector Holdings</t>
  </si>
  <si>
    <t>Health Care Technology</t>
  </si>
  <si>
    <t>Diversified Support Services</t>
  </si>
  <si>
    <t>Communications Equipment</t>
  </si>
  <si>
    <t>Copper</t>
  </si>
  <si>
    <t>Hotel &amp; Resort REITs</t>
  </si>
  <si>
    <t>Leisure Products</t>
  </si>
  <si>
    <t>Food Retail</t>
  </si>
  <si>
    <t>Financial Exchanges &amp; Data</t>
  </si>
  <si>
    <t>Health Care Services</t>
  </si>
  <si>
    <t>Railroads</t>
  </si>
  <si>
    <t>Data Processing &amp; Outsourced Services</t>
  </si>
  <si>
    <t>Construction Materials</t>
  </si>
  <si>
    <t>Home Improvement Retail</t>
  </si>
  <si>
    <t>Brewers</t>
  </si>
  <si>
    <t>Investment Banking &amp; Brokerage</t>
  </si>
  <si>
    <t>Health Care Facilities</t>
  </si>
  <si>
    <t>Industrial Machinery</t>
  </si>
  <si>
    <t>Technology Distributors</t>
  </si>
  <si>
    <t>Gold</t>
  </si>
  <si>
    <t>Casinos &amp; Gaming</t>
  </si>
  <si>
    <t>Food Distributors</t>
  </si>
  <si>
    <t>Regional Banks</t>
  </si>
  <si>
    <t>Agricultural &amp; Farm Machinery</t>
  </si>
  <si>
    <t>Electronic Equipment &amp; Instruments</t>
  </si>
  <si>
    <t>Steel</t>
  </si>
  <si>
    <t>Home Furnishings</t>
  </si>
  <si>
    <t>Drug Retail</t>
  </si>
  <si>
    <t>Reinsurance</t>
  </si>
  <si>
    <t>Research &amp; Consulting Services</t>
  </si>
  <si>
    <t>Systems Software</t>
  </si>
  <si>
    <t>Distributors</t>
  </si>
  <si>
    <t>Thrifts &amp; Mortgage Finance</t>
  </si>
  <si>
    <t>Construction &amp; Engineering</t>
  </si>
  <si>
    <t>Electronic Manufacturing Services</t>
  </si>
  <si>
    <t>Housewares &amp; Specialties</t>
  </si>
  <si>
    <t>Trucking</t>
  </si>
  <si>
    <t>Household Appliances</t>
  </si>
  <si>
    <t>Environmental &amp; Facilities Services</t>
  </si>
  <si>
    <t>Human Resource &amp; Employment Services</t>
  </si>
  <si>
    <t>Trading Companies &amp; Distributors</t>
  </si>
  <si>
    <t>Sales growth</t>
  </si>
  <si>
    <t>Figures in Millions of USD</t>
  </si>
  <si>
    <t>Company</t>
  </si>
  <si>
    <t>Report in millions</t>
  </si>
  <si>
    <t>RESULTS</t>
  </si>
  <si>
    <t>2023 (TTM)</t>
  </si>
  <si>
    <t>Hoja</t>
  </si>
  <si>
    <t>Nombre campo Bloomberg</t>
  </si>
  <si>
    <t>Cambio de signo</t>
  </si>
  <si>
    <t>Income Statement</t>
  </si>
  <si>
    <t>Ingreso</t>
  </si>
  <si>
    <t xml:space="preserve">    + Coste de bienes y servicios</t>
  </si>
  <si>
    <t xml:space="preserve">    + Ventas, generales y admin</t>
  </si>
  <si>
    <t>investment income+other income expense+income loss+minority interest+non controlling interest+share onf net profit+gain8losses) on equity investments+share of result from associates nd joint ventures+non operating profit+</t>
  </si>
  <si>
    <t xml:space="preserve">    + Investigación y desarrollo</t>
  </si>
  <si>
    <t xml:space="preserve">    + Coste de financiación de beneficio</t>
  </si>
  <si>
    <t xml:space="preserve">    + Otro gasto operativo</t>
  </si>
  <si>
    <t xml:space="preserve">  - Beneficio (pérdida) de filiales</t>
  </si>
  <si>
    <t xml:space="preserve">  - Minoritarios</t>
  </si>
  <si>
    <t>interest expense+financial income and expenses+other financial expense-income+interest and other net+</t>
  </si>
  <si>
    <t xml:space="preserve">  - Ingreso (pérdida) no operacional</t>
  </si>
  <si>
    <t xml:space="preserve">  - Gasto de impuesto a la renta (Beneficio)</t>
  </si>
  <si>
    <t>Flujo de caja</t>
  </si>
  <si>
    <t xml:space="preserve">  + Ingreso neto</t>
  </si>
  <si>
    <t>FINANCIAL POSITION</t>
  </si>
  <si>
    <t>Weighted Average Shares (Basic NI)</t>
  </si>
  <si>
    <t>Weighted Average Shares (Diluted NI)</t>
  </si>
  <si>
    <t>Net gains (losses) from ForEx</t>
  </si>
  <si>
    <t>Total Comprehensive Income</t>
  </si>
  <si>
    <t>cash flows</t>
  </si>
  <si>
    <t>NWC</t>
  </si>
  <si>
    <t>Net Working Capital</t>
  </si>
  <si>
    <t xml:space="preserve">  + Dividendos pagados</t>
  </si>
  <si>
    <t>Cambiar signo</t>
  </si>
  <si>
    <t>*September 30, 2023</t>
  </si>
  <si>
    <t xml:space="preserve">    + Aumento en capital</t>
  </si>
  <si>
    <t xml:space="preserve">    + Baja en capital</t>
  </si>
  <si>
    <t>Cambiar signo y hacer suma</t>
  </si>
  <si>
    <t>ASSETS</t>
  </si>
  <si>
    <t>Current</t>
  </si>
  <si>
    <t>Balance Sheet</t>
  </si>
  <si>
    <t>Balance</t>
  </si>
  <si>
    <t xml:space="preserve">  + Efectivo, equivalentes y STI</t>
  </si>
  <si>
    <t>Other Current Assets</t>
  </si>
  <si>
    <t xml:space="preserve">  + Cuentas y notas por cobrar</t>
  </si>
  <si>
    <t xml:space="preserve">    + Activos derivados y de cobertura</t>
  </si>
  <si>
    <t xml:space="preserve">  + Inversiones y cuentas por cobrar a LP</t>
  </si>
  <si>
    <t>Non-current</t>
  </si>
  <si>
    <t xml:space="preserve">  + Inventarios</t>
  </si>
  <si>
    <t>Operating leases</t>
  </si>
  <si>
    <t>Equity Method Investments</t>
  </si>
  <si>
    <t>Other Non-Current Assets</t>
  </si>
  <si>
    <t xml:space="preserve">  + Propiedad, planta y equipo; neto</t>
  </si>
  <si>
    <t xml:space="preserve">investment in other companies </t>
  </si>
  <si>
    <t>Activos totales</t>
  </si>
  <si>
    <t>LIABILITIES</t>
  </si>
  <si>
    <t xml:space="preserve">1 473,6 </t>
  </si>
  <si>
    <t xml:space="preserve">1 256,4 </t>
  </si>
  <si>
    <t xml:space="preserve">1 027,2 </t>
  </si>
  <si>
    <t xml:space="preserve">829,4 </t>
  </si>
  <si>
    <t xml:space="preserve">678,7 </t>
  </si>
  <si>
    <t xml:space="preserve">496,5 </t>
  </si>
  <si>
    <t xml:space="preserve">413,1 </t>
  </si>
  <si>
    <t>Payables</t>
  </si>
  <si>
    <t>Short term Debt</t>
  </si>
  <si>
    <t>Pasivos totales corrientes</t>
  </si>
  <si>
    <t xml:space="preserve">    + Préstamos CP</t>
  </si>
  <si>
    <t>Total non current liabilities</t>
  </si>
  <si>
    <t>Long term debt</t>
  </si>
  <si>
    <t>Pasivos totales no corrientes</t>
  </si>
  <si>
    <t>Other non current Liabilities</t>
  </si>
  <si>
    <t xml:space="preserve">    + Préstamos a largo plazo</t>
  </si>
  <si>
    <t xml:space="preserve">6 509,6 </t>
  </si>
  <si>
    <t xml:space="preserve">5 137,4 </t>
  </si>
  <si>
    <t xml:space="preserve">3 188,5 </t>
  </si>
  <si>
    <t xml:space="preserve">2 563,6 </t>
  </si>
  <si>
    <t xml:space="preserve">2 067,8 </t>
  </si>
  <si>
    <t xml:space="preserve">1 668,5 </t>
  </si>
  <si>
    <t xml:space="preserve">1 302,3 </t>
  </si>
  <si>
    <t xml:space="preserve">1 035,1 </t>
  </si>
  <si>
    <t xml:space="preserve">748,8 </t>
  </si>
  <si>
    <t xml:space="preserve">582,7 </t>
  </si>
  <si>
    <t xml:space="preserve">  + Participación minoritaria/no dominante</t>
  </si>
  <si>
    <t>CASH FLOW</t>
  </si>
  <si>
    <t>Changes in assets and liabilities</t>
  </si>
  <si>
    <t>Other Adjustments</t>
  </si>
  <si>
    <t>Other Inflows (Outflows)</t>
  </si>
  <si>
    <t>Debt Borrowing</t>
  </si>
  <si>
    <t>Debt Repayment</t>
  </si>
  <si>
    <t>Lease Increases</t>
  </si>
  <si>
    <t>Lease Payments</t>
  </si>
  <si>
    <t>cash flows FINANCING</t>
  </si>
  <si>
    <t>Dividends paid</t>
  </si>
  <si>
    <t>(Vitalis will later fill this info)</t>
  </si>
  <si>
    <t xml:space="preserve">Other Data </t>
  </si>
  <si>
    <t xml:space="preserve">Average Price </t>
  </si>
  <si>
    <t xml:space="preserve">Number of employees </t>
  </si>
  <si>
    <t>10-K</t>
  </si>
  <si>
    <t>bloomberg</t>
  </si>
  <si>
    <t>Shares Outstanding (Thousands)</t>
  </si>
  <si>
    <t>Yahoo finance</t>
  </si>
  <si>
    <t>Dividend Yield(Yahoo Finance)</t>
  </si>
  <si>
    <t>Yahoo Finance</t>
  </si>
  <si>
    <t>2023(TTM)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</si>
</sst>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176" formatCode="_-&quot;$&quot;* #,##0.00_-;\-&quot;$&quot;* #,##0.00_-;_-&quot;$&quot;* &quot;-&quot;??_-;_-@_-"/>
    <numFmt numFmtId="177" formatCode="&quot;$&quot;#,##0.00"/>
    <numFmt numFmtId="178" formatCode="&quot;$&quot;#,##0"/>
    <numFmt numFmtId="179" formatCode="0.0%"/>
    <numFmt numFmtId="180" formatCode="0.0"/>
    <numFmt numFmtId="181" formatCode="#,##0.0"/>
    <numFmt numFmtId="182" formatCode="[$$-409]#,##0.00_ ;\-[$$-409]#,##0.00\ "/>
    <numFmt numFmtId="183" formatCode="[$$-409]#,##0.00"/>
    <numFmt numFmtId="184" formatCode="[$$-409]#,##0"/>
    <numFmt numFmtId="185" formatCode="_-[$$-409]* #,##0.00_ ;_-[$$-409]* \-#,##0.00\ ;_-[$$-409]* &quot;-&quot;??_ ;_-@_ "/>
    <numFmt numFmtId="186" formatCode="0.000000"/>
    <numFmt numFmtId="187" formatCode="_([$$-409]* #,##0.00_);_([$$-409]* \(#,##0.00\);_([$$-409]* &quot;-&quot;??_);_(@_)"/>
    <numFmt numFmtId="188" formatCode="0.000%"/>
    <numFmt numFmtId="189" formatCode="_-* #,##0\ [$€-816]_-;\-* #,##0\ [$€-816]_-;_-* &quot;-&quot;??\ [$€-816]_-;_-@_-"/>
    <numFmt numFmtId="190" formatCode="0.000"/>
    <numFmt numFmtId="191" formatCode="&quot;€&quot;#,##0.00"/>
    <numFmt numFmtId="192" formatCode="#,##0.0##;\-#,##0.0##;&quot;--&quot;;&quot;--&quot;"/>
    <numFmt numFmtId="193" formatCode="&quot;$&quot;#,##0.0"/>
    <numFmt numFmtId="194" formatCode="0.0000"/>
  </numFmts>
  <fonts count="10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b/>
      <sz val="10"/>
      <name val="Symbol"/>
      <family val="1"/>
      <charset val="2"/>
    </font>
    <font>
      <sz val="10"/>
      <name val="Symbol"/>
      <family val="1"/>
      <charset val="2"/>
    </font>
    <font>
      <b/>
      <sz val="16"/>
      <color indexed="9"/>
      <name val="Arial"/>
      <family val="2"/>
    </font>
    <font>
      <b/>
      <sz val="10"/>
      <color indexed="9"/>
      <name val="Arial"/>
      <family val="2"/>
    </font>
    <font>
      <b/>
      <sz val="10"/>
      <color indexed="8"/>
      <name val="Arial"/>
      <family val="2"/>
    </font>
    <font>
      <sz val="10"/>
      <color indexed="63"/>
      <name val="Arial"/>
      <family val="2"/>
    </font>
    <font>
      <b/>
      <sz val="9.3000000000000007"/>
      <name val="Arial"/>
      <family val="2"/>
    </font>
    <font>
      <sz val="10"/>
      <name val="Arial"/>
      <family val="2"/>
    </font>
    <font>
      <b/>
      <sz val="11"/>
      <name val="Arial"/>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b/>
      <sz val="11"/>
      <color theme="3"/>
      <name val="Arial"/>
      <family val="2"/>
    </font>
    <font>
      <sz val="10"/>
      <color rgb="FF333333"/>
      <name val="Arial"/>
      <family val="2"/>
    </font>
    <font>
      <b/>
      <sz val="16"/>
      <color theme="0"/>
      <name val="Arial"/>
      <family val="2"/>
    </font>
    <font>
      <sz val="10"/>
      <color rgb="FF92D050"/>
      <name val="Arial"/>
      <family val="2"/>
    </font>
    <font>
      <sz val="10"/>
      <color theme="1"/>
      <name val="Arial"/>
      <family val="2"/>
    </font>
    <font>
      <sz val="10"/>
      <color rgb="FF000000"/>
      <name val="Arial"/>
      <family val="2"/>
    </font>
    <font>
      <sz val="11"/>
      <name val="Arial"/>
      <family val="2"/>
    </font>
    <font>
      <sz val="11"/>
      <color theme="1"/>
      <name val="Arial"/>
      <family val="2"/>
    </font>
    <font>
      <sz val="12"/>
      <color rgb="FFFFFFFF"/>
      <name val="Calibri"/>
      <family val="2"/>
    </font>
    <font>
      <sz val="7.5"/>
      <name val="Arial"/>
      <family val="2"/>
    </font>
    <font>
      <sz val="9"/>
      <name val="Arial"/>
      <family val="2"/>
    </font>
    <font>
      <b/>
      <sz val="9"/>
      <name val="Arial"/>
      <family val="2"/>
    </font>
    <font>
      <sz val="7.5"/>
      <color theme="0"/>
      <name val="Arial"/>
      <family val="2"/>
    </font>
    <font>
      <b/>
      <sz val="7.5"/>
      <name val="Arial"/>
      <family val="2"/>
    </font>
    <font>
      <b/>
      <sz val="16"/>
      <name val="Arial"/>
      <family val="2"/>
    </font>
    <font>
      <b/>
      <sz val="14"/>
      <name val="Arial"/>
      <family val="2"/>
    </font>
    <font>
      <b/>
      <sz val="14"/>
      <color theme="0"/>
      <name val="Arial"/>
      <family val="2"/>
    </font>
    <font>
      <b/>
      <sz val="12"/>
      <color theme="0"/>
      <name val="Arial"/>
      <family val="2"/>
    </font>
    <font>
      <b/>
      <sz val="9"/>
      <color theme="0"/>
      <name val="Arial"/>
      <family val="2"/>
    </font>
    <font>
      <b/>
      <sz val="8"/>
      <color theme="0"/>
      <name val="Arial"/>
      <family val="2"/>
    </font>
    <font>
      <b/>
      <sz val="11"/>
      <color theme="0"/>
      <name val="Arial"/>
      <family val="2"/>
    </font>
    <font>
      <b/>
      <sz val="12"/>
      <color indexed="9"/>
      <name val="Arial"/>
      <family val="2"/>
    </font>
    <font>
      <b/>
      <sz val="10"/>
      <color rgb="FFFF0000"/>
      <name val="Arial"/>
      <family val="2"/>
    </font>
    <font>
      <sz val="16"/>
      <color theme="0"/>
      <name val="Arial"/>
      <family val="2"/>
    </font>
    <font>
      <sz val="11"/>
      <color rgb="FF000000"/>
      <name val="Calibri"/>
      <family val="2"/>
    </font>
    <font>
      <b/>
      <sz val="16"/>
      <color rgb="FFFFFFFF"/>
      <name val="Arial"/>
      <family val="2"/>
    </font>
    <font>
      <b/>
      <sz val="11"/>
      <color rgb="FF000000"/>
      <name val="Calibri"/>
      <family val="2"/>
    </font>
    <font>
      <b/>
      <sz val="11"/>
      <name val="Calibri"/>
      <family val="2"/>
    </font>
    <font>
      <sz val="10"/>
      <color rgb="FFFFFFFF"/>
      <name val="Arial"/>
      <family val="2"/>
    </font>
    <font>
      <sz val="11"/>
      <name val="Calibri"/>
      <family val="2"/>
    </font>
    <font>
      <sz val="11"/>
      <color rgb="FFC00000"/>
      <name val="Calibri"/>
      <family val="2"/>
    </font>
    <font>
      <b/>
      <sz val="14"/>
      <color rgb="FF000000"/>
      <name val="Calibri"/>
      <family val="2"/>
    </font>
    <font>
      <sz val="11"/>
      <color theme="1"/>
      <name val="Calibri"/>
      <family val="2"/>
    </font>
    <font>
      <sz val="10"/>
      <color rgb="FF232A31"/>
      <name val="Arial"/>
      <family val="2"/>
    </font>
    <font>
      <b/>
      <sz val="10"/>
      <color rgb="FF000000"/>
      <name val="Arial"/>
      <family val="2"/>
    </font>
    <font>
      <b/>
      <sz val="11"/>
      <color theme="1"/>
      <name val="Calibri"/>
      <family val="2"/>
      <scheme val="minor"/>
    </font>
    <font>
      <sz val="11"/>
      <color theme="0"/>
      <name val="Calibri"/>
      <family val="2"/>
    </font>
    <font>
      <sz val="12"/>
      <name val="Arial"/>
      <family val="2"/>
    </font>
    <font>
      <b/>
      <sz val="11"/>
      <color rgb="FF374151"/>
      <name val="Arial"/>
      <family val="2"/>
    </font>
    <font>
      <sz val="11"/>
      <color rgb="FFFF0000"/>
      <name val="Calibri"/>
      <family val="2"/>
    </font>
    <font>
      <sz val="10"/>
      <name val="Calibri"/>
      <family val="2"/>
      <charset val="1"/>
    </font>
    <font>
      <sz val="14"/>
      <name val="Arial"/>
      <family val="2"/>
    </font>
    <font>
      <sz val="8"/>
      <color theme="0"/>
      <name val="Arial"/>
      <family val="2"/>
    </font>
    <font>
      <b/>
      <sz val="12"/>
      <color rgb="FF000000"/>
      <name val="Arial"/>
      <family val="2"/>
    </font>
    <font>
      <b/>
      <sz val="8"/>
      <color rgb="FFFFFFFF"/>
      <name val="Arial"/>
      <family val="2"/>
    </font>
    <font>
      <b/>
      <sz val="11"/>
      <color rgb="FFFFFFFF"/>
      <name val="Arial"/>
      <family val="2"/>
    </font>
    <font>
      <i/>
      <sz val="10"/>
      <name val="Arial"/>
      <family val="2"/>
    </font>
    <font>
      <i/>
      <sz val="10"/>
      <color theme="1"/>
      <name val="Arial"/>
      <family val="2"/>
    </font>
    <font>
      <b/>
      <sz val="11"/>
      <color rgb="FF000000"/>
      <name val="Calibri"/>
      <family val="2"/>
      <scheme val="minor"/>
    </font>
    <font>
      <b/>
      <sz val="11"/>
      <color indexed="9"/>
      <name val="Arial"/>
      <family val="2"/>
    </font>
    <font>
      <b/>
      <sz val="11"/>
      <color theme="0"/>
      <name val="Calibri"/>
      <family val="2"/>
      <scheme val="minor"/>
    </font>
    <font>
      <b/>
      <sz val="14"/>
      <color theme="0"/>
      <name val="Calibri"/>
      <family val="2"/>
      <scheme val="minor"/>
    </font>
    <font>
      <sz val="11"/>
      <color rgb="FF444444"/>
      <name val="Calibri"/>
      <family val="2"/>
      <charset val="1"/>
    </font>
    <font>
      <sz val="11"/>
      <name val="Arial"/>
      <family val="2"/>
      <charset val="1"/>
    </font>
    <font>
      <sz val="10"/>
      <color rgb="FF000000"/>
      <name val="Tahoma"/>
      <family val="2"/>
      <charset val="238"/>
    </font>
    <font>
      <b/>
      <sz val="10"/>
      <color rgb="FF000000"/>
      <name val="Tahoma"/>
      <family val="2"/>
      <charset val="238"/>
    </font>
    <font>
      <b/>
      <sz val="11"/>
      <color theme="1"/>
      <name val="Arial"/>
      <family val="2"/>
    </font>
    <font>
      <sz val="11"/>
      <color rgb="FFFF0000"/>
      <name val="Arial"/>
      <family val="2"/>
    </font>
    <font>
      <sz val="10"/>
      <color theme="6"/>
      <name val="Arial"/>
      <family val="2"/>
    </font>
    <font>
      <b/>
      <sz val="9"/>
      <color rgb="FF000000"/>
      <name val="Tahoma"/>
      <family val="2"/>
    </font>
    <font>
      <sz val="9"/>
      <color rgb="FF000000"/>
      <name val="Tahoma"/>
      <family val="2"/>
    </font>
    <font>
      <u/>
      <sz val="10"/>
      <color theme="10"/>
      <name val="Arial"/>
      <family val="2"/>
    </font>
    <font>
      <sz val="12"/>
      <color rgb="FF000000"/>
      <name val="Calibri"/>
      <family val="2"/>
      <charset val="238"/>
    </font>
    <font>
      <b/>
      <sz val="11"/>
      <color theme="1"/>
      <name val="Calibri"/>
      <family val="2"/>
    </font>
    <font>
      <sz val="10"/>
      <color rgb="FF4D4C4C"/>
      <name val="Arial"/>
      <family val="2"/>
    </font>
    <font>
      <sz val="9"/>
      <color rgb="FF000000"/>
      <name val="Arial"/>
      <family val="2"/>
    </font>
    <font>
      <sz val="7"/>
      <color rgb="FF565656"/>
      <name val="Calibri"/>
      <family val="2"/>
    </font>
    <font>
      <u/>
      <sz val="10"/>
      <color theme="10"/>
      <name val="Arial"/>
      <family val="2"/>
    </font>
    <font>
      <sz val="22"/>
      <color rgb="FF0A9BD5"/>
      <name val="Arial"/>
      <family val="2"/>
    </font>
    <font>
      <sz val="16"/>
      <color rgb="FF2B3033"/>
      <name val="Raleway Regular"/>
    </font>
    <font>
      <sz val="14"/>
      <color rgb="FF000000"/>
      <name val="Arial"/>
      <family val="2"/>
    </font>
    <font>
      <i/>
      <sz val="11"/>
      <color theme="1"/>
      <name val="Arial"/>
      <family val="2"/>
    </font>
    <font>
      <sz val="11"/>
      <color theme="1"/>
      <name val="Arial"/>
      <family val="2"/>
      <charset val="1"/>
    </font>
    <font>
      <sz val="11"/>
      <color rgb="FF000000"/>
      <name val="Calibri"/>
      <family val="2"/>
      <charset val="204"/>
    </font>
    <font>
      <b/>
      <sz val="10"/>
      <color theme="1"/>
      <name val="Arial"/>
      <family val="2"/>
    </font>
  </fonts>
  <fills count="53">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theme="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5"/>
        <bgColor indexed="64"/>
      </patternFill>
    </fill>
    <fill>
      <patternFill patternType="solid">
        <fgColor theme="3" tint="0.7999816888943144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indexed="57"/>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00B050"/>
        <bgColor indexed="64"/>
      </patternFill>
    </fill>
    <fill>
      <patternFill patternType="solid">
        <fgColor theme="4" tint="0.79998168889431442"/>
        <bgColor indexed="64"/>
      </patternFill>
    </fill>
    <fill>
      <patternFill patternType="solid">
        <fgColor rgb="FFBBF0FB"/>
        <bgColor indexed="64"/>
      </patternFill>
    </fill>
    <fill>
      <patternFill patternType="solid">
        <fgColor rgb="FF9AFCBB"/>
        <bgColor indexed="64"/>
      </patternFill>
    </fill>
    <fill>
      <patternFill patternType="solid">
        <fgColor rgb="FF91E8F9"/>
        <bgColor indexed="64"/>
      </patternFill>
    </fill>
    <fill>
      <patternFill patternType="solid">
        <fgColor rgb="FF92D050"/>
        <bgColor indexed="64"/>
      </patternFill>
    </fill>
    <fill>
      <patternFill patternType="solid">
        <fgColor rgb="FF002060"/>
        <bgColor indexed="64"/>
      </patternFill>
    </fill>
    <fill>
      <patternFill patternType="solid">
        <fgColor rgb="FF339966"/>
        <bgColor indexed="64"/>
      </patternFill>
    </fill>
    <fill>
      <patternFill patternType="solid">
        <fgColor rgb="FF1F497D"/>
        <bgColor indexed="64"/>
      </patternFill>
    </fill>
    <fill>
      <patternFill patternType="solid">
        <fgColor rgb="FF1B7087"/>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C5D9F1"/>
        <bgColor indexed="64"/>
      </patternFill>
    </fill>
    <fill>
      <patternFill patternType="solid">
        <fgColor rgb="FF1F497D"/>
        <bgColor rgb="FF000000"/>
      </patternFill>
    </fill>
    <fill>
      <patternFill patternType="solid">
        <fgColor rgb="FFDAEEF3"/>
        <bgColor rgb="FF000000"/>
      </patternFill>
    </fill>
    <fill>
      <patternFill patternType="solid">
        <fgColor rgb="FFDDD9C4"/>
        <bgColor rgb="FF000000"/>
      </patternFill>
    </fill>
    <fill>
      <patternFill patternType="solid">
        <fgColor rgb="FFFFFF00"/>
        <bgColor rgb="FF000000"/>
      </patternFill>
    </fill>
    <fill>
      <patternFill patternType="solid">
        <fgColor rgb="FFD9D9D9"/>
        <bgColor rgb="FF000000"/>
      </patternFill>
    </fill>
    <fill>
      <patternFill patternType="solid">
        <fgColor rgb="FFFDE9D9"/>
        <bgColor rgb="FF000000"/>
      </patternFill>
    </fill>
    <fill>
      <patternFill patternType="solid">
        <fgColor theme="0"/>
        <bgColor rgb="FF000000"/>
      </patternFill>
    </fill>
    <fill>
      <patternFill patternType="solid">
        <fgColor theme="2" tint="-9.9978637043366805E-2"/>
        <bgColor indexed="64"/>
      </patternFill>
    </fill>
    <fill>
      <patternFill patternType="solid">
        <fgColor rgb="FFFF0000"/>
        <bgColor rgb="FF000000"/>
      </patternFill>
    </fill>
    <fill>
      <patternFill patternType="solid">
        <fgColor rgb="FF00B050"/>
        <bgColor rgb="FF000000"/>
      </patternFill>
    </fill>
    <fill>
      <patternFill patternType="solid">
        <fgColor theme="9" tint="0.79998168889431442"/>
        <bgColor indexed="64"/>
      </patternFill>
    </fill>
    <fill>
      <patternFill patternType="solid">
        <fgColor rgb="FFFFFFCC"/>
      </patternFill>
    </fill>
    <fill>
      <patternFill patternType="solid">
        <fgColor theme="4" tint="0.39997558519241921"/>
        <bgColor indexed="64"/>
      </patternFill>
    </fill>
    <fill>
      <patternFill patternType="solid">
        <fgColor theme="4" tint="0.39997558519241921"/>
        <bgColor rgb="FFD9D9D9"/>
      </patternFill>
    </fill>
    <fill>
      <patternFill patternType="solid">
        <fgColor theme="3" tint="0.39997558519241921"/>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4" tint="0.59999389629810485"/>
        <bgColor indexed="64"/>
      </patternFill>
    </fill>
  </fills>
  <borders count="275">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3"/>
      </left>
      <right/>
      <top style="thin">
        <color theme="0" tint="-0.499984740745262"/>
      </top>
      <bottom style="thin">
        <color theme="0" tint="-0.499984740745262"/>
      </bottom>
      <diagonal/>
    </border>
    <border>
      <left style="medium">
        <color theme="3"/>
      </left>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style="medium">
        <color theme="3"/>
      </right>
      <top/>
      <bottom/>
      <diagonal/>
    </border>
    <border>
      <left style="medium">
        <color theme="3"/>
      </left>
      <right/>
      <top/>
      <bottom style="thin">
        <color theme="0" tint="-0.499984740745262"/>
      </bottom>
      <diagonal/>
    </border>
    <border>
      <left style="medium">
        <color theme="3"/>
      </left>
      <right/>
      <top/>
      <bottom style="medium">
        <color theme="3"/>
      </bottom>
      <diagonal/>
    </border>
    <border>
      <left/>
      <right style="thin">
        <color theme="0" tint="-0.499984740745262"/>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theme="3"/>
      </bottom>
      <diagonal/>
    </border>
    <border>
      <left/>
      <right/>
      <top style="medium">
        <color theme="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top/>
      <bottom style="thin">
        <color indexed="64"/>
      </bottom>
      <diagonal/>
    </border>
    <border>
      <left style="thin">
        <color theme="0" tint="-0.249977111117893"/>
      </left>
      <right/>
      <top/>
      <bottom style="thin">
        <color theme="0" tint="-0.249977111117893"/>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theme="3"/>
      </left>
      <right style="medium">
        <color theme="3"/>
      </right>
      <top style="thin">
        <color theme="0" tint="-0.499984740745262"/>
      </top>
      <bottom/>
      <diagonal/>
    </border>
    <border>
      <left/>
      <right/>
      <top style="medium">
        <color theme="3"/>
      </top>
      <bottom style="medium">
        <color theme="3"/>
      </bottom>
      <diagonal/>
    </border>
    <border>
      <left/>
      <right style="medium">
        <color indexed="64"/>
      </right>
      <top style="medium">
        <color indexed="64"/>
      </top>
      <bottom/>
      <diagonal/>
    </border>
    <border>
      <left/>
      <right style="medium">
        <color theme="3"/>
      </right>
      <top/>
      <bottom style="thin">
        <color theme="0" tint="-0.249977111117893"/>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tint="-0.249977111117893"/>
      </left>
      <right/>
      <top style="thin">
        <color rgb="FF1F497D"/>
      </top>
      <bottom style="thin">
        <color theme="0" tint="-0.249977111117893"/>
      </bottom>
      <diagonal/>
    </border>
    <border>
      <left/>
      <right/>
      <top style="thin">
        <color rgb="FF1F497D"/>
      </top>
      <bottom style="thin">
        <color theme="0" tint="-0.249977111117893"/>
      </bottom>
      <diagonal/>
    </border>
    <border>
      <left/>
      <right style="thin">
        <color theme="0" tint="-0.249977111117893"/>
      </right>
      <top style="thin">
        <color rgb="FF1F497D"/>
      </top>
      <bottom style="thin">
        <color theme="0" tint="-0.249977111117893"/>
      </bottom>
      <diagonal/>
    </border>
    <border>
      <left style="medium">
        <color rgb="FF1F497D"/>
      </left>
      <right/>
      <top/>
      <bottom/>
      <diagonal/>
    </border>
    <border>
      <left/>
      <right style="medium">
        <color rgb="FF1F497D"/>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77111117893"/>
      </left>
      <right style="medium">
        <color theme="3"/>
      </right>
      <top/>
      <bottom style="thin">
        <color theme="0" tint="-0.249977111117893"/>
      </bottom>
      <diagonal/>
    </border>
    <border>
      <left style="thin">
        <color theme="0" tint="-0.14999847407452621"/>
      </left>
      <right style="thin">
        <color theme="0" tint="-0.14999847407452621"/>
      </right>
      <top style="medium">
        <color theme="3"/>
      </top>
      <bottom/>
      <diagonal/>
    </border>
    <border>
      <left style="thin">
        <color theme="0" tint="-0.249977111117893"/>
      </left>
      <right/>
      <top style="medium">
        <color theme="3"/>
      </top>
      <bottom/>
      <diagonal/>
    </border>
    <border>
      <left/>
      <right style="thin">
        <color theme="0" tint="-0.249977111117893"/>
      </right>
      <top style="medium">
        <color theme="3"/>
      </top>
      <bottom/>
      <diagonal/>
    </border>
    <border>
      <left style="thin">
        <color theme="0" tint="-0.249977111117893"/>
      </left>
      <right style="thin">
        <color theme="0" tint="-0.249977111117893"/>
      </right>
      <top style="medium">
        <color theme="3"/>
      </top>
      <bottom/>
      <diagonal/>
    </border>
    <border>
      <left style="thin">
        <color theme="0" tint="-0.249977111117893"/>
      </left>
      <right style="medium">
        <color theme="3"/>
      </right>
      <top style="medium">
        <color theme="3"/>
      </top>
      <bottom/>
      <diagonal/>
    </border>
    <border>
      <left style="thin">
        <color theme="0" tint="-0.24994659260841701"/>
      </left>
      <right style="medium">
        <color theme="3"/>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rgb="FF1F497D"/>
      </left>
      <right style="thin">
        <color rgb="FF1F497D"/>
      </right>
      <top style="thin">
        <color rgb="FF1F497D"/>
      </top>
      <bottom style="thin">
        <color rgb="FF1F497D"/>
      </bottom>
      <diagonal/>
    </border>
    <border>
      <left style="medium">
        <color rgb="FF1F497D"/>
      </left>
      <right style="medium">
        <color rgb="FF1F497D"/>
      </right>
      <top style="medium">
        <color rgb="FF1F497D"/>
      </top>
      <bottom style="medium">
        <color rgb="FF1F497D"/>
      </bottom>
      <diagonal/>
    </border>
    <border>
      <left style="medium">
        <color rgb="FF1F497D"/>
      </left>
      <right style="medium">
        <color theme="3"/>
      </right>
      <top/>
      <bottom style="medium">
        <color rgb="FF1F497D"/>
      </bottom>
      <diagonal/>
    </border>
    <border>
      <left style="medium">
        <color rgb="FF1F497D"/>
      </left>
      <right/>
      <top style="medium">
        <color rgb="FF1F497D"/>
      </top>
      <bottom/>
      <diagonal/>
    </border>
    <border>
      <left/>
      <right/>
      <top style="medium">
        <color rgb="FF1F497D"/>
      </top>
      <bottom/>
      <diagonal/>
    </border>
    <border>
      <left/>
      <right style="medium">
        <color rgb="FF1F497D"/>
      </right>
      <top style="medium">
        <color rgb="FF1F497D"/>
      </top>
      <bottom/>
      <diagonal/>
    </border>
    <border>
      <left style="medium">
        <color rgb="FF1F497D"/>
      </left>
      <right/>
      <top/>
      <bottom style="medium">
        <color rgb="FF1F497D"/>
      </bottom>
      <diagonal/>
    </border>
    <border>
      <left/>
      <right/>
      <top style="medium">
        <color theme="3"/>
      </top>
      <bottom style="medium">
        <color rgb="FF1F497D"/>
      </bottom>
      <diagonal/>
    </border>
    <border>
      <left style="medium">
        <color rgb="FF1F497D"/>
      </left>
      <right/>
      <top style="medium">
        <color rgb="FF1F497D"/>
      </top>
      <bottom style="medium">
        <color rgb="FF1F497D"/>
      </bottom>
      <diagonal/>
    </border>
    <border>
      <left/>
      <right/>
      <top style="medium">
        <color rgb="FF1F497D"/>
      </top>
      <bottom style="medium">
        <color rgb="FF1F497D"/>
      </bottom>
      <diagonal/>
    </border>
    <border>
      <left/>
      <right style="medium">
        <color rgb="FF1F497D"/>
      </right>
      <top style="medium">
        <color rgb="FF1F497D"/>
      </top>
      <bottom style="medium">
        <color rgb="FF1F497D"/>
      </bottom>
      <diagonal/>
    </border>
    <border>
      <left/>
      <right/>
      <top/>
      <bottom style="medium">
        <color rgb="FF1F497D"/>
      </bottom>
      <diagonal/>
    </border>
    <border>
      <left/>
      <right style="medium">
        <color rgb="FF1F497D"/>
      </right>
      <top/>
      <bottom style="medium">
        <color rgb="FF1F497D"/>
      </bottom>
      <diagonal/>
    </border>
    <border>
      <left style="medium">
        <color rgb="FF1F497D"/>
      </left>
      <right/>
      <top style="medium">
        <color rgb="FF1F497D"/>
      </top>
      <bottom style="thin">
        <color theme="0" tint="-0.24994659260841701"/>
      </bottom>
      <diagonal/>
    </border>
    <border>
      <left/>
      <right style="medium">
        <color rgb="FF1F497D"/>
      </right>
      <top style="medium">
        <color rgb="FF1F497D"/>
      </top>
      <bottom style="thin">
        <color theme="0" tint="-0.24994659260841701"/>
      </bottom>
      <diagonal/>
    </border>
    <border>
      <left style="medium">
        <color rgb="FF1F497D"/>
      </left>
      <right/>
      <top style="thin">
        <color theme="0" tint="-0.24994659260841701"/>
      </top>
      <bottom style="thin">
        <color theme="0" tint="-0.24994659260841701"/>
      </bottom>
      <diagonal/>
    </border>
    <border>
      <left/>
      <right style="medium">
        <color rgb="FF1F497D"/>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medium">
        <color rgb="FF1F497D"/>
      </left>
      <right/>
      <top style="thin">
        <color theme="0" tint="-0.24994659260841701"/>
      </top>
      <bottom style="medium">
        <color rgb="FF1F497D"/>
      </bottom>
      <diagonal/>
    </border>
    <border>
      <left/>
      <right style="medium">
        <color rgb="FF1F497D"/>
      </right>
      <top style="thin">
        <color theme="0" tint="-0.24994659260841701"/>
      </top>
      <bottom style="medium">
        <color rgb="FF1F497D"/>
      </bottom>
      <diagonal/>
    </border>
    <border>
      <left/>
      <right/>
      <top style="thin">
        <color theme="0" tint="-0.24994659260841701"/>
      </top>
      <bottom style="medium">
        <color rgb="FF1F497D"/>
      </bottom>
      <diagonal/>
    </border>
    <border>
      <left style="medium">
        <color rgb="FF1F497D"/>
      </left>
      <right style="medium">
        <color rgb="FF1F497D"/>
      </right>
      <top style="medium">
        <color rgb="FF1F497D"/>
      </top>
      <bottom style="thin">
        <color theme="0" tint="-0.24994659260841701"/>
      </bottom>
      <diagonal/>
    </border>
    <border>
      <left style="medium">
        <color rgb="FF1F497D"/>
      </left>
      <right style="medium">
        <color rgb="FF1F497D"/>
      </right>
      <top style="thin">
        <color theme="0" tint="-0.24994659260841701"/>
      </top>
      <bottom style="thin">
        <color theme="0" tint="-0.24994659260841701"/>
      </bottom>
      <diagonal/>
    </border>
    <border>
      <left style="medium">
        <color rgb="FF1F497D"/>
      </left>
      <right style="medium">
        <color rgb="FF1F497D"/>
      </right>
      <top style="thin">
        <color theme="0" tint="-0.24994659260841701"/>
      </top>
      <bottom style="medium">
        <color rgb="FF1F497D"/>
      </bottom>
      <diagonal/>
    </border>
    <border>
      <left style="medium">
        <color rgb="FF1F497D"/>
      </left>
      <right style="medium">
        <color rgb="FF1F497D"/>
      </right>
      <top style="medium">
        <color rgb="FF1F497D"/>
      </top>
      <bottom/>
      <diagonal/>
    </border>
    <border>
      <left style="medium">
        <color rgb="FF1F497D"/>
      </left>
      <right style="medium">
        <color rgb="FF1F497D"/>
      </right>
      <top/>
      <bottom/>
      <diagonal/>
    </border>
    <border>
      <left style="medium">
        <color rgb="FF1F497D"/>
      </left>
      <right style="medium">
        <color rgb="FF1F497D"/>
      </right>
      <top/>
      <bottom style="medium">
        <color rgb="FF1F497D"/>
      </bottom>
      <diagonal/>
    </border>
    <border>
      <left style="medium">
        <color rgb="FF1F497D"/>
      </left>
      <right style="medium">
        <color rgb="FF1F497D"/>
      </right>
      <top/>
      <bottom style="thin">
        <color theme="0" tint="-0.24994659260841701"/>
      </bottom>
      <diagonal/>
    </border>
    <border>
      <left/>
      <right style="medium">
        <color rgb="FF1F497D"/>
      </right>
      <top/>
      <bottom style="thin">
        <color theme="0" tint="-0.24994659260841701"/>
      </bottom>
      <diagonal/>
    </border>
    <border>
      <left style="medium">
        <color theme="3"/>
      </left>
      <right style="medium">
        <color theme="3"/>
      </right>
      <top style="medium">
        <color theme="3"/>
      </top>
      <bottom style="medium">
        <color theme="3"/>
      </bottom>
      <diagonal/>
    </border>
    <border>
      <left style="medium">
        <color rgb="FF1F497D"/>
      </left>
      <right style="medium">
        <color rgb="FF1F497D"/>
      </right>
      <top style="thin">
        <color theme="0" tint="-0.24994659260841701"/>
      </top>
      <bottom/>
      <diagonal/>
    </border>
    <border>
      <left style="medium">
        <color rgb="FF1F497D"/>
      </left>
      <right/>
      <top style="medium">
        <color theme="3"/>
      </top>
      <bottom style="medium">
        <color theme="3"/>
      </bottom>
      <diagonal/>
    </border>
    <border>
      <left style="medium">
        <color rgb="FF1F497D"/>
      </left>
      <right/>
      <top style="medium">
        <color theme="3"/>
      </top>
      <bottom style="medium">
        <color rgb="FF1F497D"/>
      </bottom>
      <diagonal/>
    </border>
    <border>
      <left/>
      <right/>
      <top/>
      <bottom style="medium">
        <color theme="0" tint="-0.24994659260841701"/>
      </bottom>
      <diagonal/>
    </border>
    <border>
      <left/>
      <right/>
      <top style="medium">
        <color theme="0" tint="-0.24994659260841701"/>
      </top>
      <bottom/>
      <diagonal/>
    </border>
    <border>
      <left/>
      <right/>
      <top style="medium">
        <color theme="0" tint="-0.24994659260841701"/>
      </top>
      <bottom style="medium">
        <color theme="0" tint="-0.24994659260841701"/>
      </bottom>
      <diagonal/>
    </border>
    <border>
      <left/>
      <right style="medium">
        <color indexed="64"/>
      </right>
      <top style="medium">
        <color rgb="FF1F497D"/>
      </top>
      <bottom style="medium">
        <color rgb="FF1F497D"/>
      </bottom>
      <diagonal/>
    </border>
    <border>
      <left style="medium">
        <color rgb="FF1F497D"/>
      </left>
      <right/>
      <top/>
      <bottom style="medium">
        <color theme="0" tint="-0.24994659260841701"/>
      </bottom>
      <diagonal/>
    </border>
    <border>
      <left style="medium">
        <color rgb="FF1F497D"/>
      </left>
      <right/>
      <top style="medium">
        <color theme="0" tint="-0.24994659260841701"/>
      </top>
      <bottom/>
      <diagonal/>
    </border>
    <border>
      <left style="medium">
        <color rgb="FF1F497D"/>
      </left>
      <right/>
      <top style="medium">
        <color theme="0" tint="-0.24994659260841701"/>
      </top>
      <bottom style="medium">
        <color theme="0" tint="-0.24994659260841701"/>
      </bottom>
      <diagonal/>
    </border>
    <border>
      <left/>
      <right style="medium">
        <color rgb="FF1F497D"/>
      </right>
      <top style="medium">
        <color theme="0" tint="-0.24994659260841701"/>
      </top>
      <bottom style="medium">
        <color theme="0" tint="-0.24994659260841701"/>
      </bottom>
      <diagonal/>
    </border>
    <border>
      <left style="medium">
        <color rgb="FF1F497D"/>
      </left>
      <right/>
      <top style="medium">
        <color theme="0" tint="-0.24994659260841701"/>
      </top>
      <bottom style="medium">
        <color rgb="FF1F497D"/>
      </bottom>
      <diagonal/>
    </border>
    <border>
      <left/>
      <right/>
      <top style="medium">
        <color theme="0" tint="-0.24994659260841701"/>
      </top>
      <bottom style="medium">
        <color rgb="FF1F497D"/>
      </bottom>
      <diagonal/>
    </border>
    <border>
      <left/>
      <right style="medium">
        <color rgb="FF1F497D"/>
      </right>
      <top style="medium">
        <color theme="0" tint="-0.24994659260841701"/>
      </top>
      <bottom style="medium">
        <color rgb="FF1F497D"/>
      </bottom>
      <diagonal/>
    </border>
    <border>
      <left style="medium">
        <color rgb="FF1F497D"/>
      </left>
      <right/>
      <top style="medium">
        <color rgb="FF1F497D"/>
      </top>
      <bottom style="medium">
        <color theme="0" tint="-0.24994659260841701"/>
      </bottom>
      <diagonal/>
    </border>
    <border>
      <left/>
      <right/>
      <top style="medium">
        <color rgb="FF1F497D"/>
      </top>
      <bottom style="medium">
        <color theme="0" tint="-0.24994659260841701"/>
      </bottom>
      <diagonal/>
    </border>
    <border>
      <left/>
      <right style="medium">
        <color rgb="FF1F497D"/>
      </right>
      <top style="medium">
        <color rgb="FF1F497D"/>
      </top>
      <bottom style="medium">
        <color theme="0" tint="-0.24994659260841701"/>
      </bottom>
      <diagonal/>
    </border>
    <border>
      <left style="thin">
        <color rgb="FF1F497D"/>
      </left>
      <right/>
      <top style="thin">
        <color rgb="FF1F497D"/>
      </top>
      <bottom style="thin">
        <color rgb="FF1F497D"/>
      </bottom>
      <diagonal/>
    </border>
    <border>
      <left/>
      <right/>
      <top style="thin">
        <color rgb="FF1F497D"/>
      </top>
      <bottom style="thin">
        <color rgb="FF1F497D"/>
      </bottom>
      <diagonal/>
    </border>
    <border>
      <left/>
      <right style="thin">
        <color rgb="FF1F497D"/>
      </right>
      <top style="thin">
        <color rgb="FF1F497D"/>
      </top>
      <bottom style="thin">
        <color rgb="FF1F497D"/>
      </bottom>
      <diagonal/>
    </border>
    <border>
      <left style="medium">
        <color theme="1" tint="0.24994659260841701"/>
      </left>
      <right style="medium">
        <color theme="1" tint="0.24994659260841701"/>
      </right>
      <top style="medium">
        <color theme="1" tint="0.24994659260841701"/>
      </top>
      <bottom style="medium">
        <color theme="1" tint="0.24994659260841701"/>
      </bottom>
      <diagonal/>
    </border>
    <border>
      <left style="medium">
        <color theme="1" tint="0.24994659260841701"/>
      </left>
      <right/>
      <top style="medium">
        <color theme="1" tint="0.24994659260841701"/>
      </top>
      <bottom style="medium">
        <color theme="1" tint="0.24994659260841701"/>
      </bottom>
      <diagonal/>
    </border>
    <border>
      <left/>
      <right/>
      <top style="medium">
        <color theme="1" tint="0.24994659260841701"/>
      </top>
      <bottom style="medium">
        <color theme="1" tint="0.24994659260841701"/>
      </bottom>
      <diagonal/>
    </border>
    <border>
      <left/>
      <right style="medium">
        <color theme="1" tint="0.24994659260841701"/>
      </right>
      <top style="medium">
        <color theme="1" tint="0.24994659260841701"/>
      </top>
      <bottom style="medium">
        <color theme="1" tint="0.24994659260841701"/>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indexed="64"/>
      </top>
      <bottom/>
      <diagonal/>
    </border>
    <border>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thin">
        <color rgb="FF000000"/>
      </bottom>
      <diagonal/>
    </border>
    <border>
      <left style="thin">
        <color rgb="FF000000"/>
      </left>
      <right style="medium">
        <color rgb="FF000000"/>
      </right>
      <top/>
      <bottom style="thin">
        <color rgb="FF000000"/>
      </bottom>
      <diagonal/>
    </border>
    <border>
      <left style="medium">
        <color theme="1" tint="0.24994659260841701"/>
      </left>
      <right/>
      <top style="medium">
        <color theme="3"/>
      </top>
      <bottom style="thin">
        <color theme="0" tint="-0.499984740745262"/>
      </bottom>
      <diagonal/>
    </border>
    <border>
      <left style="thin">
        <color theme="0" tint="-0.499984740745262"/>
      </left>
      <right style="medium">
        <color theme="3"/>
      </right>
      <top style="thin">
        <color theme="0" tint="-0.499984740745262"/>
      </top>
      <bottom/>
      <diagonal/>
    </border>
    <border>
      <left style="thin">
        <color theme="0" tint="-0.499984740745262"/>
      </left>
      <right style="medium">
        <color theme="3"/>
      </right>
      <top/>
      <bottom/>
      <diagonal/>
    </border>
    <border>
      <left style="thin">
        <color theme="0" tint="-0.499984740745262"/>
      </left>
      <right style="medium">
        <color theme="3"/>
      </right>
      <top/>
      <bottom style="medium">
        <color theme="3"/>
      </bottom>
      <diagonal/>
    </border>
    <border>
      <left style="medium">
        <color rgb="FF000000"/>
      </left>
      <right/>
      <top style="medium">
        <color rgb="FF000000"/>
      </top>
      <bottom style="medium">
        <color rgb="FF000000"/>
      </bottom>
      <diagonal/>
    </border>
    <border>
      <left/>
      <right/>
      <top/>
      <bottom style="medium">
        <color rgb="FF000000"/>
      </bottom>
      <diagonal/>
    </border>
    <border>
      <left style="medium">
        <color indexed="64"/>
      </left>
      <right style="thin">
        <color indexed="64"/>
      </right>
      <top style="medium">
        <color indexed="64"/>
      </top>
      <bottom style="medium">
        <color rgb="FF000000"/>
      </bottom>
      <diagonal/>
    </border>
    <border>
      <left/>
      <right style="thin">
        <color indexed="64"/>
      </right>
      <top style="medium">
        <color indexed="64"/>
      </top>
      <bottom style="medium">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medium">
        <color indexed="64"/>
      </top>
      <bottom/>
      <diagonal/>
    </border>
    <border>
      <left/>
      <right style="thin">
        <color indexed="64"/>
      </right>
      <top style="medium">
        <color rgb="FF000000"/>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right style="thin">
        <color theme="0" tint="-0.24994659260841701"/>
      </right>
      <top/>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theme="0" tint="-0.24994659260841701"/>
      </left>
      <right style="thin">
        <color theme="0" tint="-0.249977111117893"/>
      </right>
      <top style="thin">
        <color theme="0" tint="-0.249977111117893"/>
      </top>
      <bottom style="thin">
        <color theme="0" tint="-0.249977111117893"/>
      </bottom>
      <diagonal/>
    </border>
    <border>
      <left style="thin">
        <color rgb="FF000000"/>
      </left>
      <right/>
      <top/>
      <bottom/>
      <diagonal/>
    </border>
    <border>
      <left style="thin">
        <color indexed="64"/>
      </left>
      <right style="medium">
        <color indexed="64"/>
      </right>
      <top/>
      <bottom style="thin">
        <color indexed="64"/>
      </bottom>
      <diagonal/>
    </border>
    <border>
      <left style="thin">
        <color rgb="FF000000"/>
      </left>
      <right style="medium">
        <color indexed="64"/>
      </right>
      <top/>
      <bottom style="thin">
        <color rgb="FF000000"/>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thin">
        <color rgb="FF000000"/>
      </left>
      <right/>
      <top style="thin">
        <color rgb="FF000000"/>
      </top>
      <bottom/>
      <diagonal/>
    </border>
    <border>
      <left style="thin">
        <color rgb="FF000000"/>
      </left>
      <right/>
      <top style="thin">
        <color indexed="64"/>
      </top>
      <bottom/>
      <diagonal/>
    </border>
    <border>
      <left style="thin">
        <color rgb="FF000000"/>
      </left>
      <right/>
      <top style="thin">
        <color rgb="FF000000"/>
      </top>
      <bottom style="thin">
        <color rgb="FF000000"/>
      </bottom>
      <diagonal/>
    </border>
    <border>
      <left style="thin">
        <color indexed="64"/>
      </left>
      <right style="medium">
        <color indexed="64"/>
      </right>
      <top style="thin">
        <color indexed="64"/>
      </top>
      <bottom/>
      <diagonal/>
    </border>
    <border>
      <left/>
      <right style="thin">
        <color rgb="FF000000"/>
      </right>
      <top/>
      <bottom style="thin">
        <color rgb="FF000000"/>
      </bottom>
      <diagonal/>
    </border>
    <border>
      <left/>
      <right style="thin">
        <color indexed="64"/>
      </right>
      <top style="medium">
        <color indexed="64"/>
      </top>
      <bottom style="thin">
        <color indexed="64"/>
      </bottom>
      <diagonal/>
    </border>
    <border>
      <left style="medium">
        <color theme="3"/>
      </left>
      <right/>
      <top style="medium">
        <color rgb="FF000000"/>
      </top>
      <bottom style="medium">
        <color rgb="FF000000"/>
      </bottom>
      <diagonal/>
    </border>
    <border>
      <left/>
      <right/>
      <top style="medium">
        <color rgb="FF000000"/>
      </top>
      <bottom/>
      <diagonal/>
    </border>
    <border>
      <left/>
      <right style="medium">
        <color theme="3"/>
      </right>
      <top style="medium">
        <color rgb="FF000000"/>
      </top>
      <bottom/>
      <diagonal/>
    </border>
    <border>
      <left style="medium">
        <color theme="3"/>
      </left>
      <right/>
      <top style="medium">
        <color rgb="FF000000"/>
      </top>
      <bottom/>
      <diagonal/>
    </border>
    <border>
      <left/>
      <right style="medium">
        <color theme="3"/>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theme="3"/>
      </right>
      <top/>
      <bottom/>
      <diagonal/>
    </border>
    <border>
      <left style="medium">
        <color rgb="FF000000"/>
      </left>
      <right style="medium">
        <color theme="3"/>
      </right>
      <top/>
      <bottom style="medium">
        <color rgb="FF000000"/>
      </bottom>
      <diagonal/>
    </border>
    <border>
      <left/>
      <right style="medium">
        <color rgb="FF1F497D"/>
      </right>
      <top/>
      <bottom style="medium">
        <color theme="0" tint="-0.24994659260841701"/>
      </bottom>
      <diagonal/>
    </border>
    <border>
      <left/>
      <right style="medium">
        <color rgb="FF1F497D"/>
      </right>
      <top style="medium">
        <color theme="0" tint="-0.24994659260841701"/>
      </top>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medium">
        <color indexed="64"/>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theme="4" tint="-0.24994659260841701"/>
      </left>
      <right style="medium">
        <color theme="4" tint="-0.24994659260841701"/>
      </right>
      <top style="medium">
        <color theme="4" tint="-0.24994659260841701"/>
      </top>
      <bottom style="thin">
        <color theme="0" tint="-0.499984740745262"/>
      </bottom>
      <diagonal/>
    </border>
    <border>
      <left style="medium">
        <color theme="4" tint="-0.24994659260841701"/>
      </left>
      <right style="medium">
        <color theme="4" tint="-0.24994659260841701"/>
      </right>
      <top/>
      <bottom/>
      <diagonal/>
    </border>
    <border>
      <left style="medium">
        <color theme="4" tint="-0.24994659260841701"/>
      </left>
      <right style="medium">
        <color theme="4" tint="-0.24994659260841701"/>
      </right>
      <top/>
      <bottom style="medium">
        <color theme="4" tint="-0.24994659260841701"/>
      </bottom>
      <diagonal/>
    </border>
    <border>
      <left style="medium">
        <color rgb="FF1F497D"/>
      </left>
      <right style="thin">
        <color rgb="FF1F497D"/>
      </right>
      <top style="medium">
        <color rgb="FF1F497D"/>
      </top>
      <bottom style="thin">
        <color rgb="FF1F497D"/>
      </bottom>
      <diagonal/>
    </border>
    <border>
      <left style="thin">
        <color rgb="FF1F497D"/>
      </left>
      <right style="thin">
        <color rgb="FF1F497D"/>
      </right>
      <top style="medium">
        <color rgb="FF1F497D"/>
      </top>
      <bottom style="thin">
        <color rgb="FF1F497D"/>
      </bottom>
      <diagonal/>
    </border>
    <border>
      <left style="thin">
        <color rgb="FF1F497D"/>
      </left>
      <right style="medium">
        <color rgb="FF1F497D"/>
      </right>
      <top style="medium">
        <color rgb="FF1F497D"/>
      </top>
      <bottom style="thin">
        <color rgb="FF1F497D"/>
      </bottom>
      <diagonal/>
    </border>
    <border>
      <left style="medium">
        <color rgb="FF1F497D"/>
      </left>
      <right style="thin">
        <color rgb="FF1F497D"/>
      </right>
      <top style="thin">
        <color rgb="FF1F497D"/>
      </top>
      <bottom style="thin">
        <color rgb="FF1F497D"/>
      </bottom>
      <diagonal/>
    </border>
    <border>
      <left style="thin">
        <color rgb="FF1F497D"/>
      </left>
      <right style="medium">
        <color rgb="FF1F497D"/>
      </right>
      <top style="thin">
        <color rgb="FF1F497D"/>
      </top>
      <bottom style="thin">
        <color rgb="FF1F497D"/>
      </bottom>
      <diagonal/>
    </border>
    <border>
      <left style="medium">
        <color rgb="FF1F497D"/>
      </left>
      <right style="thin">
        <color rgb="FF1F497D"/>
      </right>
      <top style="thin">
        <color rgb="FF1F497D"/>
      </top>
      <bottom style="medium">
        <color rgb="FF1F497D"/>
      </bottom>
      <diagonal/>
    </border>
    <border>
      <left style="thin">
        <color rgb="FF1F497D"/>
      </left>
      <right style="thin">
        <color rgb="FF1F497D"/>
      </right>
      <top style="thin">
        <color rgb="FF1F497D"/>
      </top>
      <bottom style="medium">
        <color rgb="FF1F497D"/>
      </bottom>
      <diagonal/>
    </border>
    <border>
      <left style="thin">
        <color rgb="FF1F497D"/>
      </left>
      <right style="medium">
        <color rgb="FF1F497D"/>
      </right>
      <top style="thin">
        <color rgb="FF1F497D"/>
      </top>
      <bottom style="medium">
        <color rgb="FF1F497D"/>
      </bottom>
      <diagonal/>
    </border>
    <border>
      <left style="medium">
        <color theme="3"/>
      </left>
      <right style="thin">
        <color theme="0" tint="-0.24994659260841701"/>
      </right>
      <top style="thin">
        <color theme="0" tint="-0.24994659260841701"/>
      </top>
      <bottom style="thin">
        <color theme="0" tint="-0.24994659260841701"/>
      </bottom>
      <diagonal/>
    </border>
    <border>
      <left style="medium">
        <color theme="3"/>
      </left>
      <right/>
      <top style="thin">
        <color theme="0" tint="-0.24994659260841701"/>
      </top>
      <bottom/>
      <diagonal/>
    </border>
    <border>
      <left style="medium">
        <color theme="3"/>
      </left>
      <right/>
      <top/>
      <bottom style="thin">
        <color theme="0" tint="-0.24994659260841701"/>
      </bottom>
      <diagonal/>
    </border>
    <border>
      <left/>
      <right/>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medium">
        <color rgb="FF000000"/>
      </left>
      <right style="medium">
        <color rgb="FF000000"/>
      </right>
      <top/>
      <bottom style="thin">
        <color theme="0" tint="-0.249977111117893"/>
      </bottom>
      <diagonal/>
    </border>
    <border>
      <left style="medium">
        <color rgb="FF000000"/>
      </left>
      <right style="medium">
        <color theme="3"/>
      </right>
      <top style="medium">
        <color rgb="FF000000"/>
      </top>
      <bottom/>
      <diagonal/>
    </border>
    <border>
      <left style="medium">
        <color rgb="FF000000"/>
      </left>
      <right style="medium">
        <color rgb="FF000000"/>
      </right>
      <top/>
      <bottom style="thin">
        <color indexed="64"/>
      </bottom>
      <diagonal/>
    </border>
    <border>
      <left style="thin">
        <color indexed="64"/>
      </left>
      <right style="medium">
        <color indexed="64"/>
      </right>
      <top/>
      <bottom/>
      <diagonal/>
    </border>
    <border>
      <left style="thin">
        <color rgb="FF000000"/>
      </left>
      <right style="medium">
        <color rgb="FF000000"/>
      </right>
      <top style="thin">
        <color rgb="FF000000"/>
      </top>
      <bottom style="thin">
        <color rgb="FF000000"/>
      </bottom>
      <diagonal/>
    </border>
    <border>
      <left style="medium">
        <color rgb="FF1F497D"/>
      </left>
      <right/>
      <top style="medium">
        <color rgb="FF1F497D"/>
      </top>
      <bottom style="thin">
        <color theme="0" tint="-0.499984740745262"/>
      </bottom>
      <diagonal/>
    </border>
    <border>
      <left/>
      <right/>
      <top style="medium">
        <color rgb="FF1F497D"/>
      </top>
      <bottom style="thin">
        <color theme="0" tint="-0.499984740745262"/>
      </bottom>
      <diagonal/>
    </border>
    <border>
      <left/>
      <right/>
      <top style="medium">
        <color rgb="FF1F497D"/>
      </top>
      <bottom style="thin">
        <color theme="0" tint="-0.24994659260841701"/>
      </bottom>
      <diagonal/>
    </border>
    <border>
      <left/>
      <right style="medium">
        <color rgb="FF1F497D"/>
      </right>
      <top style="medium">
        <color theme="3"/>
      </top>
      <bottom style="medium">
        <color rgb="FF1F497D"/>
      </bottom>
      <diagonal/>
    </border>
    <border>
      <left/>
      <right style="medium">
        <color rgb="FF1F497D"/>
      </right>
      <top style="medium">
        <color theme="3"/>
      </top>
      <bottom style="medium">
        <color theme="3"/>
      </bottom>
      <diagonal/>
    </border>
    <border>
      <left style="medium">
        <color rgb="FF1F497D"/>
      </left>
      <right/>
      <top style="medium">
        <color rgb="FF1F497D"/>
      </top>
      <bottom style="medium">
        <color theme="3"/>
      </bottom>
      <diagonal/>
    </border>
    <border>
      <left/>
      <right/>
      <top style="medium">
        <color rgb="FF1F497D"/>
      </top>
      <bottom style="medium">
        <color theme="3"/>
      </bottom>
      <diagonal/>
    </border>
    <border>
      <left/>
      <right style="medium">
        <color rgb="FF1F497D"/>
      </right>
      <top style="medium">
        <color rgb="FF1F497D"/>
      </top>
      <bottom style="medium">
        <color theme="3"/>
      </bottom>
      <diagonal/>
    </border>
    <border>
      <left/>
      <right style="medium">
        <color rgb="FF1F497D"/>
      </right>
      <top style="medium">
        <color rgb="FF1F497D"/>
      </top>
      <bottom style="thin">
        <color theme="0" tint="-0.499984740745262"/>
      </bottom>
      <diagonal/>
    </border>
    <border>
      <left style="thin">
        <color theme="0" tint="-0.249977111117893"/>
      </left>
      <right/>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style="thin">
        <color rgb="FFB2B2B2"/>
      </left>
      <right style="thin">
        <color rgb="FFB2B2B2"/>
      </right>
      <top style="thin">
        <color rgb="FFB2B2B2"/>
      </top>
      <bottom style="thin">
        <color rgb="FFB2B2B2"/>
      </bottom>
      <diagonal/>
    </border>
    <border>
      <left/>
      <right style="medium">
        <color rgb="FF1F497D"/>
      </right>
      <top style="thin">
        <color theme="0" tint="-0.24994659260841701"/>
      </top>
      <bottom/>
      <diagonal/>
    </border>
    <border>
      <left/>
      <right/>
      <top/>
      <bottom style="medium">
        <color theme="3"/>
      </bottom>
      <diagonal/>
    </border>
    <border>
      <left/>
      <right style="medium">
        <color rgb="FF1F497D"/>
      </right>
      <top/>
      <bottom style="medium">
        <color theme="3"/>
      </bottom>
      <diagonal/>
    </border>
    <border>
      <left/>
      <right style="medium">
        <color theme="3"/>
      </right>
      <top style="thin">
        <color theme="0" tint="-0.24994659260841701"/>
      </top>
      <bottom style="thin">
        <color theme="0" tint="-0.24994659260841701"/>
      </bottom>
      <diagonal/>
    </border>
    <border>
      <left style="medium">
        <color theme="3"/>
      </left>
      <right/>
      <top style="thin">
        <color theme="0" tint="-0.24994659260841701"/>
      </top>
      <bottom style="thin">
        <color theme="0" tint="-0.24994659260841701"/>
      </bottom>
      <diagonal/>
    </border>
    <border>
      <left/>
      <right style="medium">
        <color theme="3"/>
      </right>
      <top/>
      <bottom style="thin">
        <color theme="0" tint="-0.24994659260841701"/>
      </bottom>
      <diagonal/>
    </border>
    <border>
      <left style="medium">
        <color theme="3"/>
      </left>
      <right/>
      <top style="thin">
        <color theme="0" tint="-0.249977111117893"/>
      </top>
      <bottom style="medium">
        <color rgb="FF000000"/>
      </bottom>
      <diagonal/>
    </border>
    <border>
      <left/>
      <right/>
      <top style="thin">
        <color theme="0" tint="-0.249977111117893"/>
      </top>
      <bottom style="medium">
        <color rgb="FF000000"/>
      </bottom>
      <diagonal/>
    </border>
    <border>
      <left/>
      <right style="medium">
        <color theme="3"/>
      </right>
      <top style="thin">
        <color theme="0" tint="-0.249977111117893"/>
      </top>
      <bottom style="medium">
        <color rgb="FF000000"/>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medium">
        <color theme="3"/>
      </right>
      <top style="thin">
        <color theme="0" tint="-0.249977111117893"/>
      </top>
      <bottom/>
      <diagonal/>
    </border>
    <border>
      <left/>
      <right style="medium">
        <color theme="3"/>
      </right>
      <top style="thin">
        <color theme="0" tint="-0.249977111117893"/>
      </top>
      <bottom style="thin">
        <color theme="0" tint="-0.249977111117893"/>
      </bottom>
      <diagonal/>
    </border>
    <border>
      <left style="medium">
        <color rgb="FF000000"/>
      </left>
      <right style="medium">
        <color rgb="FF000000"/>
      </right>
      <top style="medium">
        <color rgb="FF000000"/>
      </top>
      <bottom style="medium">
        <color rgb="FF000000"/>
      </bottom>
      <diagonal/>
    </border>
    <border>
      <left style="medium">
        <color theme="1" tint="0.24994659260841701"/>
      </left>
      <right style="medium">
        <color theme="1" tint="0.24994659260841701"/>
      </right>
      <top style="medium">
        <color theme="1" tint="0.24994659260841701"/>
      </top>
      <bottom/>
      <diagonal/>
    </border>
    <border>
      <left/>
      <right/>
      <top/>
      <bottom style="medium">
        <color theme="1" tint="0.24994659260841701"/>
      </bottom>
      <diagonal/>
    </border>
    <border>
      <left style="medium">
        <color rgb="FF000000"/>
      </left>
      <right style="medium">
        <color theme="1" tint="0.24994659260841701"/>
      </right>
      <top style="medium">
        <color rgb="FF000000"/>
      </top>
      <bottom/>
      <diagonal/>
    </border>
    <border>
      <left style="medium">
        <color theme="1" tint="0.24994659260841701"/>
      </left>
      <right style="medium">
        <color rgb="FF000000"/>
      </right>
      <top style="medium">
        <color rgb="FF000000"/>
      </top>
      <bottom style="medium">
        <color theme="1" tint="0.24994659260841701"/>
      </bottom>
      <diagonal/>
    </border>
    <border>
      <left style="medium">
        <color theme="1" tint="0.24994659260841701"/>
      </left>
      <right style="medium">
        <color rgb="FF000000"/>
      </right>
      <top style="medium">
        <color theme="1" tint="0.24994659260841701"/>
      </top>
      <bottom style="medium">
        <color theme="1" tint="0.24994659260841701"/>
      </bottom>
      <diagonal/>
    </border>
    <border>
      <left style="medium">
        <color rgb="FF000000"/>
      </left>
      <right/>
      <top/>
      <bottom style="medium">
        <color theme="1" tint="0.24994659260841701"/>
      </bottom>
      <diagonal/>
    </border>
    <border>
      <left/>
      <right style="medium">
        <color rgb="FF000000"/>
      </right>
      <top style="medium">
        <color theme="1" tint="0.24994659260841701"/>
      </top>
      <bottom style="medium">
        <color theme="1" tint="0.24994659260841701"/>
      </bottom>
      <diagonal/>
    </border>
    <border>
      <left/>
      <right/>
      <top style="medium">
        <color theme="1" tint="0.24994659260841701"/>
      </top>
      <bottom style="medium">
        <color rgb="FF000000"/>
      </bottom>
      <diagonal/>
    </border>
    <border>
      <left style="medium">
        <color theme="1" tint="0.24994659260841701"/>
      </left>
      <right style="medium">
        <color theme="1" tint="0.24994659260841701"/>
      </right>
      <top style="medium">
        <color theme="1" tint="0.24994659260841701"/>
      </top>
      <bottom style="medium">
        <color rgb="FF000000"/>
      </bottom>
      <diagonal/>
    </border>
    <border>
      <left/>
      <right style="medium">
        <color rgb="FF000000"/>
      </right>
      <top style="medium">
        <color theme="1" tint="0.24994659260841701"/>
      </top>
      <bottom style="medium">
        <color rgb="FF000000"/>
      </bottom>
      <diagonal/>
    </border>
    <border>
      <left/>
      <right/>
      <top style="medium">
        <color theme="1" tint="0.24994659260841701"/>
      </top>
      <bottom/>
      <diagonal/>
    </border>
    <border>
      <left/>
      <right style="medium">
        <color theme="1" tint="0.24994659260841701"/>
      </right>
      <top style="medium">
        <color theme="1" tint="0.24994659260841701"/>
      </top>
      <bottom/>
      <diagonal/>
    </border>
    <border>
      <left/>
      <right style="medium">
        <color theme="1" tint="0.24994659260841701"/>
      </right>
      <top/>
      <bottom style="medium">
        <color theme="1" tint="0.24994659260841701"/>
      </bottom>
      <diagonal/>
    </border>
    <border>
      <left style="medium">
        <color theme="1" tint="0.24994659260841701"/>
      </left>
      <right style="medium">
        <color theme="1" tint="0.24994659260841701"/>
      </right>
      <top style="medium">
        <color rgb="FF000000"/>
      </top>
      <bottom/>
      <diagonal/>
    </border>
    <border>
      <left style="medium">
        <color theme="1" tint="0.24994659260841701"/>
      </left>
      <right style="medium">
        <color theme="1" tint="0.24994659260841701"/>
      </right>
      <top/>
      <bottom style="medium">
        <color theme="1" tint="0.24994659260841701"/>
      </bottom>
      <diagonal/>
    </border>
    <border>
      <left style="medium">
        <color rgb="FF000000"/>
      </left>
      <right/>
      <top style="medium">
        <color theme="1" tint="0.24994659260841701"/>
      </top>
      <bottom style="medium">
        <color rgb="FF000000"/>
      </bottom>
      <diagonal/>
    </border>
    <border>
      <left style="medium">
        <color theme="3"/>
      </left>
      <right style="medium">
        <color rgb="FF000000"/>
      </right>
      <top style="medium">
        <color rgb="FF000000"/>
      </top>
      <bottom/>
      <diagonal/>
    </border>
    <border>
      <left style="medium">
        <color theme="3"/>
      </left>
      <right style="medium">
        <color rgb="FF000000"/>
      </right>
      <top/>
      <bottom/>
      <diagonal/>
    </border>
    <border>
      <left style="medium">
        <color theme="3"/>
      </left>
      <right style="medium">
        <color rgb="FF000000"/>
      </right>
      <top/>
      <bottom style="medium">
        <color rgb="FF000000"/>
      </bottom>
      <diagonal/>
    </border>
    <border>
      <left style="thin">
        <color theme="1"/>
      </left>
      <right style="thin">
        <color theme="1"/>
      </right>
      <top style="thin">
        <color theme="1"/>
      </top>
      <bottom style="thin">
        <color theme="1"/>
      </bottom>
      <diagonal/>
    </border>
    <border>
      <left/>
      <right style="thin">
        <color theme="0" tint="-0.249977111117893"/>
      </right>
      <top style="thin">
        <color theme="0" tint="-0.249977111117893"/>
      </top>
      <bottom/>
      <diagonal/>
    </border>
    <border>
      <left/>
      <right style="thin">
        <color theme="0" tint="-0.249977111117893"/>
      </right>
      <top/>
      <bottom/>
      <diagonal/>
    </border>
    <border>
      <left style="medium">
        <color theme="3"/>
      </left>
      <right/>
      <top style="thin">
        <color theme="0" tint="-0.249977111117893"/>
      </top>
      <bottom/>
      <diagonal/>
    </border>
    <border>
      <left style="medium">
        <color theme="3"/>
      </left>
      <right/>
      <top/>
      <bottom style="thin">
        <color theme="0" tint="-0.249977111117893"/>
      </bottom>
      <diagonal/>
    </border>
  </borders>
  <cellStyleXfs count="35">
    <xf numFmtId="0" fontId="0" fillId="0" borderId="0"/>
    <xf numFmtId="0" fontId="16" fillId="2" borderId="1" applyNumberFormat="0" applyProtection="0">
      <alignment horizontal="left" vertical="center" readingOrder="1"/>
    </xf>
    <xf numFmtId="0" fontId="17" fillId="2" borderId="2">
      <alignment horizontal="left"/>
    </xf>
    <xf numFmtId="0" fontId="17" fillId="2" borderId="3">
      <alignment horizontal="right"/>
    </xf>
    <xf numFmtId="0" fontId="17" fillId="2" borderId="3">
      <alignment horizontal="left"/>
    </xf>
    <xf numFmtId="3" fontId="18" fillId="3" borderId="4">
      <alignment horizontal="right"/>
    </xf>
    <xf numFmtId="181" fontId="11" fillId="3" borderId="4">
      <alignment horizontal="right"/>
    </xf>
    <xf numFmtId="4" fontId="11" fillId="3" borderId="4">
      <alignment horizontal="right"/>
    </xf>
    <xf numFmtId="0" fontId="18" fillId="3" borderId="6"/>
    <xf numFmtId="0" fontId="19" fillId="3" borderId="6"/>
    <xf numFmtId="176" fontId="21" fillId="0" borderId="0" applyFont="0" applyFill="0" applyBorder="0" applyAlignment="0" applyProtection="0"/>
    <xf numFmtId="176" fontId="12" fillId="0" borderId="0" applyFont="0" applyFill="0" applyBorder="0" applyAlignment="0" applyProtection="0"/>
    <xf numFmtId="0" fontId="23" fillId="0" borderId="0"/>
    <xf numFmtId="0" fontId="12" fillId="0" borderId="0"/>
    <xf numFmtId="9" fontId="8" fillId="0" borderId="0" applyFont="0" applyFill="0" applyBorder="0" applyAlignment="0" applyProtection="0"/>
    <xf numFmtId="9" fontId="21" fillId="0" borderId="0" applyFont="0" applyFill="0" applyBorder="0" applyAlignment="0" applyProtection="0"/>
    <xf numFmtId="9" fontId="12" fillId="0" borderId="0" applyFont="0" applyFill="0" applyBorder="0" applyAlignment="0" applyProtection="0"/>
    <xf numFmtId="9" fontId="23" fillId="0" borderId="0" applyFont="0" applyFill="0" applyBorder="0" applyAlignment="0" applyProtection="0"/>
    <xf numFmtId="0" fontId="7" fillId="0" borderId="0"/>
    <xf numFmtId="0" fontId="7"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6" fillId="0" borderId="0"/>
    <xf numFmtId="9" fontId="6" fillId="0" borderId="0" applyFont="0" applyFill="0" applyBorder="0" applyAlignment="0" applyProtection="0"/>
    <xf numFmtId="0" fontId="5" fillId="0" borderId="0"/>
    <xf numFmtId="0" fontId="4" fillId="0" borderId="0"/>
    <xf numFmtId="9" fontId="4" fillId="0" borderId="0" applyFont="0" applyFill="0" applyBorder="0" applyAlignment="0" applyProtection="0"/>
    <xf numFmtId="9" fontId="3" fillId="0" borderId="0" applyFont="0" applyFill="0" applyBorder="0" applyAlignment="0" applyProtection="0"/>
    <xf numFmtId="0" fontId="2" fillId="0" borderId="0"/>
    <xf numFmtId="0" fontId="1" fillId="0" borderId="0"/>
    <xf numFmtId="0" fontId="1" fillId="46" borderId="236" applyNumberFormat="0" applyFont="0" applyAlignment="0" applyProtection="0"/>
    <xf numFmtId="0" fontId="94" fillId="0" borderId="0" applyNumberFormat="0" applyFill="0" applyBorder="0" applyAlignment="0" applyProtection="0"/>
  </cellStyleXfs>
  <cellXfs count="1354">
    <xf numFmtId="0" fontId="0" fillId="0" borderId="0" xfId="0"/>
    <xf numFmtId="0" fontId="0" fillId="0" borderId="0" xfId="0" applyAlignment="1">
      <alignment horizontal="center"/>
    </xf>
    <xf numFmtId="178" fontId="0" fillId="0" borderId="0" xfId="0" applyNumberFormat="1"/>
    <xf numFmtId="10" fontId="0" fillId="0" borderId="0" xfId="0" applyNumberFormat="1" applyAlignment="1">
      <alignment horizontal="center"/>
    </xf>
    <xf numFmtId="0" fontId="13" fillId="0" borderId="0" xfId="0" applyFont="1" applyAlignment="1">
      <alignment horizontal="center"/>
    </xf>
    <xf numFmtId="0" fontId="25" fillId="0" borderId="0" xfId="0" applyFont="1"/>
    <xf numFmtId="0" fontId="15" fillId="0" borderId="19" xfId="0" applyFont="1" applyBorder="1"/>
    <xf numFmtId="0" fontId="13" fillId="0" borderId="22" xfId="0" applyFont="1" applyBorder="1" applyAlignment="1">
      <alignment horizontal="center"/>
    </xf>
    <xf numFmtId="0" fontId="22" fillId="0" borderId="0" xfId="0" applyFont="1"/>
    <xf numFmtId="0" fontId="8" fillId="0" borderId="0" xfId="0" applyFont="1"/>
    <xf numFmtId="0" fontId="8" fillId="0" borderId="19" xfId="0" applyFont="1" applyBorder="1"/>
    <xf numFmtId="0" fontId="8" fillId="0" borderId="19" xfId="0" applyFont="1" applyBorder="1" applyAlignment="1">
      <alignment horizontal="left"/>
    </xf>
    <xf numFmtId="0" fontId="13" fillId="0" borderId="0" xfId="0" applyFont="1"/>
    <xf numFmtId="178" fontId="13" fillId="0" borderId="0" xfId="0" applyNumberFormat="1" applyFont="1" applyAlignment="1">
      <alignment horizontal="center"/>
    </xf>
    <xf numFmtId="9" fontId="13" fillId="0" borderId="0" xfId="14" applyFont="1"/>
    <xf numFmtId="9" fontId="8" fillId="7" borderId="19" xfId="14" applyFont="1" applyFill="1" applyBorder="1" applyAlignment="1">
      <alignment horizontal="center"/>
    </xf>
    <xf numFmtId="10" fontId="8" fillId="7" borderId="19" xfId="0" applyNumberFormat="1" applyFont="1" applyFill="1" applyBorder="1" applyAlignment="1">
      <alignment horizontal="center"/>
    </xf>
    <xf numFmtId="0" fontId="25" fillId="7" borderId="0" xfId="0" applyFont="1" applyFill="1"/>
    <xf numFmtId="0" fontId="31" fillId="0" borderId="0" xfId="0" applyFont="1"/>
    <xf numFmtId="0" fontId="25" fillId="7" borderId="0" xfId="0" applyFont="1" applyFill="1" applyAlignment="1">
      <alignment horizontal="center"/>
    </xf>
    <xf numFmtId="0" fontId="33" fillId="0" borderId="0" xfId="0" applyFont="1"/>
    <xf numFmtId="0" fontId="33" fillId="11" borderId="0" xfId="0" applyFont="1" applyFill="1"/>
    <xf numFmtId="3" fontId="33" fillId="0" borderId="0" xfId="0" applyNumberFormat="1" applyFont="1" applyAlignment="1">
      <alignment horizontal="center"/>
    </xf>
    <xf numFmtId="0" fontId="33" fillId="0" borderId="0" xfId="0" applyFont="1" applyAlignment="1">
      <alignment horizontal="left"/>
    </xf>
    <xf numFmtId="0" fontId="33" fillId="18" borderId="0" xfId="0" applyFont="1" applyFill="1"/>
    <xf numFmtId="3" fontId="33" fillId="18" borderId="0" xfId="0" applyNumberFormat="1" applyFont="1" applyFill="1" applyAlignment="1">
      <alignment horizontal="center"/>
    </xf>
    <xf numFmtId="0" fontId="0" fillId="11" borderId="0" xfId="0" applyFill="1"/>
    <xf numFmtId="3" fontId="33" fillId="0" borderId="0" xfId="0" applyNumberFormat="1" applyFont="1"/>
    <xf numFmtId="3" fontId="34" fillId="18" borderId="0" xfId="0" applyNumberFormat="1" applyFont="1" applyFill="1" applyAlignment="1">
      <alignment horizontal="center"/>
    </xf>
    <xf numFmtId="3" fontId="33" fillId="11" borderId="0" xfId="0" applyNumberFormat="1" applyFont="1" applyFill="1" applyAlignment="1">
      <alignment horizontal="center"/>
    </xf>
    <xf numFmtId="3" fontId="34" fillId="11" borderId="0" xfId="0" applyNumberFormat="1" applyFont="1" applyFill="1" applyAlignment="1">
      <alignment horizontal="center"/>
    </xf>
    <xf numFmtId="0" fontId="19" fillId="3" borderId="6" xfId="9"/>
    <xf numFmtId="0" fontId="0" fillId="19" borderId="0" xfId="0" applyFill="1"/>
    <xf numFmtId="3" fontId="22" fillId="0" borderId="0" xfId="0" applyNumberFormat="1" applyFont="1" applyAlignment="1">
      <alignment horizontal="center"/>
    </xf>
    <xf numFmtId="3" fontId="22" fillId="0" borderId="0" xfId="0" applyNumberFormat="1" applyFont="1"/>
    <xf numFmtId="0" fontId="0" fillId="20" borderId="0" xfId="0" applyFill="1"/>
    <xf numFmtId="3" fontId="22" fillId="18" borderId="0" xfId="0" applyNumberFormat="1" applyFont="1" applyFill="1" applyAlignment="1">
      <alignment horizontal="center"/>
    </xf>
    <xf numFmtId="0" fontId="22" fillId="18" borderId="0" xfId="0" applyFont="1" applyFill="1"/>
    <xf numFmtId="0" fontId="0" fillId="21" borderId="0" xfId="0" applyFill="1"/>
    <xf numFmtId="181" fontId="33" fillId="0" borderId="0" xfId="0" applyNumberFormat="1" applyFont="1" applyAlignment="1">
      <alignment horizontal="center"/>
    </xf>
    <xf numFmtId="9" fontId="0" fillId="7" borderId="19" xfId="14" applyFont="1" applyFill="1" applyBorder="1" applyAlignment="1">
      <alignment horizontal="center"/>
    </xf>
    <xf numFmtId="0" fontId="0" fillId="0" borderId="43" xfId="0" applyBorder="1"/>
    <xf numFmtId="0" fontId="36" fillId="0" borderId="0" xfId="0" applyFont="1"/>
    <xf numFmtId="0" fontId="37" fillId="0" borderId="0" xfId="0" applyFont="1"/>
    <xf numFmtId="0" fontId="38" fillId="0" borderId="0" xfId="0" applyFont="1" applyAlignment="1">
      <alignment horizontal="center"/>
    </xf>
    <xf numFmtId="180" fontId="37" fillId="0" borderId="0" xfId="0" applyNumberFormat="1" applyFont="1" applyAlignment="1">
      <alignment horizontal="center"/>
    </xf>
    <xf numFmtId="0" fontId="39" fillId="0" borderId="0" xfId="0" applyFont="1"/>
    <xf numFmtId="0" fontId="40" fillId="0" borderId="0" xfId="0" applyFont="1"/>
    <xf numFmtId="0" fontId="0" fillId="0" borderId="12" xfId="0" applyBorder="1"/>
    <xf numFmtId="0" fontId="22" fillId="0" borderId="0" xfId="0" applyFont="1" applyAlignment="1">
      <alignment horizontal="center"/>
    </xf>
    <xf numFmtId="0" fontId="37" fillId="0" borderId="0" xfId="0" applyFont="1" applyAlignment="1">
      <alignment horizontal="center"/>
    </xf>
    <xf numFmtId="178" fontId="8" fillId="23" borderId="19" xfId="0" applyNumberFormat="1" applyFont="1" applyFill="1" applyBorder="1" applyAlignment="1">
      <alignment horizontal="center"/>
    </xf>
    <xf numFmtId="0" fontId="38" fillId="16" borderId="0" xfId="0" applyFont="1" applyFill="1" applyAlignment="1">
      <alignment horizontal="center"/>
    </xf>
    <xf numFmtId="3" fontId="0" fillId="24" borderId="1" xfId="0" applyNumberFormat="1" applyFill="1" applyBorder="1" applyAlignment="1">
      <alignment horizontal="center"/>
    </xf>
    <xf numFmtId="3" fontId="0" fillId="24" borderId="45" xfId="0" applyNumberFormat="1" applyFill="1" applyBorder="1" applyAlignment="1">
      <alignment horizontal="center"/>
    </xf>
    <xf numFmtId="179" fontId="13" fillId="25" borderId="1" xfId="14" applyNumberFormat="1" applyFont="1" applyFill="1" applyBorder="1" applyAlignment="1">
      <alignment horizontal="center"/>
    </xf>
    <xf numFmtId="179" fontId="13" fillId="25" borderId="45" xfId="14" applyNumberFormat="1" applyFont="1" applyFill="1" applyBorder="1" applyAlignment="1">
      <alignment horizontal="center"/>
    </xf>
    <xf numFmtId="3" fontId="0" fillId="24" borderId="1" xfId="14" applyNumberFormat="1" applyFont="1" applyFill="1" applyBorder="1" applyAlignment="1">
      <alignment horizontal="center"/>
    </xf>
    <xf numFmtId="3" fontId="0" fillId="24" borderId="45" xfId="14" applyNumberFormat="1" applyFont="1" applyFill="1" applyBorder="1" applyAlignment="1">
      <alignment horizontal="center"/>
    </xf>
    <xf numFmtId="3" fontId="13" fillId="26" borderId="1" xfId="14" applyNumberFormat="1" applyFont="1" applyFill="1" applyBorder="1" applyAlignment="1">
      <alignment horizontal="center"/>
    </xf>
    <xf numFmtId="3" fontId="0" fillId="0" borderId="0" xfId="0" applyNumberFormat="1" applyAlignment="1">
      <alignment horizontal="center"/>
    </xf>
    <xf numFmtId="181" fontId="33" fillId="18" borderId="0" xfId="0" applyNumberFormat="1" applyFont="1" applyFill="1" applyAlignment="1">
      <alignment horizontal="center"/>
    </xf>
    <xf numFmtId="0" fontId="33" fillId="18" borderId="0" xfId="0" applyFont="1" applyFill="1" applyAlignment="1">
      <alignment horizontal="center"/>
    </xf>
    <xf numFmtId="179" fontId="33" fillId="18" borderId="0" xfId="0" applyNumberFormat="1" applyFont="1" applyFill="1" applyAlignment="1">
      <alignment horizontal="center"/>
    </xf>
    <xf numFmtId="9" fontId="33" fillId="0" borderId="0" xfId="14" applyFont="1" applyFill="1" applyAlignment="1">
      <alignment horizontal="center"/>
    </xf>
    <xf numFmtId="179" fontId="33" fillId="0" borderId="0" xfId="14" applyNumberFormat="1" applyFont="1" applyFill="1" applyAlignment="1">
      <alignment horizontal="center"/>
    </xf>
    <xf numFmtId="9" fontId="33" fillId="0" borderId="0" xfId="20" applyFont="1" applyFill="1" applyAlignment="1">
      <alignment horizontal="center"/>
    </xf>
    <xf numFmtId="183" fontId="8" fillId="23" borderId="19" xfId="0" applyNumberFormat="1" applyFont="1" applyFill="1" applyBorder="1" applyAlignment="1">
      <alignment horizontal="center"/>
    </xf>
    <xf numFmtId="179" fontId="31" fillId="23" borderId="19" xfId="14" applyNumberFormat="1" applyFont="1" applyFill="1" applyBorder="1" applyAlignment="1">
      <alignment horizontal="center"/>
    </xf>
    <xf numFmtId="0" fontId="13" fillId="0" borderId="37" xfId="0" applyFont="1" applyBorder="1"/>
    <xf numFmtId="0" fontId="17" fillId="4" borderId="8" xfId="4" applyFill="1" applyBorder="1" applyAlignment="1"/>
    <xf numFmtId="0" fontId="8" fillId="0" borderId="0" xfId="24"/>
    <xf numFmtId="0" fontId="26" fillId="4" borderId="7" xfId="24" applyFont="1" applyFill="1" applyBorder="1" applyAlignment="1">
      <alignment horizontal="center"/>
    </xf>
    <xf numFmtId="0" fontId="26" fillId="4" borderId="11" xfId="24" applyFont="1" applyFill="1" applyBorder="1" applyAlignment="1">
      <alignment horizontal="center"/>
    </xf>
    <xf numFmtId="0" fontId="28" fillId="3" borderId="10" xfId="9" applyFont="1" applyBorder="1"/>
    <xf numFmtId="0" fontId="8" fillId="0" borderId="0" xfId="24" applyAlignment="1">
      <alignment vertical="center"/>
    </xf>
    <xf numFmtId="0" fontId="28" fillId="3" borderId="13" xfId="9" applyFont="1" applyBorder="1"/>
    <xf numFmtId="0" fontId="28" fillId="0" borderId="10" xfId="9" applyFont="1" applyFill="1" applyBorder="1"/>
    <xf numFmtId="0" fontId="26" fillId="28" borderId="0" xfId="24" applyFont="1" applyFill="1" applyAlignment="1">
      <alignment horizontal="center" vertical="center"/>
    </xf>
    <xf numFmtId="0" fontId="27" fillId="0" borderId="9" xfId="8" applyFont="1" applyFill="1" applyBorder="1"/>
    <xf numFmtId="0" fontId="19" fillId="3" borderId="13" xfId="9" applyBorder="1"/>
    <xf numFmtId="0" fontId="19" fillId="3" borderId="10" xfId="9" applyBorder="1"/>
    <xf numFmtId="0" fontId="25" fillId="0" borderId="0" xfId="24" applyFont="1"/>
    <xf numFmtId="0" fontId="13" fillId="0" borderId="32" xfId="0" applyFont="1" applyBorder="1"/>
    <xf numFmtId="0" fontId="13" fillId="0" borderId="38" xfId="0" applyFont="1" applyBorder="1"/>
    <xf numFmtId="0" fontId="0" fillId="0" borderId="4" xfId="0" applyBorder="1"/>
    <xf numFmtId="0" fontId="0" fillId="0" borderId="6" xfId="0" applyBorder="1"/>
    <xf numFmtId="0" fontId="0" fillId="0" borderId="36" xfId="0" applyBorder="1"/>
    <xf numFmtId="0" fontId="0" fillId="0" borderId="2" xfId="0" applyBorder="1"/>
    <xf numFmtId="0" fontId="0" fillId="0" borderId="37" xfId="0" applyBorder="1"/>
    <xf numFmtId="0" fontId="0" fillId="0" borderId="32" xfId="0" applyBorder="1"/>
    <xf numFmtId="0" fontId="0" fillId="0" borderId="38" xfId="0" applyBorder="1"/>
    <xf numFmtId="0" fontId="13" fillId="0" borderId="44" xfId="0" applyFont="1" applyBorder="1"/>
    <xf numFmtId="0" fontId="13" fillId="0" borderId="1" xfId="0" applyFont="1" applyBorder="1"/>
    <xf numFmtId="0" fontId="13" fillId="0" borderId="45" xfId="0" applyFont="1" applyBorder="1"/>
    <xf numFmtId="0" fontId="0" fillId="7" borderId="0" xfId="0" applyFill="1"/>
    <xf numFmtId="0" fontId="33" fillId="18" borderId="0" xfId="0" applyFont="1" applyFill="1" applyAlignment="1">
      <alignment horizontal="left" indent="1"/>
    </xf>
    <xf numFmtId="181" fontId="33" fillId="18" borderId="0" xfId="0" applyNumberFormat="1" applyFont="1" applyFill="1" applyAlignment="1">
      <alignment horizontal="left" indent="1"/>
    </xf>
    <xf numFmtId="0" fontId="33" fillId="29" borderId="0" xfId="0" applyFont="1" applyFill="1" applyAlignment="1">
      <alignment horizontal="left" indent="1"/>
    </xf>
    <xf numFmtId="0" fontId="22" fillId="0" borderId="0" xfId="0" applyFont="1" applyAlignment="1">
      <alignment horizontal="left"/>
    </xf>
    <xf numFmtId="0" fontId="26" fillId="31" borderId="28" xfId="0" applyFont="1" applyFill="1" applyBorder="1" applyAlignment="1">
      <alignment horizontal="center"/>
    </xf>
    <xf numFmtId="0" fontId="26" fillId="31" borderId="25" xfId="0" applyFont="1" applyFill="1" applyBorder="1" applyAlignment="1">
      <alignment horizontal="center"/>
    </xf>
    <xf numFmtId="9" fontId="31" fillId="7" borderId="52" xfId="14" applyFont="1" applyFill="1" applyBorder="1" applyAlignment="1">
      <alignment horizontal="center"/>
    </xf>
    <xf numFmtId="9" fontId="8" fillId="7" borderId="52" xfId="14" applyFont="1" applyFill="1" applyBorder="1" applyAlignment="1">
      <alignment horizontal="center"/>
    </xf>
    <xf numFmtId="0" fontId="13" fillId="0" borderId="52" xfId="0" applyFont="1" applyBorder="1" applyAlignment="1">
      <alignment horizontal="center"/>
    </xf>
    <xf numFmtId="179" fontId="31" fillId="23" borderId="52" xfId="14" applyNumberFormat="1" applyFont="1" applyFill="1" applyBorder="1" applyAlignment="1">
      <alignment horizontal="center"/>
    </xf>
    <xf numFmtId="0" fontId="26" fillId="31" borderId="19" xfId="0" applyFont="1" applyFill="1" applyBorder="1" applyAlignment="1">
      <alignment horizontal="center" vertical="center" wrapText="1"/>
    </xf>
    <xf numFmtId="0" fontId="26" fillId="31" borderId="19" xfId="0" applyFont="1" applyFill="1" applyBorder="1" applyAlignment="1">
      <alignment horizontal="center"/>
    </xf>
    <xf numFmtId="0" fontId="26" fillId="31" borderId="52" xfId="0" applyFont="1" applyFill="1" applyBorder="1" applyAlignment="1">
      <alignment horizontal="center"/>
    </xf>
    <xf numFmtId="3" fontId="8" fillId="0" borderId="0" xfId="0" applyNumberFormat="1" applyFont="1"/>
    <xf numFmtId="0" fontId="8" fillId="16" borderId="44" xfId="0" applyFont="1" applyFill="1" applyBorder="1"/>
    <xf numFmtId="0" fontId="8" fillId="0" borderId="44" xfId="0" applyFont="1" applyBorder="1" applyAlignment="1">
      <alignment horizontal="left" indent="1"/>
    </xf>
    <xf numFmtId="0" fontId="8" fillId="0" borderId="44" xfId="0" applyFont="1" applyBorder="1" applyAlignment="1">
      <alignment horizontal="left"/>
    </xf>
    <xf numFmtId="0" fontId="8" fillId="16" borderId="44" xfId="0" applyFont="1" applyFill="1" applyBorder="1" applyAlignment="1">
      <alignment horizontal="left" indent="1"/>
    </xf>
    <xf numFmtId="0" fontId="13" fillId="0" borderId="44" xfId="0" applyFont="1" applyBorder="1" applyAlignment="1">
      <alignment horizontal="left"/>
    </xf>
    <xf numFmtId="0" fontId="13" fillId="16" borderId="44" xfId="0" applyFont="1" applyFill="1" applyBorder="1"/>
    <xf numFmtId="0" fontId="8" fillId="0" borderId="44" xfId="0" applyFont="1" applyBorder="1"/>
    <xf numFmtId="184" fontId="8" fillId="23" borderId="19" xfId="0" applyNumberFormat="1" applyFont="1" applyFill="1" applyBorder="1" applyAlignment="1">
      <alignment horizontal="center"/>
    </xf>
    <xf numFmtId="9" fontId="8" fillId="23" borderId="19" xfId="14" applyFont="1" applyFill="1" applyBorder="1" applyAlignment="1">
      <alignment horizontal="center"/>
    </xf>
    <xf numFmtId="183" fontId="8" fillId="0" borderId="19" xfId="0" applyNumberFormat="1" applyFont="1" applyBorder="1" applyAlignment="1">
      <alignment horizontal="center"/>
    </xf>
    <xf numFmtId="178" fontId="8" fillId="6" borderId="19" xfId="0" applyNumberFormat="1" applyFont="1" applyFill="1" applyBorder="1" applyAlignment="1">
      <alignment horizontal="center"/>
    </xf>
    <xf numFmtId="4" fontId="8" fillId="6" borderId="19" xfId="0" applyNumberFormat="1" applyFont="1" applyFill="1" applyBorder="1" applyAlignment="1">
      <alignment horizontal="center"/>
    </xf>
    <xf numFmtId="9" fontId="31" fillId="6" borderId="52" xfId="14" applyFont="1" applyFill="1" applyBorder="1" applyAlignment="1">
      <alignment horizontal="center"/>
    </xf>
    <xf numFmtId="0" fontId="8" fillId="6" borderId="19" xfId="0" applyFont="1" applyFill="1" applyBorder="1"/>
    <xf numFmtId="9" fontId="8" fillId="6" borderId="19" xfId="14" applyFont="1" applyFill="1" applyBorder="1" applyAlignment="1">
      <alignment horizontal="center"/>
    </xf>
    <xf numFmtId="179" fontId="8" fillId="6" borderId="19" xfId="14" applyNumberFormat="1" applyFont="1" applyFill="1" applyBorder="1" applyAlignment="1">
      <alignment horizontal="center"/>
    </xf>
    <xf numFmtId="9" fontId="8" fillId="6" borderId="19" xfId="14" applyFont="1" applyFill="1" applyBorder="1"/>
    <xf numFmtId="184" fontId="31" fillId="7" borderId="52" xfId="14" applyNumberFormat="1" applyFont="1" applyFill="1" applyBorder="1" applyAlignment="1">
      <alignment horizontal="center"/>
    </xf>
    <xf numFmtId="184" fontId="8" fillId="7" borderId="52" xfId="0" applyNumberFormat="1" applyFont="1" applyFill="1" applyBorder="1" applyAlignment="1">
      <alignment horizontal="center"/>
    </xf>
    <xf numFmtId="0" fontId="45" fillId="31" borderId="52" xfId="0" applyFont="1" applyFill="1" applyBorder="1" applyAlignment="1">
      <alignment horizontal="center"/>
    </xf>
    <xf numFmtId="0" fontId="46" fillId="31" borderId="52" xfId="0" applyFont="1" applyFill="1" applyBorder="1" applyAlignment="1">
      <alignment horizontal="center"/>
    </xf>
    <xf numFmtId="178" fontId="13" fillId="23" borderId="19" xfId="0" applyNumberFormat="1" applyFont="1" applyFill="1" applyBorder="1" applyAlignment="1">
      <alignment horizontal="center"/>
    </xf>
    <xf numFmtId="0" fontId="13" fillId="13" borderId="12" xfId="0" applyFont="1" applyFill="1" applyBorder="1" applyAlignment="1">
      <alignment horizontal="center"/>
    </xf>
    <xf numFmtId="0" fontId="0" fillId="0" borderId="50" xfId="0" applyBorder="1"/>
    <xf numFmtId="0" fontId="0" fillId="0" borderId="68" xfId="0" applyBorder="1"/>
    <xf numFmtId="0" fontId="13" fillId="0" borderId="83" xfId="0" applyFont="1" applyBorder="1" applyAlignment="1">
      <alignment horizontal="left"/>
    </xf>
    <xf numFmtId="0" fontId="13" fillId="0" borderId="84" xfId="0" applyFont="1" applyBorder="1" applyAlignment="1">
      <alignment horizontal="left"/>
    </xf>
    <xf numFmtId="178" fontId="13" fillId="0" borderId="73" xfId="0" applyNumberFormat="1" applyFont="1" applyBorder="1" applyAlignment="1">
      <alignment horizontal="center"/>
    </xf>
    <xf numFmtId="9" fontId="0" fillId="0" borderId="84" xfId="14" applyFont="1" applyBorder="1"/>
    <xf numFmtId="9" fontId="0" fillId="0" borderId="85" xfId="14" applyFont="1" applyBorder="1"/>
    <xf numFmtId="0" fontId="13" fillId="0" borderId="83" xfId="0" applyFont="1" applyBorder="1" applyAlignment="1">
      <alignment horizontal="center"/>
    </xf>
    <xf numFmtId="9" fontId="0" fillId="0" borderId="64" xfId="0" applyNumberFormat="1" applyBorder="1"/>
    <xf numFmtId="178" fontId="0" fillId="0" borderId="78" xfId="0" applyNumberFormat="1" applyBorder="1" applyAlignment="1">
      <alignment horizontal="center"/>
    </xf>
    <xf numFmtId="178" fontId="0" fillId="0" borderId="81" xfId="0" applyNumberFormat="1" applyBorder="1" applyAlignment="1">
      <alignment horizontal="center"/>
    </xf>
    <xf numFmtId="0" fontId="0" fillId="32" borderId="86" xfId="0" applyFill="1" applyBorder="1"/>
    <xf numFmtId="0" fontId="0" fillId="32" borderId="87" xfId="0" applyFill="1" applyBorder="1"/>
    <xf numFmtId="10" fontId="0" fillId="32" borderId="87" xfId="0" applyNumberFormat="1" applyFill="1" applyBorder="1"/>
    <xf numFmtId="10" fontId="0" fillId="32" borderId="88" xfId="0" applyNumberFormat="1" applyFill="1" applyBorder="1"/>
    <xf numFmtId="0" fontId="13" fillId="7" borderId="39" xfId="0" applyFont="1" applyFill="1" applyBorder="1" applyAlignment="1">
      <alignment horizontal="center"/>
    </xf>
    <xf numFmtId="9" fontId="0" fillId="0" borderId="89" xfId="14" applyFont="1" applyBorder="1"/>
    <xf numFmtId="0" fontId="13" fillId="0" borderId="89" xfId="0" applyFont="1" applyBorder="1"/>
    <xf numFmtId="0" fontId="13" fillId="13" borderId="63" xfId="0" applyFont="1" applyFill="1" applyBorder="1" applyAlignment="1">
      <alignment horizontal="center"/>
    </xf>
    <xf numFmtId="9" fontId="13" fillId="13" borderId="63" xfId="14" applyFont="1" applyFill="1" applyBorder="1" applyAlignment="1">
      <alignment horizontal="center"/>
    </xf>
    <xf numFmtId="0" fontId="13" fillId="0" borderId="63" xfId="0" applyFont="1" applyBorder="1" applyAlignment="1">
      <alignment horizontal="center"/>
    </xf>
    <xf numFmtId="0" fontId="13" fillId="0" borderId="92" xfId="0" applyFont="1" applyBorder="1"/>
    <xf numFmtId="0" fontId="13" fillId="0" borderId="91" xfId="0" applyFont="1" applyBorder="1" applyAlignment="1">
      <alignment horizontal="center"/>
    </xf>
    <xf numFmtId="0" fontId="0" fillId="0" borderId="65" xfId="0" applyBorder="1"/>
    <xf numFmtId="0" fontId="10" fillId="0" borderId="66" xfId="34" applyFont="1" applyBorder="1" applyAlignment="1" applyProtection="1">
      <alignment horizontal="center"/>
    </xf>
    <xf numFmtId="0" fontId="0" fillId="0" borderId="66" xfId="0" applyBorder="1" applyAlignment="1">
      <alignment horizontal="center"/>
    </xf>
    <xf numFmtId="0" fontId="0" fillId="0" borderId="66" xfId="0" applyBorder="1"/>
    <xf numFmtId="0" fontId="0" fillId="0" borderId="67" xfId="0" applyBorder="1"/>
    <xf numFmtId="0" fontId="0" fillId="0" borderId="51" xfId="0" applyBorder="1"/>
    <xf numFmtId="0" fontId="0" fillId="0" borderId="73" xfId="0" applyBorder="1"/>
    <xf numFmtId="9" fontId="0" fillId="0" borderId="0" xfId="0" applyNumberFormat="1"/>
    <xf numFmtId="0" fontId="13" fillId="13" borderId="88" xfId="0" applyFont="1" applyFill="1" applyBorder="1" applyAlignment="1">
      <alignment horizontal="center"/>
    </xf>
    <xf numFmtId="0" fontId="0" fillId="32" borderId="70" xfId="0" applyFill="1" applyBorder="1"/>
    <xf numFmtId="0" fontId="0" fillId="32" borderId="72" xfId="0" applyFill="1" applyBorder="1"/>
    <xf numFmtId="184" fontId="0" fillId="0" borderId="95" xfId="0" applyNumberFormat="1" applyBorder="1" applyAlignment="1">
      <alignment horizontal="center"/>
    </xf>
    <xf numFmtId="0" fontId="0" fillId="30" borderId="71" xfId="0" applyFill="1" applyBorder="1"/>
    <xf numFmtId="0" fontId="26" fillId="30" borderId="71" xfId="0" applyFont="1" applyFill="1" applyBorder="1" applyAlignment="1">
      <alignment horizontal="left"/>
    </xf>
    <xf numFmtId="9" fontId="0" fillId="30" borderId="71" xfId="14" applyFont="1" applyFill="1" applyBorder="1" applyAlignment="1">
      <alignment horizontal="center" vertical="center"/>
    </xf>
    <xf numFmtId="182" fontId="26" fillId="30" borderId="72" xfId="0" applyNumberFormat="1" applyFont="1" applyFill="1" applyBorder="1" applyAlignment="1">
      <alignment horizontal="center" vertical="center"/>
    </xf>
    <xf numFmtId="0" fontId="13" fillId="16" borderId="101" xfId="0" applyFont="1" applyFill="1" applyBorder="1"/>
    <xf numFmtId="0" fontId="13" fillId="16" borderId="103" xfId="0" applyFont="1" applyFill="1" applyBorder="1"/>
    <xf numFmtId="0" fontId="26" fillId="31" borderId="106" xfId="0" applyFont="1" applyFill="1" applyBorder="1" applyAlignment="1">
      <alignment horizontal="center"/>
    </xf>
    <xf numFmtId="0" fontId="0" fillId="31" borderId="107" xfId="0" applyFill="1" applyBorder="1"/>
    <xf numFmtId="0" fontId="0" fillId="31" borderId="108" xfId="0" applyFill="1" applyBorder="1"/>
    <xf numFmtId="0" fontId="13" fillId="0" borderId="99" xfId="0" applyFont="1" applyBorder="1" applyAlignment="1">
      <alignment horizontal="left" vertical="center"/>
    </xf>
    <xf numFmtId="0" fontId="44" fillId="4" borderId="70" xfId="0" applyFont="1" applyFill="1" applyBorder="1" applyAlignment="1">
      <alignment horizontal="left" vertical="center"/>
    </xf>
    <xf numFmtId="0" fontId="44" fillId="30" borderId="70" xfId="0" applyFont="1" applyFill="1" applyBorder="1" applyAlignment="1">
      <alignment horizontal="left" vertical="center"/>
    </xf>
    <xf numFmtId="0" fontId="44" fillId="12" borderId="72" xfId="0" applyFont="1" applyFill="1" applyBorder="1" applyAlignment="1">
      <alignment horizontal="center"/>
    </xf>
    <xf numFmtId="0" fontId="13" fillId="7" borderId="99" xfId="0" applyFont="1" applyFill="1" applyBorder="1" applyAlignment="1">
      <alignment horizontal="left" vertical="center"/>
    </xf>
    <xf numFmtId="0" fontId="13" fillId="7" borderId="101" xfId="0" applyFont="1" applyFill="1" applyBorder="1" applyAlignment="1">
      <alignment horizontal="left" vertical="center"/>
    </xf>
    <xf numFmtId="0" fontId="0" fillId="30" borderId="71" xfId="0" applyFill="1" applyBorder="1" applyAlignment="1">
      <alignment horizontal="center"/>
    </xf>
    <xf numFmtId="0" fontId="8" fillId="0" borderId="65" xfId="0" applyFont="1" applyBorder="1"/>
    <xf numFmtId="0" fontId="47" fillId="4" borderId="62" xfId="0" applyFont="1" applyFill="1" applyBorder="1" applyAlignment="1">
      <alignment horizontal="center"/>
    </xf>
    <xf numFmtId="0" fontId="47" fillId="4" borderId="62" xfId="0" applyFont="1" applyFill="1" applyBorder="1"/>
    <xf numFmtId="0" fontId="0" fillId="0" borderId="62" xfId="0" applyBorder="1"/>
    <xf numFmtId="0" fontId="28" fillId="0" borderId="10" xfId="24" applyFont="1" applyBorder="1" applyAlignment="1">
      <alignment horizontal="center"/>
    </xf>
    <xf numFmtId="0" fontId="28" fillId="0" borderId="16" xfId="24" applyFont="1" applyBorder="1" applyAlignment="1">
      <alignment horizontal="center"/>
    </xf>
    <xf numFmtId="0" fontId="28" fillId="0" borderId="10" xfId="24" applyFont="1" applyBorder="1" applyAlignment="1">
      <alignment horizontal="center" vertical="center"/>
    </xf>
    <xf numFmtId="0" fontId="28" fillId="0" borderId="16" xfId="24" applyFont="1" applyBorder="1" applyAlignment="1">
      <alignment horizontal="center" vertical="center"/>
    </xf>
    <xf numFmtId="0" fontId="28" fillId="0" borderId="14" xfId="24" applyFont="1" applyBorder="1" applyAlignment="1">
      <alignment horizontal="center"/>
    </xf>
    <xf numFmtId="0" fontId="28" fillId="0" borderId="17" xfId="24" applyFont="1" applyBorder="1" applyAlignment="1">
      <alignment horizontal="center"/>
    </xf>
    <xf numFmtId="0" fontId="48" fillId="4" borderId="112" xfId="4" applyFont="1" applyFill="1" applyBorder="1" applyAlignment="1">
      <alignment horizontal="center" vertical="center"/>
    </xf>
    <xf numFmtId="0" fontId="48" fillId="4" borderId="112" xfId="3" applyFont="1" applyFill="1" applyBorder="1" applyAlignment="1">
      <alignment horizontal="center" vertical="center" wrapText="1"/>
    </xf>
    <xf numFmtId="0" fontId="48" fillId="4" borderId="112" xfId="3" applyFont="1" applyFill="1" applyBorder="1" applyAlignment="1">
      <alignment horizontal="center" vertical="center"/>
    </xf>
    <xf numFmtId="0" fontId="8" fillId="3" borderId="112" xfId="9" applyFont="1" applyBorder="1" applyAlignment="1">
      <alignment horizontal="center" vertical="center"/>
    </xf>
    <xf numFmtId="181" fontId="8" fillId="7" borderId="112" xfId="6" applyFont="1" applyFill="1" applyBorder="1" applyAlignment="1">
      <alignment horizontal="right" vertical="center" wrapText="1"/>
    </xf>
    <xf numFmtId="0" fontId="28" fillId="3" borderId="112" xfId="9" applyFont="1" applyBorder="1" applyAlignment="1">
      <alignment vertical="center"/>
    </xf>
    <xf numFmtId="181" fontId="8" fillId="3" borderId="112" xfId="6" applyFont="1" applyBorder="1" applyAlignment="1">
      <alignment horizontal="right" vertical="center" wrapText="1"/>
    </xf>
    <xf numFmtId="0" fontId="28" fillId="3" borderId="112" xfId="9" applyFont="1" applyBorder="1" applyAlignment="1">
      <alignment horizontal="center" vertical="center"/>
    </xf>
    <xf numFmtId="3" fontId="13" fillId="33" borderId="114" xfId="5" applyFont="1" applyFill="1" applyBorder="1" applyAlignment="1">
      <alignment horizontal="center" vertical="center"/>
    </xf>
    <xf numFmtId="0" fontId="13" fillId="0" borderId="0" xfId="24" applyFont="1" applyAlignment="1">
      <alignment vertical="center"/>
    </xf>
    <xf numFmtId="0" fontId="8" fillId="11" borderId="0" xfId="24" applyFill="1" applyAlignment="1">
      <alignment vertical="center"/>
    </xf>
    <xf numFmtId="0" fontId="27" fillId="0" borderId="112" xfId="8" applyFont="1" applyFill="1" applyBorder="1" applyAlignment="1">
      <alignment horizontal="center" vertical="center"/>
    </xf>
    <xf numFmtId="3" fontId="49" fillId="33" borderId="113" xfId="5" applyFont="1" applyFill="1" applyBorder="1" applyAlignment="1">
      <alignment horizontal="right" vertical="center"/>
    </xf>
    <xf numFmtId="3" fontId="49" fillId="33" borderId="114" xfId="5" applyFont="1" applyFill="1" applyBorder="1" applyAlignment="1">
      <alignment horizontal="right" vertical="center"/>
    </xf>
    <xf numFmtId="3" fontId="49" fillId="33" borderId="115" xfId="5" applyFont="1" applyFill="1" applyBorder="1" applyAlignment="1">
      <alignment horizontal="right" vertical="center"/>
    </xf>
    <xf numFmtId="181" fontId="8" fillId="3" borderId="112" xfId="6" applyFont="1" applyBorder="1" applyAlignment="1">
      <alignment horizontal="center" vertical="center"/>
    </xf>
    <xf numFmtId="4" fontId="30" fillId="0" borderId="112" xfId="7" applyFont="1" applyFill="1" applyBorder="1" applyAlignment="1">
      <alignment horizontal="right" vertical="center"/>
    </xf>
    <xf numFmtId="0" fontId="0" fillId="33" borderId="114" xfId="0" applyFill="1" applyBorder="1" applyAlignment="1">
      <alignment horizontal="center" vertical="center"/>
    </xf>
    <xf numFmtId="4" fontId="8" fillId="33" borderId="114" xfId="7" applyFont="1" applyFill="1" applyBorder="1" applyAlignment="1">
      <alignment horizontal="right" vertical="center"/>
    </xf>
    <xf numFmtId="3" fontId="13" fillId="33" borderId="115" xfId="5" applyFont="1" applyFill="1" applyBorder="1" applyAlignment="1">
      <alignment horizontal="right" vertical="center" wrapText="1"/>
    </xf>
    <xf numFmtId="4" fontId="8" fillId="7" borderId="112" xfId="7" applyFont="1" applyFill="1" applyBorder="1" applyAlignment="1">
      <alignment horizontal="right" vertical="center" wrapText="1"/>
    </xf>
    <xf numFmtId="4" fontId="8" fillId="3" borderId="112" xfId="7" applyFont="1" applyBorder="1" applyAlignment="1">
      <alignment horizontal="center" vertical="center"/>
    </xf>
    <xf numFmtId="4" fontId="8" fillId="3" borderId="112" xfId="7" applyFont="1" applyBorder="1" applyAlignment="1">
      <alignment horizontal="right" vertical="center" wrapText="1"/>
    </xf>
    <xf numFmtId="0" fontId="28" fillId="0" borderId="112" xfId="9" applyFont="1" applyFill="1" applyBorder="1" applyAlignment="1">
      <alignment vertical="center"/>
    </xf>
    <xf numFmtId="0" fontId="8" fillId="0" borderId="112" xfId="9" applyFont="1" applyFill="1" applyBorder="1" applyAlignment="1">
      <alignment horizontal="center" vertical="center"/>
    </xf>
    <xf numFmtId="0" fontId="8" fillId="0" borderId="112" xfId="25" applyFont="1" applyBorder="1" applyAlignment="1">
      <alignment horizontal="right" vertical="center" wrapText="1"/>
    </xf>
    <xf numFmtId="3" fontId="13" fillId="33" borderId="113" xfId="5" applyFont="1" applyFill="1" applyBorder="1" applyAlignment="1">
      <alignment horizontal="right" vertical="center"/>
    </xf>
    <xf numFmtId="4" fontId="8" fillId="5" borderId="112" xfId="7" applyFont="1" applyFill="1" applyBorder="1" applyAlignment="1">
      <alignment horizontal="right" vertical="center"/>
    </xf>
    <xf numFmtId="4" fontId="8" fillId="5" borderId="112" xfId="7" applyFont="1" applyFill="1" applyBorder="1" applyAlignment="1">
      <alignment horizontal="center" vertical="center"/>
    </xf>
    <xf numFmtId="4" fontId="8" fillId="0" borderId="112" xfId="7" applyFont="1" applyFill="1" applyBorder="1" applyAlignment="1">
      <alignment horizontal="right" vertical="center" wrapText="1"/>
    </xf>
    <xf numFmtId="0" fontId="28" fillId="3" borderId="112" xfId="9" applyFont="1" applyBorder="1" applyAlignment="1">
      <alignment vertical="center" wrapText="1"/>
    </xf>
    <xf numFmtId="4" fontId="8" fillId="0" borderId="112" xfId="7" applyFont="1" applyFill="1" applyBorder="1" applyAlignment="1">
      <alignment horizontal="center" vertical="center"/>
    </xf>
    <xf numFmtId="0" fontId="48" fillId="31" borderId="112" xfId="3" applyFont="1" applyFill="1" applyBorder="1" applyAlignment="1">
      <alignment horizontal="center" vertical="center" wrapText="1"/>
    </xf>
    <xf numFmtId="0" fontId="8" fillId="0" borderId="112" xfId="24" applyBorder="1"/>
    <xf numFmtId="0" fontId="8" fillId="0" borderId="112" xfId="24" applyBorder="1" applyAlignment="1">
      <alignment vertical="center"/>
    </xf>
    <xf numFmtId="0" fontId="33" fillId="11" borderId="112" xfId="24" applyFont="1" applyFill="1" applyBorder="1" applyAlignment="1">
      <alignment horizontal="center" vertical="center"/>
    </xf>
    <xf numFmtId="0" fontId="51" fillId="0" borderId="0" xfId="0" applyFont="1"/>
    <xf numFmtId="0" fontId="53" fillId="0" borderId="0" xfId="0" applyFont="1"/>
    <xf numFmtId="0" fontId="13" fillId="0" borderId="38" xfId="0" applyFont="1" applyBorder="1" applyAlignment="1">
      <alignment horizontal="center"/>
    </xf>
    <xf numFmtId="0" fontId="13" fillId="0" borderId="36" xfId="0" applyFont="1" applyBorder="1" applyAlignment="1">
      <alignment horizontal="center"/>
    </xf>
    <xf numFmtId="0" fontId="53" fillId="0" borderId="38" xfId="0" applyFont="1" applyBorder="1" applyAlignment="1">
      <alignment horizontal="center"/>
    </xf>
    <xf numFmtId="0" fontId="53" fillId="0" borderId="36" xfId="0" applyFont="1" applyBorder="1" applyAlignment="1">
      <alignment horizontal="center"/>
    </xf>
    <xf numFmtId="0" fontId="53" fillId="0" borderId="32" xfId="0" applyFont="1" applyBorder="1"/>
    <xf numFmtId="0" fontId="53" fillId="0" borderId="117" xfId="0" applyFont="1" applyBorder="1" applyAlignment="1">
      <alignment horizontal="center" vertical="center"/>
    </xf>
    <xf numFmtId="0" fontId="53" fillId="0" borderId="121" xfId="0" applyFont="1" applyBorder="1" applyAlignment="1">
      <alignment horizontal="center" vertical="center"/>
    </xf>
    <xf numFmtId="0" fontId="8" fillId="0" borderId="32" xfId="0" applyFont="1" applyBorder="1"/>
    <xf numFmtId="0" fontId="13" fillId="11" borderId="124" xfId="0" applyFont="1" applyFill="1" applyBorder="1" applyAlignment="1">
      <alignment horizontal="center"/>
    </xf>
    <xf numFmtId="0" fontId="53" fillId="11" borderId="124" xfId="0" applyFont="1" applyFill="1" applyBorder="1"/>
    <xf numFmtId="0" fontId="53" fillId="11" borderId="130" xfId="0" applyFont="1" applyFill="1" applyBorder="1"/>
    <xf numFmtId="0" fontId="51" fillId="11" borderId="130" xfId="0" applyFont="1" applyFill="1" applyBorder="1"/>
    <xf numFmtId="10" fontId="0" fillId="0" borderId="127" xfId="0" applyNumberFormat="1" applyBorder="1" applyAlignment="1">
      <alignment horizontal="center" vertical="center"/>
    </xf>
    <xf numFmtId="10" fontId="0" fillId="0" borderId="131" xfId="0" applyNumberFormat="1" applyBorder="1" applyAlignment="1">
      <alignment horizontal="center" vertical="center"/>
    </xf>
    <xf numFmtId="10" fontId="0" fillId="0" borderId="132" xfId="0" applyNumberFormat="1" applyBorder="1" applyAlignment="1">
      <alignment horizontal="center" vertical="center"/>
    </xf>
    <xf numFmtId="10" fontId="0" fillId="0" borderId="133" xfId="0" applyNumberFormat="1" applyBorder="1" applyAlignment="1">
      <alignment horizontal="center" vertical="center"/>
    </xf>
    <xf numFmtId="0" fontId="53" fillId="0" borderId="134" xfId="0" applyFont="1" applyBorder="1" applyAlignment="1">
      <alignment horizontal="center" vertical="center"/>
    </xf>
    <xf numFmtId="0" fontId="53" fillId="0" borderId="135" xfId="0" applyFont="1" applyBorder="1" applyAlignment="1">
      <alignment horizontal="center" vertical="center"/>
    </xf>
    <xf numFmtId="0" fontId="26" fillId="4" borderId="8" xfId="24" applyFont="1" applyFill="1" applyBorder="1" applyAlignment="1">
      <alignment horizontal="center"/>
    </xf>
    <xf numFmtId="0" fontId="51" fillId="7" borderId="0" xfId="0" applyFont="1" applyFill="1"/>
    <xf numFmtId="0" fontId="55" fillId="41" borderId="0" xfId="0" applyFont="1" applyFill="1"/>
    <xf numFmtId="0" fontId="8" fillId="36" borderId="32" xfId="0" applyFont="1" applyFill="1" applyBorder="1"/>
    <xf numFmtId="0" fontId="53" fillId="0" borderId="140" xfId="0" applyFont="1" applyBorder="1" applyAlignment="1">
      <alignment horizontal="center"/>
    </xf>
    <xf numFmtId="0" fontId="51" fillId="11" borderId="141" xfId="0" applyFont="1" applyFill="1" applyBorder="1" applyAlignment="1">
      <alignment horizontal="center"/>
    </xf>
    <xf numFmtId="0" fontId="8" fillId="38" borderId="141" xfId="0" applyFont="1" applyFill="1" applyBorder="1"/>
    <xf numFmtId="0" fontId="53" fillId="0" borderId="142" xfId="0" applyFont="1" applyBorder="1" applyAlignment="1">
      <alignment horizontal="center"/>
    </xf>
    <xf numFmtId="0" fontId="54" fillId="0" borderId="143" xfId="0" applyFont="1" applyBorder="1" applyAlignment="1">
      <alignment horizontal="center"/>
    </xf>
    <xf numFmtId="0" fontId="13" fillId="0" borderId="144" xfId="0" applyFont="1" applyBorder="1" applyAlignment="1">
      <alignment horizontal="center"/>
    </xf>
    <xf numFmtId="0" fontId="13" fillId="0" borderId="147" xfId="0" applyFont="1" applyBorder="1" applyAlignment="1">
      <alignment horizontal="center"/>
    </xf>
    <xf numFmtId="0" fontId="8" fillId="38" borderId="0" xfId="0" applyFont="1" applyFill="1"/>
    <xf numFmtId="0" fontId="13" fillId="40" borderId="32" xfId="0" quotePrefix="1" applyFont="1" applyFill="1" applyBorder="1"/>
    <xf numFmtId="0" fontId="13" fillId="40" borderId="0" xfId="0" quotePrefix="1" applyFont="1" applyFill="1"/>
    <xf numFmtId="0" fontId="51" fillId="38" borderId="0" xfId="0" applyFont="1" applyFill="1"/>
    <xf numFmtId="0" fontId="13" fillId="36" borderId="32" xfId="0" applyFont="1" applyFill="1" applyBorder="1"/>
    <xf numFmtId="0" fontId="8" fillId="0" borderId="157" xfId="0" applyFont="1" applyBorder="1"/>
    <xf numFmtId="0" fontId="13" fillId="0" borderId="158" xfId="0" applyFont="1" applyBorder="1" applyAlignment="1">
      <alignment horizontal="center"/>
    </xf>
    <xf numFmtId="0" fontId="13" fillId="0" borderId="41" xfId="0" applyFont="1" applyBorder="1" applyAlignment="1">
      <alignment horizontal="center"/>
    </xf>
    <xf numFmtId="0" fontId="13" fillId="0" borderId="159" xfId="0" applyFont="1" applyBorder="1" applyAlignment="1">
      <alignment horizontal="center"/>
    </xf>
    <xf numFmtId="0" fontId="13" fillId="0" borderId="150" xfId="0" applyFont="1" applyBorder="1" applyAlignment="1">
      <alignment horizontal="center"/>
    </xf>
    <xf numFmtId="0" fontId="8" fillId="38" borderId="125" xfId="0" applyFont="1" applyFill="1" applyBorder="1"/>
    <xf numFmtId="14" fontId="13" fillId="0" borderId="21" xfId="0" applyNumberFormat="1" applyFont="1" applyBorder="1" applyAlignment="1">
      <alignment horizontal="center" vertical="center"/>
    </xf>
    <xf numFmtId="0" fontId="8" fillId="0" borderId="57" xfId="0" applyFont="1" applyBorder="1" applyAlignment="1">
      <alignment horizontal="center" vertical="center"/>
    </xf>
    <xf numFmtId="9" fontId="31" fillId="37" borderId="152" xfId="14" applyFont="1" applyFill="1" applyBorder="1" applyAlignment="1">
      <alignment horizontal="center" vertical="center"/>
    </xf>
    <xf numFmtId="179" fontId="31" fillId="42" borderId="153" xfId="28" applyNumberFormat="1" applyFont="1" applyFill="1" applyBorder="1" applyAlignment="1">
      <alignment horizontal="center" vertical="center"/>
    </xf>
    <xf numFmtId="0" fontId="56" fillId="0" borderId="155" xfId="0" applyFont="1" applyBorder="1" applyAlignment="1">
      <alignment horizontal="center" vertical="center"/>
    </xf>
    <xf numFmtId="0" fontId="56" fillId="40" borderId="155" xfId="0" applyFont="1" applyFill="1" applyBorder="1" applyAlignment="1">
      <alignment horizontal="center" vertical="center"/>
    </xf>
    <xf numFmtId="3" fontId="56" fillId="39" borderId="46" xfId="0" applyNumberFormat="1" applyFont="1" applyFill="1" applyBorder="1" applyAlignment="1">
      <alignment horizontal="center" vertical="center"/>
    </xf>
    <xf numFmtId="3" fontId="56" fillId="39" borderId="155" xfId="0" applyNumberFormat="1" applyFont="1" applyFill="1" applyBorder="1" applyAlignment="1">
      <alignment horizontal="center" vertical="center"/>
    </xf>
    <xf numFmtId="0" fontId="8" fillId="0" borderId="46" xfId="0" quotePrefix="1" applyFont="1" applyBorder="1" applyAlignment="1">
      <alignment horizontal="center" vertical="center"/>
    </xf>
    <xf numFmtId="0" fontId="8" fillId="0" borderId="146" xfId="0" quotePrefix="1" applyFont="1" applyBorder="1" applyAlignment="1">
      <alignment horizontal="center" vertical="center"/>
    </xf>
    <xf numFmtId="9" fontId="0" fillId="0" borderId="90" xfId="0" applyNumberFormat="1" applyBorder="1" applyAlignment="1">
      <alignment horizontal="center"/>
    </xf>
    <xf numFmtId="9" fontId="13" fillId="0" borderId="70" xfId="0" applyNumberFormat="1" applyFont="1" applyBorder="1" applyAlignment="1">
      <alignment horizontal="center"/>
    </xf>
    <xf numFmtId="9" fontId="13" fillId="0" borderId="71" xfId="0" applyNumberFormat="1" applyFont="1" applyBorder="1" applyAlignment="1">
      <alignment horizontal="center"/>
    </xf>
    <xf numFmtId="9" fontId="8" fillId="0" borderId="75" xfId="0" applyNumberFormat="1" applyFont="1" applyBorder="1" applyAlignment="1">
      <alignment horizontal="center"/>
    </xf>
    <xf numFmtId="9" fontId="8" fillId="0" borderId="77" xfId="0" applyNumberFormat="1" applyFont="1" applyBorder="1" applyAlignment="1">
      <alignment horizontal="center"/>
    </xf>
    <xf numFmtId="3" fontId="0" fillId="0" borderId="0" xfId="0" applyNumberFormat="1"/>
    <xf numFmtId="0" fontId="10" fillId="0" borderId="50" xfId="34" applyFont="1" applyBorder="1" applyAlignment="1" applyProtection="1"/>
    <xf numFmtId="10" fontId="0" fillId="0" borderId="0" xfId="0" applyNumberFormat="1"/>
    <xf numFmtId="4" fontId="30" fillId="11" borderId="112" xfId="7" applyFont="1" applyFill="1" applyBorder="1" applyAlignment="1">
      <alignment horizontal="right" vertical="center"/>
    </xf>
    <xf numFmtId="4" fontId="8" fillId="0" borderId="0" xfId="7" applyFont="1" applyFill="1" applyBorder="1">
      <alignment horizontal="right"/>
    </xf>
    <xf numFmtId="4" fontId="30" fillId="0" borderId="0" xfId="7" applyFont="1" applyFill="1" applyBorder="1">
      <alignment horizontal="right"/>
    </xf>
    <xf numFmtId="4" fontId="30" fillId="8" borderId="112" xfId="7" applyFont="1" applyFill="1" applyBorder="1" applyAlignment="1">
      <alignment horizontal="right" vertical="center"/>
    </xf>
    <xf numFmtId="4" fontId="30" fillId="27" borderId="112" xfId="7" applyFont="1" applyFill="1" applyBorder="1" applyAlignment="1">
      <alignment horizontal="right" vertical="center"/>
    </xf>
    <xf numFmtId="4" fontId="24" fillId="11" borderId="112" xfId="7" applyFont="1" applyFill="1" applyBorder="1" applyAlignment="1">
      <alignment horizontal="right" vertical="center"/>
    </xf>
    <xf numFmtId="4" fontId="24" fillId="27" borderId="112" xfId="7" applyFont="1" applyFill="1" applyBorder="1" applyAlignment="1">
      <alignment horizontal="right" vertical="center"/>
    </xf>
    <xf numFmtId="1" fontId="56" fillId="40" borderId="146" xfId="0" applyNumberFormat="1" applyFont="1" applyFill="1" applyBorder="1" applyAlignment="1">
      <alignment horizontal="center" vertical="center"/>
    </xf>
    <xf numFmtId="3" fontId="56" fillId="39" borderId="46" xfId="0" quotePrefix="1" applyNumberFormat="1" applyFont="1" applyFill="1" applyBorder="1" applyAlignment="1">
      <alignment horizontal="center" vertical="center"/>
    </xf>
    <xf numFmtId="3" fontId="56" fillId="39" borderId="155" xfId="0" quotePrefix="1" applyNumberFormat="1" applyFont="1" applyFill="1" applyBorder="1" applyAlignment="1">
      <alignment horizontal="center" vertical="center"/>
    </xf>
    <xf numFmtId="1" fontId="51" fillId="39" borderId="38" xfId="0" applyNumberFormat="1" applyFont="1" applyFill="1" applyBorder="1" applyAlignment="1">
      <alignment horizontal="center" vertical="center"/>
    </xf>
    <xf numFmtId="4" fontId="5" fillId="0" borderId="46" xfId="27" applyNumberFormat="1" applyBorder="1" applyAlignment="1">
      <alignment horizontal="center"/>
    </xf>
    <xf numFmtId="0" fontId="25" fillId="0" borderId="0" xfId="0" applyFont="1" applyAlignment="1">
      <alignment horizontal="center"/>
    </xf>
    <xf numFmtId="0" fontId="63" fillId="0" borderId="0" xfId="0" applyFont="1"/>
    <xf numFmtId="0" fontId="0" fillId="0" borderId="46" xfId="0" applyBorder="1"/>
    <xf numFmtId="0" fontId="62" fillId="0" borderId="0" xfId="0" applyFont="1"/>
    <xf numFmtId="3" fontId="51" fillId="0" borderId="38" xfId="0" applyNumberFormat="1" applyFont="1" applyBorder="1" applyAlignment="1">
      <alignment horizontal="center" vertical="center"/>
    </xf>
    <xf numFmtId="3" fontId="8" fillId="7" borderId="15" xfId="0" applyNumberFormat="1" applyFont="1" applyFill="1" applyBorder="1" applyAlignment="1">
      <alignment horizontal="center"/>
    </xf>
    <xf numFmtId="179" fontId="31" fillId="37" borderId="46" xfId="14" applyNumberFormat="1" applyFont="1" applyFill="1" applyBorder="1" applyAlignment="1">
      <alignment horizontal="center" vertical="center"/>
    </xf>
    <xf numFmtId="3" fontId="59" fillId="0" borderId="46" xfId="0" applyNumberFormat="1" applyFont="1" applyBorder="1" applyAlignment="1">
      <alignment horizontal="center" vertical="center"/>
    </xf>
    <xf numFmtId="3" fontId="59" fillId="37" borderId="46" xfId="0" applyNumberFormat="1" applyFont="1" applyFill="1" applyBorder="1" applyAlignment="1">
      <alignment horizontal="center" vertical="center"/>
    </xf>
    <xf numFmtId="179" fontId="31" fillId="37" borderId="155" xfId="14" applyNumberFormat="1" applyFont="1" applyFill="1" applyBorder="1" applyAlignment="1">
      <alignment horizontal="center" vertical="center"/>
    </xf>
    <xf numFmtId="3" fontId="59" fillId="0" borderId="155" xfId="0" applyNumberFormat="1" applyFont="1" applyBorder="1" applyAlignment="1">
      <alignment horizontal="center" vertical="center"/>
    </xf>
    <xf numFmtId="3" fontId="59" fillId="37" borderId="155" xfId="0" applyNumberFormat="1" applyFont="1" applyFill="1" applyBorder="1" applyAlignment="1">
      <alignment horizontal="center" vertical="center"/>
    </xf>
    <xf numFmtId="179" fontId="31" fillId="42" borderId="171" xfId="28" applyNumberFormat="1" applyFont="1" applyFill="1" applyBorder="1" applyAlignment="1">
      <alignment horizontal="center" vertical="center"/>
    </xf>
    <xf numFmtId="3" fontId="4" fillId="42" borderId="44" xfId="28" applyNumberFormat="1" applyFill="1" applyBorder="1" applyAlignment="1">
      <alignment horizontal="center" vertical="center"/>
    </xf>
    <xf numFmtId="179" fontId="31" fillId="37" borderId="44" xfId="14" applyNumberFormat="1" applyFont="1" applyFill="1" applyBorder="1" applyAlignment="1">
      <alignment horizontal="center" vertical="center"/>
    </xf>
    <xf numFmtId="3" fontId="59" fillId="0" borderId="44" xfId="0" applyNumberFormat="1" applyFont="1" applyBorder="1" applyAlignment="1">
      <alignment horizontal="center" vertical="center"/>
    </xf>
    <xf numFmtId="3" fontId="59" fillId="37" borderId="44" xfId="0" applyNumberFormat="1" applyFont="1" applyFill="1" applyBorder="1" applyAlignment="1">
      <alignment horizontal="center" vertical="center"/>
    </xf>
    <xf numFmtId="0" fontId="59" fillId="37" borderId="172" xfId="0" applyFont="1" applyFill="1" applyBorder="1" applyAlignment="1">
      <alignment horizontal="center" vertical="center"/>
    </xf>
    <xf numFmtId="1" fontId="51" fillId="0" borderId="46" xfId="0" applyNumberFormat="1" applyFont="1" applyBorder="1" applyAlignment="1">
      <alignment horizontal="center" vertical="center"/>
    </xf>
    <xf numFmtId="1" fontId="56" fillId="0" borderId="46" xfId="0" applyNumberFormat="1" applyFont="1" applyBorder="1" applyAlignment="1">
      <alignment horizontal="center" vertical="center"/>
    </xf>
    <xf numFmtId="1" fontId="51" fillId="0" borderId="155" xfId="0" applyNumberFormat="1" applyFont="1" applyBorder="1" applyAlignment="1">
      <alignment horizontal="center" vertical="center"/>
    </xf>
    <xf numFmtId="1" fontId="51" fillId="0" borderId="146" xfId="0" applyNumberFormat="1" applyFont="1" applyBorder="1" applyAlignment="1">
      <alignment horizontal="center" vertical="center"/>
    </xf>
    <xf numFmtId="1" fontId="56" fillId="0" borderId="155" xfId="0" applyNumberFormat="1" applyFont="1" applyBorder="1" applyAlignment="1">
      <alignment horizontal="center" vertical="center"/>
    </xf>
    <xf numFmtId="1" fontId="56" fillId="0" borderId="146" xfId="0" applyNumberFormat="1" applyFont="1" applyBorder="1" applyAlignment="1">
      <alignment horizontal="center" vertical="center"/>
    </xf>
    <xf numFmtId="1" fontId="59" fillId="37" borderId="156" xfId="0" applyNumberFormat="1" applyFont="1" applyFill="1" applyBorder="1" applyAlignment="1">
      <alignment horizontal="center" vertical="center"/>
    </xf>
    <xf numFmtId="1" fontId="59" fillId="37" borderId="169" xfId="0" applyNumberFormat="1" applyFont="1" applyFill="1" applyBorder="1" applyAlignment="1">
      <alignment horizontal="center" vertical="center"/>
    </xf>
    <xf numFmtId="1" fontId="59" fillId="37" borderId="170" xfId="0" applyNumberFormat="1" applyFont="1" applyFill="1" applyBorder="1" applyAlignment="1">
      <alignment horizontal="center" vertical="center"/>
    </xf>
    <xf numFmtId="179" fontId="8" fillId="0" borderId="152" xfId="14" applyNumberFormat="1" applyFont="1" applyFill="1" applyBorder="1" applyAlignment="1">
      <alignment horizontal="center" vertical="center"/>
    </xf>
    <xf numFmtId="179" fontId="8" fillId="0" borderId="153" xfId="14" applyNumberFormat="1" applyFont="1" applyFill="1" applyBorder="1" applyAlignment="1">
      <alignment horizontal="center" vertical="center"/>
    </xf>
    <xf numFmtId="179" fontId="0" fillId="0" borderId="154" xfId="14" applyNumberFormat="1" applyFont="1" applyFill="1" applyBorder="1" applyAlignment="1">
      <alignment horizontal="center" vertical="center"/>
    </xf>
    <xf numFmtId="179" fontId="31" fillId="0" borderId="155" xfId="14" applyNumberFormat="1" applyFont="1" applyFill="1" applyBorder="1" applyAlignment="1">
      <alignment horizontal="center" vertical="center"/>
    </xf>
    <xf numFmtId="1" fontId="59" fillId="0" borderId="155" xfId="0" applyNumberFormat="1" applyFont="1" applyBorder="1" applyAlignment="1">
      <alignment horizontal="center" vertical="center"/>
    </xf>
    <xf numFmtId="1" fontId="59" fillId="0" borderId="46" xfId="0" applyNumberFormat="1" applyFont="1" applyBorder="1" applyAlignment="1">
      <alignment horizontal="center" vertical="center"/>
    </xf>
    <xf numFmtId="1" fontId="59" fillId="0" borderId="146" xfId="0" applyNumberFormat="1" applyFont="1" applyBorder="1" applyAlignment="1">
      <alignment horizontal="center" vertical="center"/>
    </xf>
    <xf numFmtId="1" fontId="56" fillId="40" borderId="46" xfId="0" applyNumberFormat="1" applyFont="1" applyFill="1" applyBorder="1" applyAlignment="1">
      <alignment horizontal="center" vertical="center"/>
    </xf>
    <xf numFmtId="1" fontId="56" fillId="40" borderId="155" xfId="0" applyNumberFormat="1" applyFont="1" applyFill="1" applyBorder="1" applyAlignment="1">
      <alignment horizontal="center" vertical="center"/>
    </xf>
    <xf numFmtId="0" fontId="8" fillId="0" borderId="155" xfId="0" quotePrefix="1" applyFont="1" applyBorder="1" applyAlignment="1">
      <alignment horizontal="center" vertical="center"/>
    </xf>
    <xf numFmtId="1" fontId="51" fillId="39" borderId="46" xfId="0" applyNumberFormat="1" applyFont="1" applyFill="1" applyBorder="1" applyAlignment="1">
      <alignment horizontal="center" vertical="center"/>
    </xf>
    <xf numFmtId="1" fontId="51" fillId="39" borderId="155" xfId="0" applyNumberFormat="1" applyFont="1" applyFill="1" applyBorder="1" applyAlignment="1">
      <alignment horizontal="center" vertical="center"/>
    </xf>
    <xf numFmtId="1" fontId="51" fillId="39" borderId="44" xfId="0" applyNumberFormat="1" applyFont="1" applyFill="1" applyBorder="1" applyAlignment="1">
      <alignment horizontal="center" vertical="center"/>
    </xf>
    <xf numFmtId="1" fontId="51" fillId="39" borderId="172" xfId="0" applyNumberFormat="1" applyFont="1" applyFill="1" applyBorder="1" applyAlignment="1">
      <alignment horizontal="center" vertical="center"/>
    </xf>
    <xf numFmtId="1" fontId="0" fillId="0" borderId="46" xfId="0" applyNumberFormat="1" applyBorder="1" applyAlignment="1">
      <alignment horizontal="center" vertical="center"/>
    </xf>
    <xf numFmtId="1" fontId="0" fillId="0" borderId="152" xfId="0" applyNumberFormat="1" applyBorder="1" applyAlignment="1">
      <alignment horizontal="center" vertical="center"/>
    </xf>
    <xf numFmtId="1" fontId="0" fillId="0" borderId="153" xfId="0" applyNumberFormat="1" applyBorder="1" applyAlignment="1">
      <alignment horizontal="center" vertical="center"/>
    </xf>
    <xf numFmtId="1" fontId="0" fillId="0" borderId="154" xfId="0" applyNumberFormat="1" applyBorder="1" applyAlignment="1">
      <alignment horizontal="center" vertical="center"/>
    </xf>
    <xf numFmtId="1" fontId="0" fillId="0" borderId="155" xfId="0" applyNumberFormat="1" applyBorder="1" applyAlignment="1">
      <alignment horizontal="center" vertical="center"/>
    </xf>
    <xf numFmtId="1" fontId="0" fillId="0" borderId="146" xfId="0" applyNumberFormat="1" applyBorder="1" applyAlignment="1">
      <alignment horizontal="center" vertical="center"/>
    </xf>
    <xf numFmtId="1" fontId="51" fillId="39" borderId="144" xfId="0" applyNumberFormat="1" applyFont="1" applyFill="1" applyBorder="1" applyAlignment="1">
      <alignment horizontal="center" vertical="center"/>
    </xf>
    <xf numFmtId="1" fontId="51" fillId="39" borderId="145" xfId="0" applyNumberFormat="1" applyFont="1" applyFill="1" applyBorder="1" applyAlignment="1">
      <alignment horizontal="center" vertical="center"/>
    </xf>
    <xf numFmtId="1" fontId="51" fillId="39" borderId="147" xfId="0" applyNumberFormat="1" applyFont="1" applyFill="1" applyBorder="1" applyAlignment="1">
      <alignment horizontal="center" vertical="center"/>
    </xf>
    <xf numFmtId="1" fontId="51" fillId="39" borderId="148" xfId="0" applyNumberFormat="1" applyFont="1" applyFill="1" applyBorder="1" applyAlignment="1">
      <alignment horizontal="center" vertical="center"/>
    </xf>
    <xf numFmtId="1" fontId="51" fillId="39" borderId="149" xfId="0" applyNumberFormat="1" applyFont="1" applyFill="1" applyBorder="1" applyAlignment="1">
      <alignment horizontal="center" vertical="center"/>
    </xf>
    <xf numFmtId="4" fontId="5" fillId="0" borderId="155" xfId="27" applyNumberFormat="1" applyBorder="1" applyAlignment="1">
      <alignment horizontal="center"/>
    </xf>
    <xf numFmtId="4" fontId="5" fillId="0" borderId="146" xfId="27" applyNumberFormat="1" applyBorder="1" applyAlignment="1">
      <alignment horizontal="center"/>
    </xf>
    <xf numFmtId="9" fontId="0" fillId="0" borderId="0" xfId="14" applyFont="1" applyBorder="1" applyAlignment="1">
      <alignment horizontal="left"/>
    </xf>
    <xf numFmtId="3" fontId="8" fillId="0" borderId="155" xfId="0" applyNumberFormat="1" applyFont="1" applyBorder="1" applyAlignment="1">
      <alignment horizontal="center" vertical="center"/>
    </xf>
    <xf numFmtId="3" fontId="56" fillId="0" borderId="46" xfId="0" applyNumberFormat="1" applyFont="1" applyBorder="1" applyAlignment="1">
      <alignment horizontal="center" vertical="center"/>
    </xf>
    <xf numFmtId="3" fontId="56" fillId="0" borderId="155" xfId="0" applyNumberFormat="1" applyFont="1" applyBorder="1" applyAlignment="1">
      <alignment horizontal="center" vertical="center"/>
    </xf>
    <xf numFmtId="2" fontId="8" fillId="23" borderId="19" xfId="0" applyNumberFormat="1" applyFont="1" applyFill="1" applyBorder="1" applyAlignment="1">
      <alignment horizontal="center"/>
    </xf>
    <xf numFmtId="0" fontId="22" fillId="0" borderId="0" xfId="0" applyFont="1" applyAlignment="1">
      <alignment horizontal="center" vertical="center"/>
    </xf>
    <xf numFmtId="4" fontId="33" fillId="18" borderId="0" xfId="0" applyNumberFormat="1" applyFont="1" applyFill="1" applyAlignment="1">
      <alignment horizontal="center" vertical="center"/>
    </xf>
    <xf numFmtId="4" fontId="33" fillId="18" borderId="0" xfId="19" applyNumberFormat="1" applyFont="1" applyFill="1" applyAlignment="1">
      <alignment horizontal="center" vertical="center"/>
    </xf>
    <xf numFmtId="0" fontId="0" fillId="0" borderId="0" xfId="0" applyAlignment="1">
      <alignment horizontal="center" vertical="center"/>
    </xf>
    <xf numFmtId="0" fontId="8" fillId="7" borderId="19" xfId="0" applyFont="1" applyFill="1" applyBorder="1" applyAlignment="1">
      <alignment horizontal="center" vertical="center" wrapText="1"/>
    </xf>
    <xf numFmtId="0" fontId="44" fillId="8" borderId="70" xfId="0" applyFont="1" applyFill="1" applyBorder="1" applyAlignment="1">
      <alignment horizontal="center" vertical="center" wrapText="1"/>
    </xf>
    <xf numFmtId="0" fontId="44" fillId="9" borderId="71" xfId="0" applyFont="1" applyFill="1" applyBorder="1" applyAlignment="1">
      <alignment horizontal="center" vertical="center" wrapText="1"/>
    </xf>
    <xf numFmtId="0" fontId="44" fillId="10" borderId="71" xfId="0" applyFont="1" applyFill="1" applyBorder="1" applyAlignment="1">
      <alignment horizontal="center" vertical="center" wrapText="1"/>
    </xf>
    <xf numFmtId="0" fontId="44" fillId="14" borderId="71" xfId="0" applyFont="1" applyFill="1" applyBorder="1" applyAlignment="1">
      <alignment horizontal="center" vertical="center" wrapText="1"/>
    </xf>
    <xf numFmtId="0" fontId="44" fillId="22" borderId="98" xfId="0" applyFont="1" applyFill="1" applyBorder="1" applyAlignment="1">
      <alignment horizontal="center" vertical="center" wrapText="1"/>
    </xf>
    <xf numFmtId="0" fontId="44" fillId="15" borderId="71" xfId="0" applyFont="1" applyFill="1" applyBorder="1" applyAlignment="1">
      <alignment horizontal="center" vertical="center" wrapText="1"/>
    </xf>
    <xf numFmtId="0" fontId="44" fillId="9" borderId="62" xfId="0" applyFont="1" applyFill="1" applyBorder="1" applyAlignment="1">
      <alignment horizontal="center" vertical="center" wrapText="1"/>
    </xf>
    <xf numFmtId="0" fontId="44" fillId="10" borderId="62" xfId="0" applyFont="1" applyFill="1" applyBorder="1" applyAlignment="1">
      <alignment horizontal="center" vertical="center" wrapText="1"/>
    </xf>
    <xf numFmtId="0" fontId="44" fillId="14" borderId="62" xfId="0" applyFont="1" applyFill="1" applyBorder="1" applyAlignment="1">
      <alignment horizontal="center" vertical="center" wrapText="1"/>
    </xf>
    <xf numFmtId="0" fontId="44" fillId="22" borderId="62" xfId="0" applyFont="1" applyFill="1" applyBorder="1" applyAlignment="1">
      <alignment horizontal="center" vertical="center" wrapText="1"/>
    </xf>
    <xf numFmtId="0" fontId="44" fillId="15" borderId="62" xfId="0" applyFont="1" applyFill="1" applyBorder="1" applyAlignment="1">
      <alignment horizontal="center" vertical="center" wrapText="1"/>
    </xf>
    <xf numFmtId="0" fontId="53" fillId="0" borderId="0" xfId="0" applyFont="1" applyAlignment="1">
      <alignment horizontal="center" vertical="center"/>
    </xf>
    <xf numFmtId="14" fontId="13" fillId="0" borderId="20" xfId="0" applyNumberFormat="1" applyFont="1" applyBorder="1" applyAlignment="1">
      <alignment horizontal="center" vertical="center"/>
    </xf>
    <xf numFmtId="14" fontId="13" fillId="0" borderId="54" xfId="0" applyNumberFormat="1" applyFont="1" applyBorder="1" applyAlignment="1">
      <alignment horizontal="center" vertical="center"/>
    </xf>
    <xf numFmtId="0" fontId="0" fillId="0" borderId="0" xfId="0" applyAlignment="1">
      <alignment horizontal="left"/>
    </xf>
    <xf numFmtId="2" fontId="8" fillId="23" borderId="52" xfId="0" applyNumberFormat="1" applyFont="1" applyFill="1" applyBorder="1" applyAlignment="1">
      <alignment horizontal="center"/>
    </xf>
    <xf numFmtId="2" fontId="31" fillId="23" borderId="52" xfId="14" applyNumberFormat="1" applyFont="1" applyFill="1" applyBorder="1" applyAlignment="1">
      <alignment horizontal="center"/>
    </xf>
    <xf numFmtId="0" fontId="8" fillId="6" borderId="173" xfId="0" applyFont="1" applyFill="1" applyBorder="1"/>
    <xf numFmtId="0" fontId="26" fillId="31" borderId="59" xfId="0" applyFont="1" applyFill="1" applyBorder="1" applyAlignment="1">
      <alignment horizontal="center"/>
    </xf>
    <xf numFmtId="0" fontId="13" fillId="0" borderId="59" xfId="0" applyFont="1" applyBorder="1" applyAlignment="1">
      <alignment horizontal="center"/>
    </xf>
    <xf numFmtId="178" fontId="13" fillId="23" borderId="23" xfId="0" applyNumberFormat="1" applyFont="1" applyFill="1" applyBorder="1" applyAlignment="1">
      <alignment horizontal="center"/>
    </xf>
    <xf numFmtId="2" fontId="31" fillId="23" borderId="59" xfId="14" applyNumberFormat="1" applyFont="1" applyFill="1" applyBorder="1" applyAlignment="1">
      <alignment horizontal="center"/>
    </xf>
    <xf numFmtId="10" fontId="61" fillId="7" borderId="59" xfId="0" applyNumberFormat="1" applyFont="1" applyFill="1" applyBorder="1" applyAlignment="1">
      <alignment horizontal="center"/>
    </xf>
    <xf numFmtId="0" fontId="8" fillId="0" borderId="0" xfId="0" applyFont="1" applyAlignment="1">
      <alignment horizontal="center"/>
    </xf>
    <xf numFmtId="10" fontId="8" fillId="0" borderId="123" xfId="0" applyNumberFormat="1" applyFont="1" applyBorder="1" applyAlignment="1">
      <alignment horizontal="center" vertical="center"/>
    </xf>
    <xf numFmtId="10" fontId="0" fillId="0" borderId="118" xfId="0" applyNumberFormat="1" applyBorder="1" applyAlignment="1">
      <alignment horizontal="center" vertical="center"/>
    </xf>
    <xf numFmtId="10" fontId="8" fillId="0" borderId="116" xfId="0" applyNumberFormat="1" applyFont="1" applyBorder="1" applyAlignment="1">
      <alignment horizontal="center" vertical="center"/>
    </xf>
    <xf numFmtId="1" fontId="56" fillId="39" borderId="156" xfId="0" applyNumberFormat="1" applyFont="1" applyFill="1" applyBorder="1" applyAlignment="1">
      <alignment horizontal="center" vertical="center"/>
    </xf>
    <xf numFmtId="1" fontId="56" fillId="39" borderId="169" xfId="0" applyNumberFormat="1" applyFont="1" applyFill="1" applyBorder="1" applyAlignment="1">
      <alignment horizontal="center" vertical="center"/>
    </xf>
    <xf numFmtId="10" fontId="8" fillId="0" borderId="122" xfId="0" applyNumberFormat="1" applyFont="1" applyBorder="1" applyAlignment="1">
      <alignment horizontal="center" vertical="center"/>
    </xf>
    <xf numFmtId="10" fontId="8" fillId="0" borderId="118" xfId="0" applyNumberFormat="1" applyFont="1" applyBorder="1" applyAlignment="1">
      <alignment horizontal="center" vertical="center"/>
    </xf>
    <xf numFmtId="0" fontId="0" fillId="0" borderId="46" xfId="0" applyBorder="1" applyAlignment="1">
      <alignment horizontal="center"/>
    </xf>
    <xf numFmtId="178" fontId="0" fillId="0" borderId="46" xfId="0" applyNumberFormat="1" applyBorder="1" applyAlignment="1">
      <alignment horizontal="center"/>
    </xf>
    <xf numFmtId="179" fontId="62" fillId="0" borderId="46" xfId="14" applyNumberFormat="1" applyFont="1" applyBorder="1" applyAlignment="1">
      <alignment horizontal="center"/>
    </xf>
    <xf numFmtId="0" fontId="62" fillId="0" borderId="46" xfId="0" applyFont="1" applyBorder="1"/>
    <xf numFmtId="177" fontId="62" fillId="0" borderId="46" xfId="0" applyNumberFormat="1" applyFont="1" applyBorder="1" applyAlignment="1">
      <alignment horizontal="center"/>
    </xf>
    <xf numFmtId="9" fontId="0" fillId="0" borderId="0" xfId="14" applyFont="1" applyAlignment="1">
      <alignment horizontal="left"/>
    </xf>
    <xf numFmtId="4" fontId="5" fillId="0" borderId="45" xfId="27" applyNumberFormat="1" applyBorder="1" applyAlignment="1">
      <alignment horizontal="center"/>
    </xf>
    <xf numFmtId="0" fontId="51" fillId="0" borderId="174" xfId="0" applyFont="1" applyBorder="1"/>
    <xf numFmtId="0" fontId="51" fillId="0" borderId="35" xfId="0" applyFont="1" applyBorder="1"/>
    <xf numFmtId="3" fontId="56" fillId="0" borderId="152" xfId="0" applyNumberFormat="1" applyFont="1" applyBorder="1" applyAlignment="1">
      <alignment horizontal="center" vertical="center"/>
    </xf>
    <xf numFmtId="3" fontId="66" fillId="0" borderId="155" xfId="0" quotePrefix="1" applyNumberFormat="1" applyFont="1" applyBorder="1" applyAlignment="1">
      <alignment horizontal="center" vertical="center"/>
    </xf>
    <xf numFmtId="3" fontId="66" fillId="0" borderId="46" xfId="0" quotePrefix="1" applyNumberFormat="1" applyFont="1" applyBorder="1" applyAlignment="1">
      <alignment horizontal="center" vertical="center"/>
    </xf>
    <xf numFmtId="3" fontId="66" fillId="0" borderId="146" xfId="0" quotePrefix="1" applyNumberFormat="1" applyFont="1" applyBorder="1" applyAlignment="1">
      <alignment horizontal="center" vertical="center"/>
    </xf>
    <xf numFmtId="1" fontId="51" fillId="39" borderId="121" xfId="0" applyNumberFormat="1" applyFont="1" applyFill="1" applyBorder="1" applyAlignment="1">
      <alignment horizontal="center" vertical="center"/>
    </xf>
    <xf numFmtId="1" fontId="51" fillId="39" borderId="176" xfId="0" applyNumberFormat="1" applyFont="1" applyFill="1" applyBorder="1" applyAlignment="1">
      <alignment horizontal="center" vertical="center"/>
    </xf>
    <xf numFmtId="3" fontId="56" fillId="40" borderId="177" xfId="0" applyNumberFormat="1" applyFont="1" applyFill="1" applyBorder="1" applyAlignment="1">
      <alignment horizontal="center" vertical="center"/>
    </xf>
    <xf numFmtId="3" fontId="56" fillId="40" borderId="3" xfId="0" applyNumberFormat="1" applyFont="1" applyFill="1" applyBorder="1" applyAlignment="1">
      <alignment horizontal="center" vertical="center"/>
    </xf>
    <xf numFmtId="3" fontId="56" fillId="40" borderId="34" xfId="0" applyNumberFormat="1" applyFont="1" applyFill="1" applyBorder="1" applyAlignment="1">
      <alignment horizontal="center" vertical="center"/>
    </xf>
    <xf numFmtId="3" fontId="57" fillId="11" borderId="0" xfId="0" applyNumberFormat="1" applyFont="1" applyFill="1" applyAlignment="1">
      <alignment horizontal="center" vertical="center"/>
    </xf>
    <xf numFmtId="3" fontId="57" fillId="11" borderId="178" xfId="0" applyNumberFormat="1" applyFont="1" applyFill="1" applyBorder="1" applyAlignment="1">
      <alignment horizontal="center" vertical="center"/>
    </xf>
    <xf numFmtId="1" fontId="56" fillId="40" borderId="44" xfId="0" applyNumberFormat="1" applyFont="1" applyFill="1" applyBorder="1" applyAlignment="1">
      <alignment horizontal="center" vertical="center"/>
    </xf>
    <xf numFmtId="1" fontId="56" fillId="0" borderId="44" xfId="0" applyNumberFormat="1" applyFont="1" applyBorder="1" applyAlignment="1">
      <alignment horizontal="center" vertical="center"/>
    </xf>
    <xf numFmtId="0" fontId="8" fillId="0" borderId="44" xfId="0" quotePrefix="1" applyFont="1" applyBorder="1" applyAlignment="1">
      <alignment horizontal="center" vertical="center"/>
    </xf>
    <xf numFmtId="0" fontId="0" fillId="36" borderId="32" xfId="0" applyFill="1" applyBorder="1"/>
    <xf numFmtId="0" fontId="5" fillId="0" borderId="36" xfId="27" applyBorder="1"/>
    <xf numFmtId="0" fontId="51" fillId="0" borderId="179" xfId="0" applyFont="1" applyBorder="1"/>
    <xf numFmtId="0" fontId="53" fillId="0" borderId="119" xfId="0" applyFont="1" applyBorder="1" applyAlignment="1">
      <alignment horizontal="center" vertical="center"/>
    </xf>
    <xf numFmtId="0" fontId="53" fillId="0" borderId="120" xfId="0" applyFont="1" applyBorder="1" applyAlignment="1">
      <alignment horizontal="center" vertical="center"/>
    </xf>
    <xf numFmtId="0" fontId="51" fillId="0" borderId="180" xfId="0" applyFont="1" applyBorder="1"/>
    <xf numFmtId="0" fontId="51" fillId="0" borderId="118" xfId="0" applyFont="1" applyBorder="1" applyAlignment="1">
      <alignment horizontal="center" vertical="center"/>
    </xf>
    <xf numFmtId="0" fontId="51" fillId="0" borderId="181" xfId="0" applyFont="1" applyBorder="1"/>
    <xf numFmtId="0" fontId="51" fillId="0" borderId="122" xfId="0" applyFont="1" applyBorder="1" applyAlignment="1">
      <alignment horizontal="center" vertical="center"/>
    </xf>
    <xf numFmtId="10" fontId="0" fillId="0" borderId="0" xfId="0" applyNumberFormat="1" applyAlignment="1">
      <alignment horizontal="center" vertical="center"/>
    </xf>
    <xf numFmtId="0" fontId="51" fillId="0" borderId="119" xfId="0" applyFont="1" applyBorder="1" applyAlignment="1">
      <alignment horizontal="center" vertical="center"/>
    </xf>
    <xf numFmtId="0" fontId="51" fillId="0" borderId="118" xfId="0" applyFont="1" applyBorder="1"/>
    <xf numFmtId="0" fontId="53" fillId="0" borderId="46" xfId="0" applyFont="1" applyBorder="1"/>
    <xf numFmtId="1" fontId="56" fillId="40" borderId="144" xfId="0" applyNumberFormat="1" applyFont="1" applyFill="1" applyBorder="1" applyAlignment="1">
      <alignment horizontal="center" vertical="center"/>
    </xf>
    <xf numFmtId="1" fontId="56" fillId="40" borderId="2" xfId="0" applyNumberFormat="1" applyFont="1" applyFill="1" applyBorder="1" applyAlignment="1">
      <alignment horizontal="center" vertical="center"/>
    </xf>
    <xf numFmtId="1" fontId="56" fillId="40" borderId="37" xfId="0" applyNumberFormat="1" applyFont="1" applyFill="1" applyBorder="1" applyAlignment="1">
      <alignment horizontal="center" vertical="center"/>
    </xf>
    <xf numFmtId="1" fontId="56" fillId="40" borderId="175" xfId="0" applyNumberFormat="1" applyFont="1" applyFill="1" applyBorder="1" applyAlignment="1">
      <alignment horizontal="center" vertical="center"/>
    </xf>
    <xf numFmtId="3" fontId="0" fillId="0" borderId="46" xfId="0" applyNumberFormat="1" applyBorder="1" applyAlignment="1">
      <alignment horizontal="center" vertical="center"/>
    </xf>
    <xf numFmtId="3" fontId="0" fillId="0" borderId="146" xfId="0" applyNumberFormat="1" applyBorder="1" applyAlignment="1">
      <alignment horizontal="center" vertical="center"/>
    </xf>
    <xf numFmtId="10" fontId="51" fillId="0" borderId="118" xfId="0" applyNumberFormat="1" applyFont="1" applyBorder="1" applyAlignment="1">
      <alignment horizontal="center" vertical="center"/>
    </xf>
    <xf numFmtId="1" fontId="51" fillId="39" borderId="183" xfId="0" applyNumberFormat="1" applyFont="1" applyFill="1" applyBorder="1" applyAlignment="1">
      <alignment horizontal="center" vertical="center"/>
    </xf>
    <xf numFmtId="1" fontId="0" fillId="0" borderId="184" xfId="0" applyNumberFormat="1" applyBorder="1" applyAlignment="1">
      <alignment horizontal="center" vertical="center"/>
    </xf>
    <xf numFmtId="1" fontId="0" fillId="0" borderId="45" xfId="0" applyNumberFormat="1" applyBorder="1" applyAlignment="1">
      <alignment horizontal="center" vertical="center"/>
    </xf>
    <xf numFmtId="1" fontId="51" fillId="0" borderId="45" xfId="0" applyNumberFormat="1" applyFont="1" applyBorder="1" applyAlignment="1">
      <alignment horizontal="center" vertical="center"/>
    </xf>
    <xf numFmtId="3" fontId="66" fillId="0" borderId="155" xfId="0" applyNumberFormat="1" applyFont="1" applyBorder="1" applyAlignment="1">
      <alignment horizontal="center" vertical="center"/>
    </xf>
    <xf numFmtId="2" fontId="0" fillId="23" borderId="59" xfId="0" applyNumberFormat="1" applyFill="1" applyBorder="1" applyAlignment="1">
      <alignment horizontal="center"/>
    </xf>
    <xf numFmtId="178" fontId="0" fillId="23" borderId="23" xfId="0" applyNumberFormat="1" applyFill="1" applyBorder="1" applyAlignment="1">
      <alignment horizontal="center"/>
    </xf>
    <xf numFmtId="10" fontId="0" fillId="7" borderId="23" xfId="23" applyNumberFormat="1" applyFont="1" applyFill="1" applyBorder="1" applyAlignment="1">
      <alignment horizontal="center"/>
    </xf>
    <xf numFmtId="179" fontId="0" fillId="7" borderId="23" xfId="23" applyNumberFormat="1" applyFont="1" applyFill="1" applyBorder="1" applyAlignment="1">
      <alignment horizontal="center"/>
    </xf>
    <xf numFmtId="179" fontId="0" fillId="7" borderId="23" xfId="14" quotePrefix="1" applyNumberFormat="1" applyFont="1" applyFill="1" applyBorder="1" applyAlignment="1">
      <alignment horizontal="center"/>
    </xf>
    <xf numFmtId="180" fontId="0" fillId="23" borderId="23" xfId="0" applyNumberFormat="1" applyFill="1" applyBorder="1" applyAlignment="1">
      <alignment horizontal="center"/>
    </xf>
    <xf numFmtId="180" fontId="0" fillId="23" borderId="23" xfId="14" applyNumberFormat="1" applyFont="1" applyFill="1" applyBorder="1" applyAlignment="1">
      <alignment horizontal="center"/>
    </xf>
    <xf numFmtId="179" fontId="0" fillId="23" borderId="23" xfId="14" applyNumberFormat="1" applyFont="1" applyFill="1" applyBorder="1" applyAlignment="1">
      <alignment horizontal="center"/>
    </xf>
    <xf numFmtId="2" fontId="0" fillId="23" borderId="23" xfId="14" applyNumberFormat="1" applyFont="1" applyFill="1" applyBorder="1" applyAlignment="1">
      <alignment horizontal="center"/>
    </xf>
    <xf numFmtId="0" fontId="0" fillId="0" borderId="22" xfId="0" quotePrefix="1" applyBorder="1"/>
    <xf numFmtId="10" fontId="0" fillId="7" borderId="23" xfId="14" applyNumberFormat="1" applyFont="1" applyFill="1" applyBorder="1" applyAlignment="1">
      <alignment horizontal="center"/>
    </xf>
    <xf numFmtId="4" fontId="0" fillId="7" borderId="23" xfId="0" applyNumberFormat="1" applyFill="1" applyBorder="1" applyAlignment="1">
      <alignment horizontal="center"/>
    </xf>
    <xf numFmtId="0" fontId="0" fillId="0" borderId="22" xfId="0" applyBorder="1"/>
    <xf numFmtId="186" fontId="0" fillId="0" borderId="0" xfId="0" applyNumberFormat="1" applyAlignment="1">
      <alignment horizontal="center"/>
    </xf>
    <xf numFmtId="1" fontId="56" fillId="0" borderId="144" xfId="0" applyNumberFormat="1" applyFont="1" applyBorder="1" applyAlignment="1">
      <alignment horizontal="center" vertical="center"/>
    </xf>
    <xf numFmtId="1" fontId="56" fillId="0" borderId="2" xfId="0" applyNumberFormat="1" applyFont="1" applyBorder="1" applyAlignment="1">
      <alignment horizontal="center" vertical="center"/>
    </xf>
    <xf numFmtId="1" fontId="56" fillId="0" borderId="175" xfId="0" applyNumberFormat="1" applyFont="1" applyBorder="1" applyAlignment="1">
      <alignment horizontal="center" vertical="center"/>
    </xf>
    <xf numFmtId="1" fontId="8" fillId="0" borderId="177" xfId="0" applyNumberFormat="1" applyFont="1" applyBorder="1" applyAlignment="1">
      <alignment horizontal="center" vertical="center"/>
    </xf>
    <xf numFmtId="10" fontId="68" fillId="34" borderId="112" xfId="24" applyNumberFormat="1" applyFont="1" applyFill="1" applyBorder="1"/>
    <xf numFmtId="179" fontId="51" fillId="0" borderId="0" xfId="14" applyNumberFormat="1" applyFont="1"/>
    <xf numFmtId="3" fontId="66" fillId="37" borderId="46" xfId="0" quotePrefix="1" applyNumberFormat="1" applyFont="1" applyFill="1" applyBorder="1" applyAlignment="1">
      <alignment horizontal="center" vertical="center"/>
    </xf>
    <xf numFmtId="3" fontId="66" fillId="37" borderId="44" xfId="0" quotePrefix="1" applyNumberFormat="1" applyFont="1" applyFill="1" applyBorder="1" applyAlignment="1">
      <alignment horizontal="center" vertical="center"/>
    </xf>
    <xf numFmtId="3" fontId="24" fillId="37" borderId="155" xfId="0" applyNumberFormat="1" applyFont="1" applyFill="1" applyBorder="1" applyAlignment="1">
      <alignment horizontal="center" vertical="center"/>
    </xf>
    <xf numFmtId="3" fontId="24" fillId="37" borderId="46" xfId="0" applyNumberFormat="1" applyFont="1" applyFill="1" applyBorder="1" applyAlignment="1">
      <alignment horizontal="center" vertical="center"/>
    </xf>
    <xf numFmtId="3" fontId="24" fillId="37" borderId="44" xfId="0" applyNumberFormat="1" applyFont="1" applyFill="1" applyBorder="1" applyAlignment="1">
      <alignment horizontal="center" vertical="center"/>
    </xf>
    <xf numFmtId="0" fontId="66" fillId="37" borderId="155" xfId="0" applyFont="1" applyFill="1" applyBorder="1" applyAlignment="1">
      <alignment horizontal="center" vertical="center"/>
    </xf>
    <xf numFmtId="0" fontId="66" fillId="37" borderId="46" xfId="0" applyFont="1" applyFill="1" applyBorder="1" applyAlignment="1">
      <alignment horizontal="center" vertical="center"/>
    </xf>
    <xf numFmtId="0" fontId="66" fillId="37" borderId="44" xfId="0" applyFont="1" applyFill="1" applyBorder="1" applyAlignment="1">
      <alignment horizontal="center" vertical="center"/>
    </xf>
    <xf numFmtId="1" fontId="66" fillId="0" borderId="155" xfId="0" applyNumberFormat="1" applyFont="1" applyBorder="1" applyAlignment="1">
      <alignment horizontal="center" vertical="center"/>
    </xf>
    <xf numFmtId="1" fontId="66" fillId="0" borderId="146" xfId="0" quotePrefix="1" applyNumberFormat="1" applyFont="1" applyBorder="1" applyAlignment="1">
      <alignment horizontal="center" vertical="center"/>
    </xf>
    <xf numFmtId="1" fontId="24" fillId="0" borderId="155" xfId="0" applyNumberFormat="1" applyFont="1" applyBorder="1" applyAlignment="1">
      <alignment horizontal="center" vertical="center"/>
    </xf>
    <xf numFmtId="1" fontId="24" fillId="0" borderId="46" xfId="0" applyNumberFormat="1" applyFont="1" applyBorder="1" applyAlignment="1">
      <alignment horizontal="center" vertical="center"/>
    </xf>
    <xf numFmtId="1" fontId="24" fillId="0" borderId="146" xfId="0" applyNumberFormat="1" applyFont="1" applyBorder="1" applyAlignment="1">
      <alignment horizontal="center" vertical="center"/>
    </xf>
    <xf numFmtId="1" fontId="66" fillId="0" borderId="46" xfId="0" applyNumberFormat="1" applyFont="1" applyBorder="1" applyAlignment="1">
      <alignment horizontal="center" vertical="center"/>
    </xf>
    <xf numFmtId="1" fontId="66" fillId="0" borderId="146" xfId="0" applyNumberFormat="1" applyFont="1" applyBorder="1" applyAlignment="1">
      <alignment horizontal="center" vertical="center"/>
    </xf>
    <xf numFmtId="1" fontId="8" fillId="0" borderId="3" xfId="0" applyNumberFormat="1" applyFont="1" applyBorder="1" applyAlignment="1">
      <alignment horizontal="center" vertical="center"/>
    </xf>
    <xf numFmtId="1" fontId="8" fillId="0" borderId="34" xfId="0" applyNumberFormat="1" applyFont="1" applyBorder="1" applyAlignment="1">
      <alignment horizontal="center" vertical="center"/>
    </xf>
    <xf numFmtId="1" fontId="8" fillId="0" borderId="182" xfId="0" applyNumberFormat="1" applyFont="1" applyBorder="1" applyAlignment="1">
      <alignment horizontal="center" vertical="center"/>
    </xf>
    <xf numFmtId="0" fontId="63" fillId="0" borderId="0" xfId="0" applyFont="1" applyAlignment="1">
      <alignment horizontal="center"/>
    </xf>
    <xf numFmtId="1" fontId="63" fillId="0" borderId="0" xfId="0" applyNumberFormat="1" applyFont="1" applyAlignment="1">
      <alignment horizontal="center"/>
    </xf>
    <xf numFmtId="1" fontId="69" fillId="0" borderId="0" xfId="0" applyNumberFormat="1" applyFont="1" applyAlignment="1">
      <alignment horizontal="left"/>
    </xf>
    <xf numFmtId="0" fontId="8" fillId="0" borderId="0" xfId="24" applyAlignment="1">
      <alignment vertical="center" wrapText="1"/>
    </xf>
    <xf numFmtId="3" fontId="49" fillId="33" borderId="114" xfId="5" applyFont="1" applyFill="1" applyBorder="1" applyAlignment="1">
      <alignment horizontal="right" vertical="center" wrapText="1"/>
    </xf>
    <xf numFmtId="4" fontId="8" fillId="33" borderId="114" xfId="7" applyFont="1" applyFill="1" applyBorder="1" applyAlignment="1">
      <alignment horizontal="right" vertical="center" wrapText="1"/>
    </xf>
    <xf numFmtId="4" fontId="30" fillId="0" borderId="112" xfId="7" applyFont="1" applyFill="1" applyBorder="1" applyAlignment="1">
      <alignment horizontal="right" vertical="center" wrapText="1"/>
    </xf>
    <xf numFmtId="0" fontId="8" fillId="0" borderId="112" xfId="9" applyFont="1" applyFill="1" applyBorder="1" applyAlignment="1">
      <alignment horizontal="right" vertical="center" wrapText="1"/>
    </xf>
    <xf numFmtId="0" fontId="8" fillId="0" borderId="0" xfId="24" applyAlignment="1">
      <alignment wrapText="1"/>
    </xf>
    <xf numFmtId="2" fontId="8" fillId="0" borderId="0" xfId="24" applyNumberFormat="1"/>
    <xf numFmtId="2" fontId="0" fillId="0" borderId="0" xfId="24" applyNumberFormat="1" applyFont="1"/>
    <xf numFmtId="0" fontId="56" fillId="0" borderId="0" xfId="0" applyFont="1"/>
    <xf numFmtId="0" fontId="56" fillId="0" borderId="0" xfId="0" applyFont="1" applyAlignment="1">
      <alignment horizontal="center"/>
    </xf>
    <xf numFmtId="178" fontId="25" fillId="0" borderId="0" xfId="0" applyNumberFormat="1" applyFont="1"/>
    <xf numFmtId="179" fontId="8" fillId="23" borderId="19" xfId="14" applyNumberFormat="1" applyFont="1" applyFill="1" applyBorder="1" applyAlignment="1">
      <alignment horizontal="center"/>
    </xf>
    <xf numFmtId="0" fontId="44" fillId="8" borderId="70" xfId="0" applyFont="1" applyFill="1" applyBorder="1" applyAlignment="1">
      <alignment horizontal="center" vertical="center"/>
    </xf>
    <xf numFmtId="0" fontId="44" fillId="30" borderId="70" xfId="0" applyFont="1" applyFill="1" applyBorder="1" applyAlignment="1">
      <alignment horizontal="center" vertical="center"/>
    </xf>
    <xf numFmtId="4" fontId="24" fillId="8" borderId="112" xfId="7" applyFont="1" applyFill="1" applyBorder="1" applyAlignment="1">
      <alignment horizontal="right" vertical="center"/>
    </xf>
    <xf numFmtId="0" fontId="44" fillId="4" borderId="140" xfId="0" applyFont="1" applyFill="1" applyBorder="1" applyAlignment="1">
      <alignment horizontal="center"/>
    </xf>
    <xf numFmtId="0" fontId="26" fillId="31" borderId="10" xfId="0" applyFont="1" applyFill="1" applyBorder="1" applyAlignment="1">
      <alignment horizontal="center"/>
    </xf>
    <xf numFmtId="0" fontId="44" fillId="4" borderId="125" xfId="0" applyFont="1" applyFill="1" applyBorder="1" applyAlignment="1">
      <alignment horizontal="center"/>
    </xf>
    <xf numFmtId="0" fontId="26" fillId="31" borderId="188" xfId="0" applyFont="1" applyFill="1" applyBorder="1" applyAlignment="1">
      <alignment horizontal="center"/>
    </xf>
    <xf numFmtId="0" fontId="13" fillId="16" borderId="100" xfId="0" applyFont="1" applyFill="1" applyBorder="1" applyAlignment="1">
      <alignment horizontal="left" vertical="center"/>
    </xf>
    <xf numFmtId="184" fontId="0" fillId="16" borderId="96" xfId="0" applyNumberFormat="1" applyFill="1" applyBorder="1" applyAlignment="1">
      <alignment horizontal="center"/>
    </xf>
    <xf numFmtId="0" fontId="13" fillId="16" borderId="101" xfId="0" applyFont="1" applyFill="1" applyBorder="1" applyAlignment="1">
      <alignment horizontal="left" vertical="center"/>
    </xf>
    <xf numFmtId="9" fontId="0" fillId="16" borderId="97" xfId="14" applyFont="1" applyFill="1" applyBorder="1" applyAlignment="1">
      <alignment horizontal="center"/>
    </xf>
    <xf numFmtId="9" fontId="0" fillId="16" borderId="96" xfId="14" applyFont="1" applyFill="1" applyBorder="1" applyAlignment="1">
      <alignment horizontal="center"/>
    </xf>
    <xf numFmtId="2" fontId="0" fillId="16" borderId="97" xfId="0" applyNumberFormat="1" applyFill="1" applyBorder="1" applyAlignment="1">
      <alignment horizontal="center"/>
    </xf>
    <xf numFmtId="0" fontId="13" fillId="16" borderId="99" xfId="0" applyFont="1" applyFill="1" applyBorder="1" applyAlignment="1">
      <alignment horizontal="left" vertical="center"/>
    </xf>
    <xf numFmtId="2" fontId="0" fillId="16" borderId="95" xfId="0" applyNumberFormat="1" applyFill="1" applyBorder="1" applyAlignment="1">
      <alignment horizontal="center"/>
    </xf>
    <xf numFmtId="2" fontId="8" fillId="16" borderId="97" xfId="0" applyNumberFormat="1" applyFont="1" applyFill="1" applyBorder="1" applyAlignment="1">
      <alignment horizontal="center"/>
    </xf>
    <xf numFmtId="180" fontId="0" fillId="16" borderId="97" xfId="0" applyNumberFormat="1" applyFill="1" applyBorder="1" applyAlignment="1">
      <alignment horizontal="center"/>
    </xf>
    <xf numFmtId="9" fontId="0" fillId="0" borderId="95" xfId="14" applyFont="1" applyFill="1" applyBorder="1" applyAlignment="1">
      <alignment horizontal="center"/>
    </xf>
    <xf numFmtId="0" fontId="13" fillId="0" borderId="101" xfId="0" applyFont="1" applyBorder="1" applyAlignment="1">
      <alignment horizontal="left" vertical="center"/>
    </xf>
    <xf numFmtId="9" fontId="0" fillId="0" borderId="97" xfId="14" applyFont="1" applyFill="1" applyBorder="1" applyAlignment="1">
      <alignment horizontal="center"/>
    </xf>
    <xf numFmtId="2" fontId="0" fillId="0" borderId="95" xfId="0" applyNumberFormat="1" applyBorder="1" applyAlignment="1">
      <alignment horizontal="center"/>
    </xf>
    <xf numFmtId="0" fontId="13" fillId="0" borderId="100" xfId="0" applyFont="1" applyBorder="1" applyAlignment="1">
      <alignment horizontal="left" vertical="center"/>
    </xf>
    <xf numFmtId="2" fontId="0" fillId="0" borderId="97" xfId="0" applyNumberFormat="1" applyBorder="1" applyAlignment="1">
      <alignment horizontal="center"/>
    </xf>
    <xf numFmtId="2" fontId="8" fillId="16" borderId="95" xfId="0" applyNumberFormat="1" applyFont="1" applyFill="1" applyBorder="1" applyAlignment="1">
      <alignment horizontal="center"/>
    </xf>
    <xf numFmtId="2" fontId="0" fillId="16" borderId="96" xfId="0" applyNumberFormat="1" applyFill="1" applyBorder="1" applyAlignment="1">
      <alignment horizontal="center"/>
    </xf>
    <xf numFmtId="0" fontId="14" fillId="16" borderId="101" xfId="0" applyFont="1" applyFill="1" applyBorder="1" applyAlignment="1">
      <alignment horizontal="left" vertical="center"/>
    </xf>
    <xf numFmtId="2" fontId="0" fillId="16" borderId="97" xfId="14" applyNumberFormat="1" applyFont="1" applyFill="1" applyBorder="1" applyAlignment="1">
      <alignment horizontal="center"/>
    </xf>
    <xf numFmtId="187" fontId="0" fillId="16" borderId="97" xfId="0" applyNumberFormat="1" applyFill="1" applyBorder="1" applyAlignment="1">
      <alignment horizontal="center"/>
    </xf>
    <xf numFmtId="0" fontId="13" fillId="0" borderId="103" xfId="0" applyFont="1" applyBorder="1" applyAlignment="1">
      <alignment horizontal="left" vertical="center"/>
    </xf>
    <xf numFmtId="9" fontId="0" fillId="0" borderId="104" xfId="14" applyFont="1" applyFill="1" applyBorder="1" applyAlignment="1">
      <alignment horizontal="center"/>
    </xf>
    <xf numFmtId="10" fontId="8" fillId="0" borderId="96" xfId="14" applyNumberFormat="1" applyFont="1" applyFill="1" applyBorder="1" applyAlignment="1">
      <alignment horizontal="center"/>
    </xf>
    <xf numFmtId="10" fontId="0" fillId="0" borderId="96" xfId="14" applyNumberFormat="1" applyFont="1" applyFill="1" applyBorder="1" applyAlignment="1">
      <alignment horizontal="center"/>
    </xf>
    <xf numFmtId="180" fontId="0" fillId="0" borderId="96" xfId="0" applyNumberFormat="1" applyBorder="1" applyAlignment="1">
      <alignment horizontal="center"/>
    </xf>
    <xf numFmtId="180" fontId="8" fillId="0" borderId="95" xfId="0" applyNumberFormat="1" applyFont="1" applyBorder="1" applyAlignment="1">
      <alignment horizontal="center"/>
    </xf>
    <xf numFmtId="180" fontId="0" fillId="0" borderId="95" xfId="0" applyNumberFormat="1" applyBorder="1" applyAlignment="1">
      <alignment horizontal="center"/>
    </xf>
    <xf numFmtId="2" fontId="0" fillId="0" borderId="96" xfId="0" applyNumberFormat="1" applyBorder="1" applyAlignment="1">
      <alignment horizontal="center"/>
    </xf>
    <xf numFmtId="180" fontId="0" fillId="0" borderId="97" xfId="0" applyNumberFormat="1" applyBorder="1" applyAlignment="1">
      <alignment horizontal="center"/>
    </xf>
    <xf numFmtId="179" fontId="0" fillId="0" borderId="95" xfId="14" applyNumberFormat="1" applyFont="1" applyFill="1" applyBorder="1" applyAlignment="1">
      <alignment horizontal="center"/>
    </xf>
    <xf numFmtId="184" fontId="25" fillId="17" borderId="193" xfId="0" applyNumberFormat="1" applyFont="1" applyFill="1" applyBorder="1" applyAlignment="1">
      <alignment horizontal="center"/>
    </xf>
    <xf numFmtId="184" fontId="25" fillId="17" borderId="194" xfId="0" applyNumberFormat="1" applyFont="1" applyFill="1" applyBorder="1" applyAlignment="1">
      <alignment horizontal="center"/>
    </xf>
    <xf numFmtId="9" fontId="25" fillId="30" borderId="72" xfId="14" applyFont="1" applyFill="1" applyBorder="1" applyAlignment="1">
      <alignment horizontal="center" vertical="center"/>
    </xf>
    <xf numFmtId="9" fontId="25" fillId="17" borderId="193" xfId="14" applyFont="1" applyFill="1" applyBorder="1" applyAlignment="1">
      <alignment horizontal="center"/>
    </xf>
    <xf numFmtId="9" fontId="25" fillId="17" borderId="102" xfId="14" applyFont="1" applyFill="1" applyBorder="1" applyAlignment="1">
      <alignment horizontal="center"/>
    </xf>
    <xf numFmtId="9" fontId="25" fillId="17" borderId="194" xfId="14" applyFont="1" applyFill="1" applyBorder="1" applyAlignment="1">
      <alignment horizontal="center"/>
    </xf>
    <xf numFmtId="0" fontId="25" fillId="30" borderId="72" xfId="0" applyFont="1" applyFill="1" applyBorder="1" applyAlignment="1">
      <alignment horizontal="center" vertical="center"/>
    </xf>
    <xf numFmtId="2" fontId="25" fillId="17" borderId="102" xfId="0" applyNumberFormat="1" applyFont="1" applyFill="1" applyBorder="1" applyAlignment="1">
      <alignment horizontal="center"/>
    </xf>
    <xf numFmtId="2" fontId="25" fillId="17" borderId="194" xfId="0" applyNumberFormat="1" applyFont="1" applyFill="1" applyBorder="1" applyAlignment="1">
      <alignment horizontal="center"/>
    </xf>
    <xf numFmtId="2" fontId="25" fillId="30" borderId="72" xfId="14" applyNumberFormat="1" applyFont="1" applyFill="1" applyBorder="1" applyAlignment="1">
      <alignment horizontal="center" vertical="center"/>
    </xf>
    <xf numFmtId="2" fontId="25" fillId="17" borderId="193" xfId="0" applyNumberFormat="1" applyFont="1" applyFill="1" applyBorder="1" applyAlignment="1">
      <alignment horizontal="center"/>
    </xf>
    <xf numFmtId="10" fontId="25" fillId="30" borderId="72" xfId="0" applyNumberFormat="1" applyFont="1" applyFill="1" applyBorder="1" applyAlignment="1">
      <alignment horizontal="center" vertical="center"/>
    </xf>
    <xf numFmtId="182" fontId="25" fillId="30" borderId="72" xfId="17" applyNumberFormat="1" applyFont="1" applyFill="1" applyBorder="1" applyAlignment="1">
      <alignment horizontal="center" vertical="center"/>
    </xf>
    <xf numFmtId="2" fontId="25" fillId="17" borderId="102" xfId="14" applyNumberFormat="1" applyFont="1" applyFill="1" applyBorder="1" applyAlignment="1">
      <alignment horizontal="center"/>
    </xf>
    <xf numFmtId="0" fontId="25" fillId="30" borderId="72" xfId="0" applyFont="1" applyFill="1" applyBorder="1" applyAlignment="1">
      <alignment horizontal="center"/>
    </xf>
    <xf numFmtId="9" fontId="25" fillId="17" borderId="74" xfId="14" applyFont="1" applyFill="1" applyBorder="1" applyAlignment="1">
      <alignment horizontal="center"/>
    </xf>
    <xf numFmtId="0" fontId="13" fillId="0" borderId="89" xfId="0" applyFont="1" applyBorder="1" applyAlignment="1">
      <alignment horizontal="left"/>
    </xf>
    <xf numFmtId="3" fontId="51" fillId="0" borderId="144" xfId="0" applyNumberFormat="1" applyFont="1" applyBorder="1" applyAlignment="1">
      <alignment horizontal="center" vertical="center"/>
    </xf>
    <xf numFmtId="3" fontId="51" fillId="7" borderId="145" xfId="0" applyNumberFormat="1" applyFont="1" applyFill="1" applyBorder="1" applyAlignment="1">
      <alignment horizontal="center" vertical="center"/>
    </xf>
    <xf numFmtId="0" fontId="51" fillId="0" borderId="195" xfId="0" applyFont="1" applyBorder="1"/>
    <xf numFmtId="4" fontId="5" fillId="0" borderId="196" xfId="27" applyNumberFormat="1" applyBorder="1" applyAlignment="1">
      <alignment horizontal="center"/>
    </xf>
    <xf numFmtId="0" fontId="51" fillId="0" borderId="43" xfId="0" applyFont="1" applyBorder="1"/>
    <xf numFmtId="10" fontId="5" fillId="0" borderId="0" xfId="27" quotePrefix="1" applyNumberFormat="1" applyAlignment="1">
      <alignment horizontal="right"/>
    </xf>
    <xf numFmtId="3" fontId="56" fillId="39" borderId="146" xfId="0" applyNumberFormat="1" applyFont="1" applyFill="1" applyBorder="1" applyAlignment="1">
      <alignment horizontal="center" vertical="center"/>
    </xf>
    <xf numFmtId="0" fontId="56" fillId="40" borderId="146" xfId="0" applyFont="1" applyFill="1" applyBorder="1" applyAlignment="1">
      <alignment horizontal="center" vertical="center"/>
    </xf>
    <xf numFmtId="3" fontId="56" fillId="39" borderId="146" xfId="0" quotePrefix="1" applyNumberFormat="1" applyFont="1" applyFill="1" applyBorder="1" applyAlignment="1">
      <alignment horizontal="center" vertical="center"/>
    </xf>
    <xf numFmtId="3" fontId="56" fillId="0" borderId="146" xfId="0" applyNumberFormat="1" applyFont="1" applyBorder="1" applyAlignment="1">
      <alignment horizontal="center" vertical="center"/>
    </xf>
    <xf numFmtId="3" fontId="56" fillId="40" borderId="182" xfId="0" applyNumberFormat="1" applyFont="1" applyFill="1" applyBorder="1" applyAlignment="1">
      <alignment horizontal="center" vertical="center"/>
    </xf>
    <xf numFmtId="1" fontId="51" fillId="39" borderId="197" xfId="0" applyNumberFormat="1" applyFont="1" applyFill="1" applyBorder="1" applyAlignment="1">
      <alignment horizontal="center" vertical="center"/>
    </xf>
    <xf numFmtId="1" fontId="51" fillId="39" borderId="177" xfId="0" applyNumberFormat="1" applyFont="1" applyFill="1" applyBorder="1" applyAlignment="1">
      <alignment horizontal="center" vertical="center"/>
    </xf>
    <xf numFmtId="1" fontId="51" fillId="39" borderId="3" xfId="0" applyNumberFormat="1" applyFont="1" applyFill="1" applyBorder="1" applyAlignment="1">
      <alignment horizontal="center" vertical="center"/>
    </xf>
    <xf numFmtId="1" fontId="51" fillId="39" borderId="34" xfId="0" applyNumberFormat="1" applyFont="1" applyFill="1" applyBorder="1" applyAlignment="1">
      <alignment horizontal="center" vertical="center"/>
    </xf>
    <xf numFmtId="1" fontId="0" fillId="0" borderId="177" xfId="0" applyNumberFormat="1" applyBorder="1" applyAlignment="1">
      <alignment horizontal="center" vertical="center"/>
    </xf>
    <xf numFmtId="1" fontId="0" fillId="0" borderId="3" xfId="0" applyNumberFormat="1" applyBorder="1" applyAlignment="1">
      <alignment horizontal="center" vertical="center"/>
    </xf>
    <xf numFmtId="1" fontId="0" fillId="0" borderId="182" xfId="0" applyNumberFormat="1" applyBorder="1" applyAlignment="1">
      <alignment horizontal="center" vertical="center"/>
    </xf>
    <xf numFmtId="1" fontId="0" fillId="0" borderId="35" xfId="0" applyNumberFormat="1" applyBorder="1" applyAlignment="1">
      <alignment horizontal="center" vertical="center"/>
    </xf>
    <xf numFmtId="1" fontId="51" fillId="0" borderId="144" xfId="0" applyNumberFormat="1" applyFont="1" applyBorder="1" applyAlignment="1">
      <alignment horizontal="center" vertical="center"/>
    </xf>
    <xf numFmtId="1" fontId="51" fillId="0" borderId="2" xfId="0" applyNumberFormat="1" applyFont="1" applyBorder="1" applyAlignment="1">
      <alignment horizontal="center" vertical="center"/>
    </xf>
    <xf numFmtId="1" fontId="51" fillId="0" borderId="175" xfId="0" applyNumberFormat="1" applyFont="1" applyBorder="1" applyAlignment="1">
      <alignment horizontal="center" vertical="center"/>
    </xf>
    <xf numFmtId="1" fontId="51" fillId="0" borderId="38" xfId="0" applyNumberFormat="1" applyFont="1" applyBorder="1" applyAlignment="1">
      <alignment horizontal="center" vertical="center"/>
    </xf>
    <xf numFmtId="4" fontId="5" fillId="0" borderId="182" xfId="27" applyNumberFormat="1" applyBorder="1" applyAlignment="1">
      <alignment horizontal="center"/>
    </xf>
    <xf numFmtId="4" fontId="5" fillId="0" borderId="177" xfId="27" applyNumberFormat="1" applyBorder="1" applyAlignment="1">
      <alignment horizontal="center"/>
    </xf>
    <xf numFmtId="4" fontId="5" fillId="0" borderId="3" xfId="27" applyNumberFormat="1" applyBorder="1" applyAlignment="1">
      <alignment horizontal="center"/>
    </xf>
    <xf numFmtId="4" fontId="5" fillId="0" borderId="35" xfId="27" applyNumberFormat="1" applyBorder="1" applyAlignment="1">
      <alignment horizontal="center"/>
    </xf>
    <xf numFmtId="0" fontId="26" fillId="0" borderId="0" xfId="24" applyFont="1" applyAlignment="1">
      <alignment horizontal="center" vertical="center"/>
    </xf>
    <xf numFmtId="4" fontId="24" fillId="0" borderId="0" xfId="7" applyFont="1" applyFill="1" applyBorder="1">
      <alignment horizontal="right"/>
    </xf>
    <xf numFmtId="0" fontId="44" fillId="30" borderId="63" xfId="0" applyFont="1" applyFill="1" applyBorder="1" applyAlignment="1">
      <alignment horizontal="left" vertical="center"/>
    </xf>
    <xf numFmtId="10" fontId="0" fillId="0" borderId="51" xfId="0" applyNumberFormat="1" applyBorder="1" applyAlignment="1">
      <alignment horizontal="center" vertical="center"/>
    </xf>
    <xf numFmtId="0" fontId="13" fillId="7" borderId="103" xfId="0" applyFont="1" applyFill="1" applyBorder="1" applyAlignment="1">
      <alignment horizontal="left" vertical="center"/>
    </xf>
    <xf numFmtId="10" fontId="0" fillId="7" borderId="104" xfId="14" applyNumberFormat="1" applyFont="1" applyFill="1" applyBorder="1" applyAlignment="1">
      <alignment horizontal="center" vertical="center"/>
    </xf>
    <xf numFmtId="10" fontId="0" fillId="7" borderId="105" xfId="14" applyNumberFormat="1" applyFont="1" applyFill="1" applyBorder="1" applyAlignment="1">
      <alignment horizontal="center" vertical="center"/>
    </xf>
    <xf numFmtId="0" fontId="55" fillId="35" borderId="74" xfId="0" applyFont="1" applyFill="1" applyBorder="1" applyAlignment="1">
      <alignment horizontal="center" vertical="center"/>
    </xf>
    <xf numFmtId="184" fontId="0" fillId="0" borderId="193" xfId="0" applyNumberFormat="1" applyBorder="1" applyAlignment="1">
      <alignment horizontal="center"/>
    </xf>
    <xf numFmtId="184" fontId="0" fillId="16" borderId="194" xfId="0" applyNumberFormat="1" applyFill="1" applyBorder="1" applyAlignment="1">
      <alignment horizontal="center"/>
    </xf>
    <xf numFmtId="0" fontId="0" fillId="30" borderId="72" xfId="0" applyFill="1" applyBorder="1" applyAlignment="1">
      <alignment horizontal="center"/>
    </xf>
    <xf numFmtId="9" fontId="0" fillId="0" borderId="193" xfId="14" applyFont="1" applyFill="1" applyBorder="1" applyAlignment="1">
      <alignment horizontal="center"/>
    </xf>
    <xf numFmtId="9" fontId="0" fillId="16" borderId="102" xfId="14" applyFont="1" applyFill="1" applyBorder="1" applyAlignment="1">
      <alignment horizontal="center"/>
    </xf>
    <xf numFmtId="9" fontId="0" fillId="0" borderId="102" xfId="14" applyFont="1" applyFill="1" applyBorder="1" applyAlignment="1">
      <alignment horizontal="center"/>
    </xf>
    <xf numFmtId="9" fontId="0" fillId="16" borderId="194" xfId="14" applyFont="1" applyFill="1" applyBorder="1" applyAlignment="1">
      <alignment horizontal="center"/>
    </xf>
    <xf numFmtId="2" fontId="0" fillId="0" borderId="193" xfId="0" applyNumberFormat="1" applyBorder="1" applyAlignment="1">
      <alignment horizontal="center"/>
    </xf>
    <xf numFmtId="2" fontId="0" fillId="16" borderId="102" xfId="0" applyNumberFormat="1" applyFill="1" applyBorder="1" applyAlignment="1">
      <alignment horizontal="center"/>
    </xf>
    <xf numFmtId="2" fontId="0" fillId="0" borderId="194" xfId="0" applyNumberFormat="1" applyBorder="1" applyAlignment="1">
      <alignment horizontal="center"/>
    </xf>
    <xf numFmtId="2" fontId="0" fillId="16" borderId="193" xfId="0" applyNumberFormat="1" applyFill="1" applyBorder="1" applyAlignment="1">
      <alignment horizontal="center"/>
    </xf>
    <xf numFmtId="2" fontId="0" fillId="0" borderId="102" xfId="0" applyNumberFormat="1" applyBorder="1" applyAlignment="1">
      <alignment horizontal="center"/>
    </xf>
    <xf numFmtId="2" fontId="0" fillId="16" borderId="194" xfId="0" applyNumberFormat="1" applyFill="1" applyBorder="1" applyAlignment="1">
      <alignment horizontal="center"/>
    </xf>
    <xf numFmtId="180" fontId="0" fillId="0" borderId="193" xfId="0" applyNumberFormat="1" applyBorder="1" applyAlignment="1">
      <alignment horizontal="center"/>
    </xf>
    <xf numFmtId="180" fontId="0" fillId="16" borderId="102" xfId="0" applyNumberFormat="1" applyFill="1" applyBorder="1" applyAlignment="1">
      <alignment horizontal="center"/>
    </xf>
    <xf numFmtId="180" fontId="0" fillId="0" borderId="102" xfId="0" applyNumberFormat="1" applyBorder="1" applyAlignment="1">
      <alignment horizontal="center"/>
    </xf>
    <xf numFmtId="180" fontId="0" fillId="0" borderId="194" xfId="0" applyNumberFormat="1" applyBorder="1" applyAlignment="1">
      <alignment horizontal="center"/>
    </xf>
    <xf numFmtId="179" fontId="0" fillId="0" borderId="193" xfId="14" applyNumberFormat="1" applyFont="1" applyFill="1" applyBorder="1" applyAlignment="1">
      <alignment horizontal="center"/>
    </xf>
    <xf numFmtId="2" fontId="0" fillId="16" borderId="102" xfId="14" applyNumberFormat="1" applyFont="1" applyFill="1" applyBorder="1" applyAlignment="1">
      <alignment horizontal="center"/>
    </xf>
    <xf numFmtId="10" fontId="0" fillId="0" borderId="194" xfId="14" applyNumberFormat="1" applyFont="1" applyFill="1" applyBorder="1" applyAlignment="1">
      <alignment horizontal="center"/>
    </xf>
    <xf numFmtId="10" fontId="0" fillId="16" borderId="102" xfId="14" applyNumberFormat="1" applyFont="1" applyFill="1" applyBorder="1" applyAlignment="1">
      <alignment horizontal="center" vertical="center"/>
    </xf>
    <xf numFmtId="187" fontId="0" fillId="7" borderId="102" xfId="0" applyNumberFormat="1" applyFill="1" applyBorder="1" applyAlignment="1">
      <alignment horizontal="right" vertical="center"/>
    </xf>
    <xf numFmtId="187" fontId="0" fillId="16" borderId="102" xfId="0" applyNumberFormat="1" applyFill="1" applyBorder="1" applyAlignment="1">
      <alignment horizontal="center"/>
    </xf>
    <xf numFmtId="9" fontId="0" fillId="0" borderId="105" xfId="14" applyFont="1" applyFill="1" applyBorder="1" applyAlignment="1">
      <alignment horizontal="center"/>
    </xf>
    <xf numFmtId="0" fontId="71" fillId="35" borderId="72" xfId="0" applyFont="1" applyFill="1" applyBorder="1" applyAlignment="1">
      <alignment horizontal="center" vertical="center" wrapText="1"/>
    </xf>
    <xf numFmtId="9" fontId="0" fillId="0" borderId="0" xfId="14" applyFont="1" applyBorder="1" applyAlignment="1">
      <alignment horizontal="center" vertical="center"/>
    </xf>
    <xf numFmtId="0" fontId="26" fillId="4" borderId="201" xfId="24" applyFont="1" applyFill="1" applyBorder="1" applyAlignment="1">
      <alignment horizontal="center" vertical="center"/>
    </xf>
    <xf numFmtId="4" fontId="24" fillId="27" borderId="202" xfId="7" applyFont="1" applyFill="1" applyBorder="1">
      <alignment horizontal="right"/>
    </xf>
    <xf numFmtId="4" fontId="8" fillId="11" borderId="202" xfId="7" applyFont="1" applyFill="1" applyBorder="1">
      <alignment horizontal="right"/>
    </xf>
    <xf numFmtId="4" fontId="30" fillId="8" borderId="203" xfId="7" applyFont="1" applyFill="1" applyBorder="1">
      <alignment horizontal="right"/>
    </xf>
    <xf numFmtId="0" fontId="55" fillId="35" borderId="0" xfId="22" applyFont="1" applyFill="1"/>
    <xf numFmtId="0" fontId="72" fillId="35" borderId="0" xfId="22" applyFont="1" applyFill="1" applyAlignment="1">
      <alignment horizontal="left" vertical="center"/>
    </xf>
    <xf numFmtId="0" fontId="72" fillId="35" borderId="0" xfId="22" applyFont="1" applyFill="1" applyAlignment="1">
      <alignment horizontal="center" vertical="center"/>
    </xf>
    <xf numFmtId="0" fontId="8" fillId="30" borderId="0" xfId="22" applyFill="1"/>
    <xf numFmtId="0" fontId="8" fillId="0" borderId="0" xfId="22"/>
    <xf numFmtId="10" fontId="0" fillId="0" borderId="0" xfId="14" applyNumberFormat="1" applyFont="1" applyAlignment="1">
      <alignment horizontal="left"/>
    </xf>
    <xf numFmtId="0" fontId="13" fillId="0" borderId="0" xfId="22" applyFont="1"/>
    <xf numFmtId="0" fontId="8" fillId="7" borderId="0" xfId="22" applyFill="1"/>
    <xf numFmtId="0" fontId="36" fillId="0" borderId="0" xfId="22" applyFont="1"/>
    <xf numFmtId="10" fontId="8" fillId="7" borderId="0" xfId="22" applyNumberFormat="1" applyFill="1"/>
    <xf numFmtId="0" fontId="8" fillId="0" borderId="0" xfId="22" applyAlignment="1">
      <alignment horizontal="left"/>
    </xf>
    <xf numFmtId="0" fontId="13" fillId="0" borderId="0" xfId="22" applyFont="1" applyAlignment="1">
      <alignment horizontal="center"/>
    </xf>
    <xf numFmtId="10" fontId="73" fillId="0" borderId="0" xfId="22" applyNumberFormat="1" applyFont="1" applyAlignment="1">
      <alignment horizontal="center"/>
    </xf>
    <xf numFmtId="10" fontId="8" fillId="0" borderId="0" xfId="22" applyNumberFormat="1"/>
    <xf numFmtId="0" fontId="47" fillId="30" borderId="0" xfId="22" applyFont="1" applyFill="1"/>
    <xf numFmtId="0" fontId="0" fillId="6" borderId="0" xfId="0" applyFill="1"/>
    <xf numFmtId="0" fontId="26" fillId="31" borderId="212" xfId="0" applyFont="1" applyFill="1" applyBorder="1" applyAlignment="1">
      <alignment horizontal="center"/>
    </xf>
    <xf numFmtId="0" fontId="13" fillId="0" borderId="212" xfId="0" applyFont="1" applyBorder="1" applyAlignment="1">
      <alignment horizontal="center"/>
    </xf>
    <xf numFmtId="0" fontId="0" fillId="0" borderId="212" xfId="0" applyBorder="1" applyAlignment="1">
      <alignment horizontal="center"/>
    </xf>
    <xf numFmtId="0" fontId="26" fillId="9" borderId="63" xfId="0" applyFont="1" applyFill="1" applyBorder="1" applyAlignment="1">
      <alignment horizontal="center" vertical="center" wrapText="1"/>
    </xf>
    <xf numFmtId="0" fontId="26" fillId="10" borderId="63" xfId="0" applyFont="1" applyFill="1" applyBorder="1" applyAlignment="1">
      <alignment horizontal="center" vertical="center" wrapText="1"/>
    </xf>
    <xf numFmtId="0" fontId="45" fillId="14" borderId="63" xfId="0" applyFont="1" applyFill="1" applyBorder="1" applyAlignment="1">
      <alignment horizontal="center" vertical="center" wrapText="1"/>
    </xf>
    <xf numFmtId="0" fontId="26" fillId="22" borderId="63" xfId="0" applyFont="1" applyFill="1" applyBorder="1" applyAlignment="1">
      <alignment horizontal="center" vertical="center" wrapText="1"/>
    </xf>
    <xf numFmtId="0" fontId="26" fillId="15" borderId="63" xfId="0" applyFont="1" applyFill="1" applyBorder="1" applyAlignment="1">
      <alignment horizontal="center" vertical="center" wrapText="1"/>
    </xf>
    <xf numFmtId="0" fontId="54" fillId="0" borderId="0" xfId="22" applyFont="1" applyAlignment="1">
      <alignment horizontal="center"/>
    </xf>
    <xf numFmtId="0" fontId="8" fillId="23" borderId="0" xfId="0" applyFont="1" applyFill="1" applyAlignment="1">
      <alignment horizontal="center" vertical="center"/>
    </xf>
    <xf numFmtId="188" fontId="74" fillId="45" borderId="0" xfId="14" applyNumberFormat="1" applyFont="1" applyFill="1" applyBorder="1" applyAlignment="1">
      <alignment horizontal="center"/>
    </xf>
    <xf numFmtId="0" fontId="55" fillId="0" borderId="0" xfId="22" applyFont="1"/>
    <xf numFmtId="0" fontId="72" fillId="0" borderId="0" xfId="22" applyFont="1" applyAlignment="1">
      <alignment horizontal="center" vertical="center"/>
    </xf>
    <xf numFmtId="0" fontId="73" fillId="0" borderId="0" xfId="0" applyFont="1" applyAlignment="1">
      <alignment horizontal="center"/>
    </xf>
    <xf numFmtId="0" fontId="8" fillId="7" borderId="0" xfId="22" applyFill="1" applyAlignment="1">
      <alignment horizontal="center" vertical="center"/>
    </xf>
    <xf numFmtId="0" fontId="13" fillId="7" borderId="0" xfId="22" applyFont="1" applyFill="1" applyAlignment="1">
      <alignment horizontal="center" vertical="center"/>
    </xf>
    <xf numFmtId="0" fontId="8" fillId="0" borderId="0" xfId="22" applyAlignment="1">
      <alignment horizontal="center" vertical="center"/>
    </xf>
    <xf numFmtId="0" fontId="76" fillId="4" borderId="112" xfId="4" applyFont="1" applyFill="1" applyBorder="1" applyAlignment="1">
      <alignment horizontal="center" vertical="center"/>
    </xf>
    <xf numFmtId="0" fontId="44" fillId="22" borderId="71" xfId="0" applyFont="1" applyFill="1" applyBorder="1" applyAlignment="1">
      <alignment horizontal="center" vertical="center" wrapText="1"/>
    </xf>
    <xf numFmtId="0" fontId="44" fillId="15" borderId="72" xfId="0" applyFont="1" applyFill="1" applyBorder="1" applyAlignment="1">
      <alignment horizontal="center" vertical="center" wrapText="1"/>
    </xf>
    <xf numFmtId="0" fontId="0" fillId="0" borderId="119" xfId="0" applyBorder="1" applyAlignment="1">
      <alignment horizontal="center"/>
    </xf>
    <xf numFmtId="0" fontId="62" fillId="34" borderId="118" xfId="0" applyFont="1" applyFill="1" applyBorder="1" applyAlignment="1">
      <alignment horizontal="center" vertical="center"/>
    </xf>
    <xf numFmtId="9" fontId="62" fillId="34" borderId="118" xfId="14" applyFont="1" applyFill="1" applyBorder="1" applyAlignment="1">
      <alignment horizontal="center" vertical="center" wrapText="1"/>
    </xf>
    <xf numFmtId="0" fontId="62" fillId="34" borderId="118" xfId="0" applyFont="1" applyFill="1" applyBorder="1" applyAlignment="1">
      <alignment horizontal="center" vertical="center" wrapText="1"/>
    </xf>
    <xf numFmtId="0" fontId="0" fillId="7" borderId="0" xfId="0" applyFill="1" applyAlignment="1">
      <alignment horizontal="center" vertical="center"/>
    </xf>
    <xf numFmtId="0" fontId="0" fillId="0" borderId="0" xfId="0" applyAlignment="1">
      <alignment vertical="center"/>
    </xf>
    <xf numFmtId="0" fontId="0" fillId="0" borderId="46" xfId="0" applyBorder="1" applyAlignment="1">
      <alignment horizontal="center" vertical="center"/>
    </xf>
    <xf numFmtId="2" fontId="0" fillId="0" borderId="46" xfId="0" applyNumberFormat="1" applyBorder="1" applyAlignment="1">
      <alignment horizontal="center" vertical="center"/>
    </xf>
    <xf numFmtId="2" fontId="62" fillId="0" borderId="46" xfId="0" applyNumberFormat="1" applyFont="1" applyBorder="1" applyAlignment="1">
      <alignment horizontal="center" vertical="center"/>
    </xf>
    <xf numFmtId="0" fontId="0" fillId="7" borderId="46" xfId="0" applyFill="1" applyBorder="1" applyAlignment="1">
      <alignment horizontal="center" vertical="center"/>
    </xf>
    <xf numFmtId="2" fontId="0" fillId="7" borderId="46" xfId="0" applyNumberFormat="1" applyFill="1" applyBorder="1" applyAlignment="1">
      <alignment horizontal="center" vertical="center"/>
    </xf>
    <xf numFmtId="0" fontId="0" fillId="0" borderId="122" xfId="0" applyBorder="1" applyAlignment="1">
      <alignment horizontal="center"/>
    </xf>
    <xf numFmtId="0" fontId="79" fillId="0" borderId="46" xfId="0" applyFont="1" applyBorder="1" applyAlignment="1">
      <alignment horizontal="center" vertical="center"/>
    </xf>
    <xf numFmtId="9" fontId="75" fillId="34" borderId="46" xfId="14" applyFont="1" applyFill="1" applyBorder="1" applyAlignment="1">
      <alignment horizontal="center" vertical="center" wrapText="1"/>
    </xf>
    <xf numFmtId="9" fontId="75" fillId="34" borderId="46" xfId="14" applyFont="1" applyFill="1" applyBorder="1" applyAlignment="1">
      <alignment horizontal="center" vertical="center"/>
    </xf>
    <xf numFmtId="0" fontId="25" fillId="7" borderId="0" xfId="0" applyFont="1" applyFill="1" applyAlignment="1">
      <alignment horizontal="center" vertical="center"/>
    </xf>
    <xf numFmtId="0" fontId="0" fillId="0" borderId="119" xfId="0" applyBorder="1" applyAlignment="1">
      <alignment horizontal="center" vertical="center"/>
    </xf>
    <xf numFmtId="0" fontId="0" fillId="0" borderId="118" xfId="0" applyBorder="1" applyAlignment="1">
      <alignment horizontal="center" vertical="center"/>
    </xf>
    <xf numFmtId="0" fontId="26" fillId="31" borderId="0" xfId="0" applyFont="1" applyFill="1" applyAlignment="1">
      <alignment vertical="center"/>
    </xf>
    <xf numFmtId="0" fontId="0" fillId="0" borderId="216" xfId="0" applyBorder="1" applyAlignment="1">
      <alignment horizontal="center" vertical="center"/>
    </xf>
    <xf numFmtId="0" fontId="0" fillId="0" borderId="122" xfId="0" applyBorder="1" applyAlignment="1">
      <alignment horizontal="center" vertical="center"/>
    </xf>
    <xf numFmtId="0" fontId="0" fillId="7" borderId="218" xfId="0" applyFill="1" applyBorder="1" applyAlignment="1">
      <alignment horizontal="center" vertical="center"/>
    </xf>
    <xf numFmtId="0" fontId="77" fillId="31" borderId="0" xfId="0" applyFont="1" applyFill="1" applyAlignment="1">
      <alignment horizontal="left" vertical="center"/>
    </xf>
    <xf numFmtId="0" fontId="0" fillId="0" borderId="218" xfId="0" applyBorder="1" applyAlignment="1">
      <alignment horizontal="center" vertical="center"/>
    </xf>
    <xf numFmtId="0" fontId="0" fillId="7" borderId="0" xfId="0" applyFill="1" applyAlignment="1">
      <alignment vertical="center"/>
    </xf>
    <xf numFmtId="0" fontId="13" fillId="0" borderId="0" xfId="0" applyFont="1" applyAlignment="1">
      <alignment vertical="center"/>
    </xf>
    <xf numFmtId="0" fontId="0" fillId="0" borderId="121" xfId="0" applyBorder="1" applyAlignment="1">
      <alignment horizontal="center" vertical="center"/>
    </xf>
    <xf numFmtId="0" fontId="0" fillId="0" borderId="183" xfId="0" applyBorder="1" applyAlignment="1">
      <alignment horizontal="center" vertical="center"/>
    </xf>
    <xf numFmtId="190" fontId="0" fillId="0" borderId="46" xfId="0" applyNumberFormat="1" applyBorder="1" applyAlignment="1">
      <alignment horizontal="center" vertical="center"/>
    </xf>
    <xf numFmtId="9" fontId="62" fillId="11" borderId="118" xfId="14" applyFont="1" applyFill="1" applyBorder="1" applyAlignment="1">
      <alignment horizontal="center" vertical="center" wrapText="1"/>
    </xf>
    <xf numFmtId="0" fontId="62" fillId="11" borderId="118" xfId="14" applyNumberFormat="1" applyFont="1" applyFill="1" applyBorder="1" applyAlignment="1">
      <alignment horizontal="center" vertical="center" wrapText="1"/>
    </xf>
    <xf numFmtId="9" fontId="75" fillId="11" borderId="46" xfId="14" applyFont="1" applyFill="1" applyBorder="1" applyAlignment="1">
      <alignment horizontal="center" vertical="center" wrapText="1"/>
    </xf>
    <xf numFmtId="3" fontId="59" fillId="37" borderId="172" xfId="0" applyNumberFormat="1" applyFont="1" applyFill="1" applyBorder="1" applyAlignment="1">
      <alignment horizontal="center" vertical="center"/>
    </xf>
    <xf numFmtId="3" fontId="1" fillId="42" borderId="44" xfId="28" applyNumberFormat="1" applyFont="1" applyFill="1" applyBorder="1" applyAlignment="1">
      <alignment horizontal="center" vertical="center"/>
    </xf>
    <xf numFmtId="191" fontId="8" fillId="0" borderId="97" xfId="0" applyNumberFormat="1" applyFont="1" applyBorder="1" applyAlignment="1">
      <alignment horizontal="center"/>
    </xf>
    <xf numFmtId="9" fontId="8" fillId="0" borderId="107" xfId="14" applyFont="1" applyBorder="1" applyAlignment="1">
      <alignment horizontal="center" vertical="center"/>
    </xf>
    <xf numFmtId="9" fontId="8" fillId="16" borderId="97" xfId="14" applyFont="1" applyFill="1" applyBorder="1" applyAlignment="1">
      <alignment horizontal="center" vertical="center"/>
    </xf>
    <xf numFmtId="179" fontId="33" fillId="18" borderId="0" xfId="14" applyNumberFormat="1" applyFont="1" applyFill="1" applyAlignment="1">
      <alignment horizontal="center"/>
    </xf>
    <xf numFmtId="10" fontId="33" fillId="18" borderId="0" xfId="0" applyNumberFormat="1" applyFont="1" applyFill="1" applyAlignment="1">
      <alignment horizontal="center"/>
    </xf>
    <xf numFmtId="0" fontId="1" fillId="0" borderId="46" xfId="0" applyFont="1" applyBorder="1"/>
    <xf numFmtId="177" fontId="1" fillId="0" borderId="46" xfId="0" applyNumberFormat="1" applyFont="1" applyBorder="1" applyAlignment="1">
      <alignment horizontal="center"/>
    </xf>
    <xf numFmtId="177" fontId="1" fillId="0" borderId="0" xfId="0" applyNumberFormat="1" applyFont="1" applyAlignment="1">
      <alignment horizontal="center"/>
    </xf>
    <xf numFmtId="1" fontId="51" fillId="0" borderId="1" xfId="0" applyNumberFormat="1" applyFont="1" applyBorder="1" applyAlignment="1">
      <alignment horizontal="center" vertical="center"/>
    </xf>
    <xf numFmtId="1" fontId="51" fillId="0" borderId="222" xfId="0" applyNumberFormat="1" applyFont="1" applyBorder="1" applyAlignment="1">
      <alignment horizontal="center" vertical="center"/>
    </xf>
    <xf numFmtId="4" fontId="5" fillId="0" borderId="175" xfId="27" applyNumberFormat="1" applyBorder="1" applyAlignment="1">
      <alignment horizontal="center"/>
    </xf>
    <xf numFmtId="1" fontId="51" fillId="0" borderId="223" xfId="0" applyNumberFormat="1" applyFont="1" applyBorder="1" applyAlignment="1">
      <alignment horizontal="center" vertical="center"/>
    </xf>
    <xf numFmtId="3" fontId="4" fillId="42" borderId="155" xfId="28" applyNumberFormat="1" applyFill="1" applyBorder="1" applyAlignment="1">
      <alignment horizontal="center" vertical="center"/>
    </xf>
    <xf numFmtId="0" fontId="80" fillId="29" borderId="0" xfId="0" applyFont="1" applyFill="1"/>
    <xf numFmtId="9" fontId="8" fillId="7" borderId="23" xfId="14" applyFont="1" applyFill="1" applyBorder="1" applyAlignment="1">
      <alignment horizontal="center"/>
    </xf>
    <xf numFmtId="179" fontId="8" fillId="7" borderId="23" xfId="14" applyNumberFormat="1" applyFont="1" applyFill="1" applyBorder="1" applyAlignment="1">
      <alignment horizontal="center"/>
    </xf>
    <xf numFmtId="4" fontId="34" fillId="18" borderId="0" xfId="19" applyNumberFormat="1" applyFont="1" applyFill="1" applyAlignment="1">
      <alignment horizontal="center" vertical="center"/>
    </xf>
    <xf numFmtId="4" fontId="34" fillId="18" borderId="0" xfId="0" applyNumberFormat="1" applyFont="1" applyFill="1" applyAlignment="1">
      <alignment horizontal="center" vertical="center"/>
    </xf>
    <xf numFmtId="4" fontId="33" fillId="0" borderId="0" xfId="0" applyNumberFormat="1" applyFont="1" applyAlignment="1">
      <alignment horizontal="center" vertical="center"/>
    </xf>
    <xf numFmtId="4" fontId="22" fillId="0" borderId="0" xfId="0" applyNumberFormat="1" applyFont="1" applyAlignment="1">
      <alignment horizontal="center" vertical="center"/>
    </xf>
    <xf numFmtId="4" fontId="0" fillId="0" borderId="0" xfId="0" applyNumberFormat="1" applyAlignment="1">
      <alignment horizontal="center" vertical="center"/>
    </xf>
    <xf numFmtId="4" fontId="25" fillId="0" borderId="0" xfId="0" applyNumberFormat="1" applyFont="1" applyAlignment="1">
      <alignment horizontal="center" vertical="center"/>
    </xf>
    <xf numFmtId="4" fontId="22" fillId="0" borderId="0" xfId="14" applyNumberFormat="1" applyFont="1" applyAlignment="1">
      <alignment horizontal="center" vertical="center"/>
    </xf>
    <xf numFmtId="4" fontId="33" fillId="0" borderId="0" xfId="0" applyNumberFormat="1" applyFont="1"/>
    <xf numFmtId="4" fontId="83" fillId="0" borderId="0" xfId="0" applyNumberFormat="1" applyFont="1" applyAlignment="1">
      <alignment horizontal="center" vertical="center"/>
    </xf>
    <xf numFmtId="4" fontId="34" fillId="29" borderId="0" xfId="0" applyNumberFormat="1" applyFont="1" applyFill="1" applyAlignment="1">
      <alignment horizontal="center"/>
    </xf>
    <xf numFmtId="4" fontId="80" fillId="29" borderId="0" xfId="0" applyNumberFormat="1" applyFont="1" applyFill="1" applyAlignment="1">
      <alignment horizontal="center"/>
    </xf>
    <xf numFmtId="4" fontId="83" fillId="18" borderId="0" xfId="0" applyNumberFormat="1" applyFont="1" applyFill="1" applyAlignment="1">
      <alignment horizontal="center" vertical="center"/>
    </xf>
    <xf numFmtId="4" fontId="22" fillId="18" borderId="0" xfId="0" applyNumberFormat="1" applyFont="1" applyFill="1" applyAlignment="1">
      <alignment horizontal="center" vertical="center"/>
    </xf>
    <xf numFmtId="0" fontId="33" fillId="0" borderId="0" xfId="0" applyFont="1" applyAlignment="1">
      <alignment horizontal="center"/>
    </xf>
    <xf numFmtId="0" fontId="33" fillId="29" borderId="0" xfId="0" applyFont="1" applyFill="1" applyAlignment="1">
      <alignment horizontal="center"/>
    </xf>
    <xf numFmtId="0" fontId="80" fillId="29" borderId="0" xfId="0" applyFont="1" applyFill="1" applyAlignment="1">
      <alignment horizontal="center"/>
    </xf>
    <xf numFmtId="0" fontId="22" fillId="18" borderId="0" xfId="0" applyFont="1" applyFill="1" applyAlignment="1">
      <alignment horizontal="center"/>
    </xf>
    <xf numFmtId="3" fontId="66" fillId="0" borderId="46" xfId="0" applyNumberFormat="1" applyFont="1" applyBorder="1" applyAlignment="1">
      <alignment horizontal="center" vertical="center"/>
    </xf>
    <xf numFmtId="2" fontId="33" fillId="18" borderId="0" xfId="14" applyNumberFormat="1" applyFont="1" applyFill="1" applyAlignment="1">
      <alignment horizontal="center"/>
    </xf>
    <xf numFmtId="183" fontId="0" fillId="23" borderId="97" xfId="0" applyNumberFormat="1" applyFill="1" applyBorder="1" applyAlignment="1">
      <alignment horizontal="center"/>
    </xf>
    <xf numFmtId="183" fontId="0" fillId="0" borderId="97" xfId="0" applyNumberFormat="1" applyBorder="1" applyAlignment="1">
      <alignment horizontal="center"/>
    </xf>
    <xf numFmtId="183" fontId="0" fillId="0" borderId="102" xfId="0" applyNumberFormat="1" applyBorder="1" applyAlignment="1">
      <alignment horizontal="center"/>
    </xf>
    <xf numFmtId="183" fontId="24" fillId="0" borderId="97" xfId="0" applyNumberFormat="1" applyFont="1" applyBorder="1" applyAlignment="1">
      <alignment horizontal="center"/>
    </xf>
    <xf numFmtId="183" fontId="32" fillId="23" borderId="97" xfId="0" applyNumberFormat="1" applyFont="1" applyFill="1" applyBorder="1" applyAlignment="1">
      <alignment horizontal="center"/>
    </xf>
    <xf numFmtId="183" fontId="0" fillId="0" borderId="97" xfId="0" applyNumberFormat="1" applyBorder="1" applyAlignment="1">
      <alignment horizontal="center" wrapText="1"/>
    </xf>
    <xf numFmtId="183" fontId="0" fillId="23" borderId="104" xfId="0" applyNumberFormat="1" applyFill="1" applyBorder="1" applyAlignment="1">
      <alignment horizontal="center"/>
    </xf>
    <xf numFmtId="183" fontId="0" fillId="0" borderId="104" xfId="0" applyNumberFormat="1" applyBorder="1" applyAlignment="1">
      <alignment horizontal="center"/>
    </xf>
    <xf numFmtId="183" fontId="0" fillId="0" borderId="105" xfId="0" applyNumberFormat="1" applyBorder="1" applyAlignment="1">
      <alignment horizontal="center"/>
    </xf>
    <xf numFmtId="3" fontId="59" fillId="37" borderId="156" xfId="0" applyNumberFormat="1" applyFont="1" applyFill="1" applyBorder="1" applyAlignment="1">
      <alignment horizontal="center" vertical="center"/>
    </xf>
    <xf numFmtId="4" fontId="33" fillId="29" borderId="0" xfId="0" applyNumberFormat="1" applyFont="1" applyFill="1" applyAlignment="1">
      <alignment horizontal="center" vertical="center"/>
    </xf>
    <xf numFmtId="9" fontId="8" fillId="0" borderId="0" xfId="22" applyNumberFormat="1"/>
    <xf numFmtId="4" fontId="34" fillId="29" borderId="0" xfId="0" applyNumberFormat="1" applyFont="1" applyFill="1" applyAlignment="1">
      <alignment horizontal="center" vertical="center"/>
    </xf>
    <xf numFmtId="0" fontId="34" fillId="29" borderId="0" xfId="0" applyFont="1" applyFill="1" applyAlignment="1">
      <alignment horizontal="left" indent="1"/>
    </xf>
    <xf numFmtId="0" fontId="33" fillId="29" borderId="0" xfId="0" applyFont="1" applyFill="1"/>
    <xf numFmtId="1" fontId="59" fillId="39" borderId="155" xfId="0" applyNumberFormat="1" applyFont="1" applyFill="1" applyBorder="1" applyAlignment="1">
      <alignment horizontal="center" vertical="center"/>
    </xf>
    <xf numFmtId="1" fontId="59" fillId="39" borderId="46" xfId="0" applyNumberFormat="1" applyFont="1" applyFill="1" applyBorder="1" applyAlignment="1">
      <alignment horizontal="center" vertical="center"/>
    </xf>
    <xf numFmtId="1" fontId="59" fillId="39" borderId="44" xfId="0" applyNumberFormat="1" applyFont="1" applyFill="1" applyBorder="1" applyAlignment="1">
      <alignment horizontal="center" vertical="center"/>
    </xf>
    <xf numFmtId="1" fontId="59" fillId="39" borderId="152" xfId="0" applyNumberFormat="1" applyFont="1" applyFill="1" applyBorder="1" applyAlignment="1">
      <alignment horizontal="center" vertical="center"/>
    </xf>
    <xf numFmtId="1" fontId="59" fillId="39" borderId="153" xfId="0" applyNumberFormat="1" applyFont="1" applyFill="1" applyBorder="1" applyAlignment="1">
      <alignment horizontal="center" vertical="center"/>
    </xf>
    <xf numFmtId="1" fontId="59" fillId="39" borderId="171" xfId="0" applyNumberFormat="1" applyFont="1" applyFill="1" applyBorder="1" applyAlignment="1">
      <alignment horizontal="center" vertical="center"/>
    </xf>
    <xf numFmtId="4" fontId="33" fillId="29" borderId="0" xfId="19" applyNumberFormat="1" applyFont="1" applyFill="1" applyAlignment="1">
      <alignment horizontal="center" vertical="center"/>
    </xf>
    <xf numFmtId="0" fontId="8" fillId="7" borderId="233" xfId="0" applyFont="1" applyFill="1" applyBorder="1" applyAlignment="1">
      <alignment horizontal="center" vertical="center" wrapText="1"/>
    </xf>
    <xf numFmtId="0" fontId="85" fillId="7" borderId="19" xfId="0" applyFont="1" applyFill="1" applyBorder="1" applyAlignment="1">
      <alignment horizontal="center" vertical="center" wrapText="1"/>
    </xf>
    <xf numFmtId="0" fontId="30" fillId="7" borderId="19" xfId="0" applyFont="1" applyFill="1" applyBorder="1" applyAlignment="1">
      <alignment horizontal="center" vertical="center" wrapText="1"/>
    </xf>
    <xf numFmtId="0" fontId="31" fillId="7" borderId="19" xfId="0" applyFont="1" applyFill="1" applyBorder="1" applyAlignment="1">
      <alignment horizontal="center" vertical="center" wrapText="1"/>
    </xf>
    <xf numFmtId="3" fontId="33" fillId="29" borderId="0" xfId="0" applyNumberFormat="1" applyFont="1" applyFill="1" applyAlignment="1">
      <alignment horizontal="center" vertical="center"/>
    </xf>
    <xf numFmtId="0" fontId="24" fillId="0" borderId="0" xfId="0" applyFont="1"/>
    <xf numFmtId="9" fontId="33" fillId="0" borderId="0" xfId="14" applyFont="1" applyAlignment="1">
      <alignment horizontal="center"/>
    </xf>
    <xf numFmtId="0" fontId="8" fillId="0" borderId="46" xfId="22" applyBorder="1"/>
    <xf numFmtId="9" fontId="8" fillId="0" borderId="46" xfId="22" applyNumberFormat="1" applyBorder="1"/>
    <xf numFmtId="10" fontId="8" fillId="0" borderId="46" xfId="22" applyNumberFormat="1" applyBorder="1"/>
    <xf numFmtId="0" fontId="8" fillId="47" borderId="46" xfId="22" applyFill="1" applyBorder="1"/>
    <xf numFmtId="192" fontId="0" fillId="0" borderId="46" xfId="0" applyNumberFormat="1" applyBorder="1"/>
    <xf numFmtId="0" fontId="53" fillId="48" borderId="46" xfId="0" applyFont="1" applyFill="1" applyBorder="1" applyAlignment="1">
      <alignment horizontal="right"/>
    </xf>
    <xf numFmtId="0" fontId="8" fillId="49" borderId="46" xfId="22" applyFill="1" applyBorder="1"/>
    <xf numFmtId="0" fontId="8" fillId="0" borderId="3" xfId="22" applyBorder="1"/>
    <xf numFmtId="0" fontId="8" fillId="0" borderId="45" xfId="22" applyBorder="1"/>
    <xf numFmtId="0" fontId="8" fillId="0" borderId="44" xfId="22" applyBorder="1" applyAlignment="1">
      <alignment horizontal="left"/>
    </xf>
    <xf numFmtId="0" fontId="8" fillId="0" borderId="45" xfId="22" applyBorder="1" applyAlignment="1">
      <alignment horizontal="left"/>
    </xf>
    <xf numFmtId="10" fontId="8" fillId="0" borderId="46" xfId="14" applyNumberFormat="1" applyBorder="1"/>
    <xf numFmtId="0" fontId="8" fillId="50" borderId="0" xfId="22" applyFill="1"/>
    <xf numFmtId="10" fontId="8" fillId="0" borderId="45" xfId="14" applyNumberFormat="1" applyBorder="1"/>
    <xf numFmtId="16" fontId="8" fillId="50" borderId="0" xfId="22" applyNumberFormat="1" applyFill="1"/>
    <xf numFmtId="3" fontId="8" fillId="0" borderId="3" xfId="22" applyNumberFormat="1" applyBorder="1"/>
    <xf numFmtId="0" fontId="34" fillId="18" borderId="0" xfId="0" applyFont="1" applyFill="1"/>
    <xf numFmtId="0" fontId="34" fillId="29" borderId="0" xfId="0" applyFont="1" applyFill="1" applyAlignment="1">
      <alignment horizontal="center"/>
    </xf>
    <xf numFmtId="0" fontId="31" fillId="11" borderId="0" xfId="0" applyFont="1" applyFill="1"/>
    <xf numFmtId="0" fontId="34" fillId="0" borderId="0" xfId="0" applyFont="1"/>
    <xf numFmtId="188" fontId="8" fillId="0" borderId="46" xfId="14" applyNumberFormat="1" applyBorder="1"/>
    <xf numFmtId="3" fontId="51" fillId="39" borderId="144" xfId="0" applyNumberFormat="1" applyFont="1" applyFill="1" applyBorder="1" applyAlignment="1">
      <alignment horizontal="center" vertical="center"/>
    </xf>
    <xf numFmtId="3" fontId="51" fillId="39" borderId="2" xfId="0" applyNumberFormat="1" applyFont="1" applyFill="1" applyBorder="1" applyAlignment="1">
      <alignment horizontal="center" vertical="center"/>
    </xf>
    <xf numFmtId="3" fontId="56" fillId="40" borderId="46" xfId="0" applyNumberFormat="1" applyFont="1" applyFill="1" applyBorder="1" applyAlignment="1">
      <alignment horizontal="center" vertical="center"/>
    </xf>
    <xf numFmtId="3" fontId="56" fillId="40" borderId="155" xfId="0" applyNumberFormat="1" applyFont="1" applyFill="1" applyBorder="1" applyAlignment="1">
      <alignment horizontal="center" vertical="center"/>
    </xf>
    <xf numFmtId="3" fontId="8" fillId="0" borderId="46" xfId="22" applyNumberFormat="1" applyBorder="1"/>
    <xf numFmtId="0" fontId="90" fillId="0" borderId="32" xfId="0" applyFont="1" applyBorder="1"/>
    <xf numFmtId="179" fontId="8" fillId="0" borderId="46" xfId="22" applyNumberFormat="1" applyBorder="1"/>
    <xf numFmtId="188" fontId="8" fillId="51" borderId="46" xfId="14" applyNumberFormat="1" applyFill="1" applyBorder="1"/>
    <xf numFmtId="9" fontId="0" fillId="22" borderId="97" xfId="14" applyFont="1" applyFill="1" applyBorder="1" applyAlignment="1">
      <alignment horizontal="center"/>
    </xf>
    <xf numFmtId="2" fontId="0" fillId="22" borderId="95" xfId="0" applyNumberFormat="1" applyFill="1" applyBorder="1" applyAlignment="1">
      <alignment horizontal="center"/>
    </xf>
    <xf numFmtId="2" fontId="0" fillId="22" borderId="96" xfId="0" applyNumberFormat="1" applyFill="1" applyBorder="1" applyAlignment="1">
      <alignment horizontal="center"/>
    </xf>
    <xf numFmtId="0" fontId="92" fillId="0" borderId="0" xfId="0" applyFont="1"/>
    <xf numFmtId="9" fontId="0" fillId="8" borderId="95" xfId="14" applyFont="1" applyFill="1" applyBorder="1" applyAlignment="1">
      <alignment horizontal="center"/>
    </xf>
    <xf numFmtId="193" fontId="0" fillId="0" borderId="90" xfId="0" applyNumberFormat="1" applyBorder="1" applyAlignment="1">
      <alignment horizontal="center"/>
    </xf>
    <xf numFmtId="0" fontId="38" fillId="0" borderId="0" xfId="0" applyFont="1"/>
    <xf numFmtId="183" fontId="31" fillId="23" borderId="97" xfId="0" applyNumberFormat="1" applyFont="1" applyFill="1" applyBorder="1" applyAlignment="1">
      <alignment horizontal="center"/>
    </xf>
    <xf numFmtId="10" fontId="0" fillId="0" borderId="118" xfId="14" applyNumberFormat="1" applyFont="1" applyBorder="1" applyAlignment="1">
      <alignment horizontal="center" vertical="center"/>
    </xf>
    <xf numFmtId="0" fontId="0" fillId="0" borderId="46" xfId="22" applyFont="1" applyBorder="1"/>
    <xf numFmtId="9" fontId="0" fillId="0" borderId="46" xfId="22" applyNumberFormat="1" applyFont="1" applyBorder="1"/>
    <xf numFmtId="10" fontId="0" fillId="0" borderId="46" xfId="22" applyNumberFormat="1" applyFont="1" applyBorder="1"/>
    <xf numFmtId="0" fontId="93" fillId="0" borderId="0" xfId="0" applyFont="1"/>
    <xf numFmtId="0" fontId="8" fillId="50" borderId="0" xfId="22" applyFill="1" applyAlignment="1">
      <alignment horizontal="center"/>
    </xf>
    <xf numFmtId="0" fontId="8" fillId="0" borderId="58" xfId="0" applyFont="1" applyBorder="1" applyAlignment="1">
      <alignment horizontal="center" vertical="center"/>
    </xf>
    <xf numFmtId="9" fontId="0" fillId="0" borderId="46" xfId="14" applyFont="1" applyBorder="1"/>
    <xf numFmtId="0" fontId="0" fillId="0" borderId="50" xfId="0" applyBorder="1" applyAlignment="1">
      <alignment horizontal="center"/>
    </xf>
    <xf numFmtId="0" fontId="8" fillId="0" borderId="51" xfId="0" applyFont="1" applyBorder="1" applyAlignment="1">
      <alignment horizontal="center"/>
    </xf>
    <xf numFmtId="0" fontId="8" fillId="50" borderId="32" xfId="22" applyFill="1" applyBorder="1" applyAlignment="1">
      <alignment horizontal="center"/>
    </xf>
    <xf numFmtId="0" fontId="0" fillId="0" borderId="44" xfId="22" applyFont="1" applyBorder="1" applyAlignment="1">
      <alignment horizontal="center"/>
    </xf>
    <xf numFmtId="0" fontId="0" fillId="0" borderId="45" xfId="22" applyFont="1" applyBorder="1" applyAlignment="1">
      <alignment horizontal="center"/>
    </xf>
    <xf numFmtId="0" fontId="8" fillId="0" borderId="44" xfId="22" applyBorder="1" applyAlignment="1">
      <alignment horizontal="center"/>
    </xf>
    <xf numFmtId="10" fontId="0" fillId="0" borderId="46" xfId="14" applyNumberFormat="1" applyFont="1" applyBorder="1"/>
    <xf numFmtId="10" fontId="0" fillId="51" borderId="46" xfId="14" applyNumberFormat="1" applyFont="1" applyFill="1" applyBorder="1"/>
    <xf numFmtId="179" fontId="74" fillId="45" borderId="0" xfId="14" applyNumberFormat="1" applyFont="1" applyFill="1" applyBorder="1" applyAlignment="1">
      <alignment horizontal="center"/>
    </xf>
    <xf numFmtId="0" fontId="94" fillId="0" borderId="0" xfId="34"/>
    <xf numFmtId="3" fontId="56" fillId="40" borderId="146" xfId="0" applyNumberFormat="1" applyFont="1" applyFill="1" applyBorder="1" applyAlignment="1">
      <alignment horizontal="center" vertical="center"/>
    </xf>
    <xf numFmtId="181" fontId="56" fillId="39" borderId="146" xfId="0" quotePrefix="1" applyNumberFormat="1" applyFont="1" applyFill="1" applyBorder="1" applyAlignment="1">
      <alignment horizontal="center" vertical="center"/>
    </xf>
    <xf numFmtId="181" fontId="56" fillId="39" borderId="146" xfId="0" applyNumberFormat="1" applyFont="1" applyFill="1" applyBorder="1" applyAlignment="1">
      <alignment horizontal="center" vertical="center"/>
    </xf>
    <xf numFmtId="3" fontId="51" fillId="39" borderId="37" xfId="0" applyNumberFormat="1" applyFont="1" applyFill="1" applyBorder="1" applyAlignment="1">
      <alignment horizontal="center" vertical="center"/>
    </xf>
    <xf numFmtId="1" fontId="51" fillId="0" borderId="145" xfId="0" applyNumberFormat="1" applyFont="1" applyBorder="1" applyAlignment="1">
      <alignment horizontal="center" vertical="center"/>
    </xf>
    <xf numFmtId="0" fontId="95" fillId="0" borderId="0" xfId="0" applyFont="1"/>
    <xf numFmtId="0" fontId="96" fillId="0" borderId="0" xfId="0" applyFont="1"/>
    <xf numFmtId="0" fontId="97" fillId="0" borderId="0" xfId="0" applyFont="1"/>
    <xf numFmtId="0" fontId="34" fillId="29" borderId="0" xfId="0" applyFont="1" applyFill="1"/>
    <xf numFmtId="9" fontId="8" fillId="0" borderId="0" xfId="14"/>
    <xf numFmtId="4" fontId="98" fillId="29" borderId="0" xfId="0" applyNumberFormat="1" applyFont="1" applyFill="1" applyAlignment="1">
      <alignment horizontal="center" vertical="center"/>
    </xf>
    <xf numFmtId="4" fontId="8" fillId="0" borderId="46" xfId="22" applyNumberFormat="1" applyBorder="1"/>
    <xf numFmtId="179" fontId="74" fillId="45" borderId="0" xfId="14" applyNumberFormat="1" applyFont="1" applyFill="1" applyAlignment="1">
      <alignment horizontal="center"/>
    </xf>
    <xf numFmtId="9" fontId="8" fillId="6" borderId="26" xfId="14" applyFont="1" applyFill="1" applyBorder="1" applyAlignment="1">
      <alignment horizontal="center"/>
    </xf>
    <xf numFmtId="0" fontId="94" fillId="0" borderId="0" xfId="34" applyAlignment="1">
      <alignment vertical="center"/>
    </xf>
    <xf numFmtId="0" fontId="24" fillId="20" borderId="0" xfId="0" applyFont="1" applyFill="1"/>
    <xf numFmtId="0" fontId="84" fillId="0" borderId="0" xfId="0" applyFont="1"/>
    <xf numFmtId="2" fontId="33" fillId="0" borderId="0" xfId="0" applyNumberFormat="1" applyFont="1" applyAlignment="1">
      <alignment horizontal="center"/>
    </xf>
    <xf numFmtId="0" fontId="34" fillId="18" borderId="0" xfId="0" applyFont="1" applyFill="1" applyAlignment="1">
      <alignment horizontal="left" indent="1"/>
    </xf>
    <xf numFmtId="0" fontId="8" fillId="0" borderId="46" xfId="22" applyBorder="1" applyAlignment="1">
      <alignment wrapText="1"/>
    </xf>
    <xf numFmtId="0" fontId="8" fillId="7" borderId="188" xfId="0" applyFont="1" applyFill="1" applyBorder="1" applyAlignment="1">
      <alignment horizontal="center" vertical="center" wrapText="1"/>
    </xf>
    <xf numFmtId="0" fontId="8" fillId="7" borderId="188" xfId="0" applyFont="1" applyFill="1" applyBorder="1" applyAlignment="1">
      <alignment horizontal="center" vertical="center"/>
    </xf>
    <xf numFmtId="0" fontId="8" fillId="7" borderId="185" xfId="0" applyFont="1" applyFill="1" applyBorder="1" applyAlignment="1">
      <alignment horizontal="center" vertical="center"/>
    </xf>
    <xf numFmtId="2" fontId="0" fillId="8" borderId="95" xfId="0" applyNumberFormat="1" applyFill="1" applyBorder="1" applyAlignment="1">
      <alignment horizontal="center"/>
    </xf>
    <xf numFmtId="2" fontId="0" fillId="8" borderId="96" xfId="0" applyNumberFormat="1" applyFill="1" applyBorder="1" applyAlignment="1">
      <alignment horizontal="center"/>
    </xf>
    <xf numFmtId="10" fontId="0" fillId="11" borderId="0" xfId="0" applyNumberFormat="1" applyFill="1" applyAlignment="1">
      <alignment horizontal="center" vertical="center"/>
    </xf>
    <xf numFmtId="2" fontId="8" fillId="22" borderId="97" xfId="0" applyNumberFormat="1" applyFont="1" applyFill="1" applyBorder="1" applyAlignment="1">
      <alignment horizontal="center" vertical="center"/>
    </xf>
    <xf numFmtId="0" fontId="0" fillId="22" borderId="0" xfId="0" applyFill="1"/>
    <xf numFmtId="0" fontId="0" fillId="8" borderId="0" xfId="0" applyFill="1"/>
    <xf numFmtId="180" fontId="0" fillId="11" borderId="97" xfId="0" applyNumberFormat="1" applyFill="1" applyBorder="1" applyAlignment="1">
      <alignment horizontal="center"/>
    </xf>
    <xf numFmtId="9" fontId="0" fillId="11" borderId="97" xfId="14" applyFont="1" applyFill="1" applyBorder="1" applyAlignment="1">
      <alignment horizontal="center"/>
    </xf>
    <xf numFmtId="180" fontId="0" fillId="8" borderId="95" xfId="0" applyNumberFormat="1" applyFill="1" applyBorder="1" applyAlignment="1">
      <alignment horizontal="center"/>
    </xf>
    <xf numFmtId="9" fontId="8" fillId="22" borderId="96" xfId="14" applyFont="1" applyFill="1" applyBorder="1" applyAlignment="1">
      <alignment horizontal="center"/>
    </xf>
    <xf numFmtId="9" fontId="0" fillId="8" borderId="97" xfId="14" applyFont="1" applyFill="1" applyBorder="1" applyAlignment="1">
      <alignment horizontal="center"/>
    </xf>
    <xf numFmtId="9" fontId="0" fillId="22" borderId="95" xfId="14" applyFont="1" applyFill="1" applyBorder="1" applyAlignment="1">
      <alignment horizontal="center"/>
    </xf>
    <xf numFmtId="9" fontId="8" fillId="22" borderId="97" xfId="14" applyFont="1" applyFill="1" applyBorder="1" applyAlignment="1">
      <alignment horizontal="center" vertical="center"/>
    </xf>
    <xf numFmtId="180" fontId="0" fillId="22" borderId="95" xfId="0" applyNumberFormat="1" applyFill="1" applyBorder="1" applyAlignment="1">
      <alignment horizontal="center"/>
    </xf>
    <xf numFmtId="3" fontId="66" fillId="37" borderId="155" xfId="0" applyNumberFormat="1" applyFont="1" applyFill="1" applyBorder="1" applyAlignment="1">
      <alignment horizontal="center" vertical="center"/>
    </xf>
    <xf numFmtId="9" fontId="8" fillId="0" borderId="46" xfId="14" applyBorder="1"/>
    <xf numFmtId="0" fontId="0" fillId="0" borderId="0" xfId="0" quotePrefix="1"/>
    <xf numFmtId="0" fontId="13" fillId="0" borderId="0" xfId="0" applyFont="1" applyAlignment="1">
      <alignment horizontal="center" vertical="center"/>
    </xf>
    <xf numFmtId="0" fontId="0" fillId="0" borderId="215" xfId="0" applyBorder="1" applyAlignment="1">
      <alignment horizontal="center" vertical="center"/>
    </xf>
    <xf numFmtId="0" fontId="0" fillId="0" borderId="0" xfId="0" quotePrefix="1" applyAlignment="1">
      <alignment horizontal="center" vertical="center"/>
    </xf>
    <xf numFmtId="3" fontId="0" fillId="0" borderId="215" xfId="0" applyNumberFormat="1" applyBorder="1" applyAlignment="1">
      <alignment horizontal="center" vertical="center"/>
    </xf>
    <xf numFmtId="0" fontId="13" fillId="52" borderId="0" xfId="0" applyFont="1" applyFill="1"/>
    <xf numFmtId="179" fontId="8" fillId="0" borderId="0" xfId="14" applyNumberFormat="1"/>
    <xf numFmtId="179" fontId="8" fillId="0" borderId="46" xfId="14" applyNumberFormat="1" applyBorder="1" applyAlignment="1">
      <alignment wrapText="1"/>
    </xf>
    <xf numFmtId="3" fontId="99" fillId="29" borderId="0" xfId="0" applyNumberFormat="1" applyFont="1" applyFill="1" applyAlignment="1">
      <alignment horizontal="center"/>
    </xf>
    <xf numFmtId="0" fontId="62" fillId="34" borderId="118" xfId="14" applyNumberFormat="1" applyFont="1" applyFill="1" applyBorder="1" applyAlignment="1">
      <alignment horizontal="center" vertical="center" wrapText="1"/>
    </xf>
    <xf numFmtId="189" fontId="62" fillId="34" borderId="118" xfId="14" applyNumberFormat="1" applyFont="1" applyFill="1" applyBorder="1" applyAlignment="1">
      <alignment horizontal="center" vertical="center" wrapText="1"/>
    </xf>
    <xf numFmtId="0" fontId="77" fillId="31" borderId="181" xfId="0" applyFont="1" applyFill="1" applyBorder="1" applyAlignment="1">
      <alignment horizontal="left" vertical="center"/>
    </xf>
    <xf numFmtId="0" fontId="26" fillId="31" borderId="215" xfId="0" applyFont="1" applyFill="1" applyBorder="1" applyAlignment="1">
      <alignment vertical="center"/>
    </xf>
    <xf numFmtId="9" fontId="62" fillId="34" borderId="217" xfId="14" applyFont="1" applyFill="1" applyBorder="1" applyAlignment="1">
      <alignment horizontal="center" vertical="center" wrapText="1"/>
    </xf>
    <xf numFmtId="0" fontId="0" fillId="0" borderId="120" xfId="0" applyBorder="1" applyAlignment="1">
      <alignment horizontal="center" vertical="center"/>
    </xf>
    <xf numFmtId="0" fontId="100" fillId="0" borderId="118" xfId="0" applyFont="1" applyBorder="1" applyAlignment="1">
      <alignment horizontal="center" vertical="center"/>
    </xf>
    <xf numFmtId="10" fontId="100" fillId="0" borderId="118" xfId="0" applyNumberFormat="1" applyFont="1" applyBorder="1" applyAlignment="1">
      <alignment horizontal="center" vertical="center"/>
    </xf>
    <xf numFmtId="0" fontId="100" fillId="0" borderId="118" xfId="0" quotePrefix="1" applyFont="1" applyBorder="1" applyAlignment="1">
      <alignment horizontal="center" vertical="center"/>
    </xf>
    <xf numFmtId="2" fontId="100" fillId="0" borderId="118" xfId="0" applyNumberFormat="1" applyFont="1" applyBorder="1" applyAlignment="1">
      <alignment horizontal="center" vertical="center"/>
    </xf>
    <xf numFmtId="0" fontId="0" fillId="0" borderId="174" xfId="0" applyBorder="1" applyAlignment="1">
      <alignment vertical="center"/>
    </xf>
    <xf numFmtId="0" fontId="100" fillId="0" borderId="181" xfId="0" applyFont="1" applyBorder="1" applyAlignment="1">
      <alignment horizontal="center" vertical="center"/>
    </xf>
    <xf numFmtId="2" fontId="0" fillId="0" borderId="118" xfId="14" applyNumberFormat="1" applyFont="1" applyBorder="1" applyAlignment="1">
      <alignment horizontal="center" vertical="center"/>
    </xf>
    <xf numFmtId="1" fontId="0" fillId="0" borderId="118" xfId="0" applyNumberFormat="1" applyBorder="1" applyAlignment="1">
      <alignment horizontal="center" vertical="center"/>
    </xf>
    <xf numFmtId="0" fontId="51" fillId="0" borderId="181" xfId="0" applyFont="1" applyBorder="1" applyAlignment="1">
      <alignment horizontal="center" vertical="center"/>
    </xf>
    <xf numFmtId="0" fontId="51" fillId="0" borderId="181" xfId="0" quotePrefix="1" applyFont="1" applyBorder="1" applyAlignment="1">
      <alignment horizontal="center" vertical="center"/>
    </xf>
    <xf numFmtId="0" fontId="100" fillId="0" borderId="217" xfId="0" applyFont="1" applyBorder="1" applyAlignment="1">
      <alignment horizontal="center" vertical="center"/>
    </xf>
    <xf numFmtId="0" fontId="100" fillId="0" borderId="217" xfId="0" quotePrefix="1" applyFont="1" applyBorder="1" applyAlignment="1">
      <alignment horizontal="center" vertical="center"/>
    </xf>
    <xf numFmtId="0" fontId="100" fillId="7" borderId="119" xfId="0" applyFont="1" applyFill="1" applyBorder="1" applyAlignment="1">
      <alignment horizontal="center" vertical="center" wrapText="1"/>
    </xf>
    <xf numFmtId="4" fontId="100" fillId="0" borderId="118" xfId="0" applyNumberFormat="1" applyFont="1" applyBorder="1" applyAlignment="1">
      <alignment horizontal="center" vertical="center"/>
    </xf>
    <xf numFmtId="2" fontId="100" fillId="0" borderId="217" xfId="0" applyNumberFormat="1" applyFont="1" applyBorder="1" applyAlignment="1">
      <alignment horizontal="center" vertical="center"/>
    </xf>
    <xf numFmtId="190" fontId="0" fillId="7" borderId="118" xfId="14" applyNumberFormat="1" applyFont="1" applyFill="1" applyBorder="1" applyAlignment="1">
      <alignment horizontal="center" vertical="center"/>
    </xf>
    <xf numFmtId="178" fontId="101" fillId="0" borderId="73" xfId="0" applyNumberFormat="1" applyFont="1" applyBorder="1" applyAlignment="1">
      <alignment horizontal="center"/>
    </xf>
    <xf numFmtId="0" fontId="13" fillId="16" borderId="46" xfId="0" applyFont="1" applyFill="1" applyBorder="1" applyAlignment="1">
      <alignment horizontal="left" vertical="center"/>
    </xf>
    <xf numFmtId="183" fontId="0" fillId="0" borderId="46" xfId="0" applyNumberFormat="1" applyBorder="1" applyAlignment="1">
      <alignment horizontal="center"/>
    </xf>
    <xf numFmtId="0" fontId="13" fillId="16" borderId="46" xfId="0" applyFont="1" applyFill="1" applyBorder="1"/>
    <xf numFmtId="4" fontId="0" fillId="0" borderId="250" xfId="0" applyNumberFormat="1" applyBorder="1"/>
    <xf numFmtId="0" fontId="28" fillId="3" borderId="113" xfId="9" applyFont="1" applyBorder="1" applyAlignment="1">
      <alignment vertical="center"/>
    </xf>
    <xf numFmtId="3" fontId="61" fillId="7" borderId="252" xfId="5" applyFont="1" applyFill="1" applyBorder="1" applyAlignment="1">
      <alignment horizontal="center" vertical="center"/>
    </xf>
    <xf numFmtId="185" fontId="8" fillId="0" borderId="253" xfId="24" applyNumberFormat="1" applyBorder="1"/>
    <xf numFmtId="185" fontId="8" fillId="0" borderId="254" xfId="24" applyNumberFormat="1" applyBorder="1"/>
    <xf numFmtId="3" fontId="61" fillId="7" borderId="256" xfId="5" applyFont="1" applyFill="1" applyBorder="1" applyAlignment="1">
      <alignment horizontal="center" vertical="center"/>
    </xf>
    <xf numFmtId="3" fontId="61" fillId="7" borderId="257" xfId="5" applyFont="1" applyFill="1" applyBorder="1" applyAlignment="1">
      <alignment horizontal="center" vertical="center"/>
    </xf>
    <xf numFmtId="3" fontId="0" fillId="0" borderId="128" xfId="0" applyNumberFormat="1" applyBorder="1"/>
    <xf numFmtId="3" fontId="8" fillId="0" borderId="255" xfId="24" applyNumberFormat="1" applyBorder="1" applyAlignment="1">
      <alignment vertical="center"/>
    </xf>
    <xf numFmtId="3" fontId="61" fillId="7" borderId="258" xfId="5" applyFont="1" applyFill="1" applyBorder="1" applyAlignment="1">
      <alignment horizontal="center" vertical="center"/>
    </xf>
    <xf numFmtId="3" fontId="8" fillId="0" borderId="259" xfId="24" applyNumberFormat="1" applyBorder="1" applyAlignment="1">
      <alignment vertical="center"/>
    </xf>
    <xf numFmtId="3" fontId="61" fillId="7" borderId="260" xfId="5" applyFont="1" applyFill="1" applyBorder="1" applyAlignment="1">
      <alignment horizontal="center" vertical="center"/>
    </xf>
    <xf numFmtId="3" fontId="49" fillId="33" borderId="261" xfId="5" applyFont="1" applyFill="1" applyBorder="1" applyAlignment="1">
      <alignment horizontal="right" vertical="center"/>
    </xf>
    <xf numFmtId="3" fontId="49" fillId="33" borderId="262" xfId="5" applyFont="1" applyFill="1" applyBorder="1" applyAlignment="1">
      <alignment horizontal="right" vertical="center"/>
    </xf>
    <xf numFmtId="3" fontId="49" fillId="33" borderId="252" xfId="5" applyFont="1" applyFill="1" applyBorder="1" applyAlignment="1">
      <alignment horizontal="right" vertical="center"/>
    </xf>
    <xf numFmtId="3" fontId="49" fillId="33" borderId="263" xfId="5" applyFont="1" applyFill="1" applyBorder="1" applyAlignment="1">
      <alignment horizontal="right" vertical="center"/>
    </xf>
    <xf numFmtId="4" fontId="0" fillId="0" borderId="140" xfId="0" applyNumberFormat="1" applyBorder="1"/>
    <xf numFmtId="3" fontId="61" fillId="7" borderId="124" xfId="5" applyFont="1" applyFill="1" applyBorder="1" applyAlignment="1">
      <alignment horizontal="center" vertical="center"/>
    </xf>
    <xf numFmtId="3" fontId="91" fillId="0" borderId="190" xfId="0" applyNumberFormat="1" applyFont="1" applyBorder="1"/>
    <xf numFmtId="2" fontId="8" fillId="0" borderId="257" xfId="24" applyNumberFormat="1" applyBorder="1" applyAlignment="1">
      <alignment vertical="center"/>
    </xf>
    <xf numFmtId="185" fontId="8" fillId="0" borderId="264" xfId="24" applyNumberFormat="1" applyBorder="1"/>
    <xf numFmtId="2" fontId="8" fillId="0" borderId="265" xfId="24" applyNumberFormat="1" applyBorder="1" applyAlignment="1">
      <alignment horizontal="right"/>
    </xf>
    <xf numFmtId="3" fontId="61" fillId="7" borderId="250" xfId="5" applyFont="1" applyFill="1" applyBorder="1" applyAlignment="1">
      <alignment horizontal="center" vertical="center"/>
    </xf>
    <xf numFmtId="3" fontId="8" fillId="0" borderId="263" xfId="24" applyNumberFormat="1" applyBorder="1" applyAlignment="1">
      <alignment vertical="center"/>
    </xf>
    <xf numFmtId="2" fontId="0" fillId="0" borderId="129" xfId="0" applyNumberFormat="1" applyBorder="1"/>
    <xf numFmtId="0" fontId="8" fillId="0" borderId="266" xfId="24" applyBorder="1" applyAlignment="1">
      <alignment vertical="center"/>
    </xf>
    <xf numFmtId="0" fontId="0" fillId="0" borderId="140" xfId="0" applyBorder="1"/>
    <xf numFmtId="3" fontId="61" fillId="7" borderId="261" xfId="5" applyFont="1" applyFill="1" applyBorder="1" applyAlignment="1">
      <alignment horizontal="center" vertical="center"/>
    </xf>
    <xf numFmtId="1" fontId="8" fillId="0" borderId="46" xfId="22" applyNumberFormat="1" applyBorder="1"/>
    <xf numFmtId="4" fontId="32" fillId="0" borderId="112" xfId="7" applyFont="1" applyFill="1" applyBorder="1" applyAlignment="1">
      <alignment horizontal="right" vertical="center" wrapText="1"/>
    </xf>
    <xf numFmtId="4" fontId="0" fillId="3" borderId="112" xfId="7" applyFont="1" applyBorder="1" applyAlignment="1">
      <alignment horizontal="right" vertical="center" wrapText="1"/>
    </xf>
    <xf numFmtId="0" fontId="24" fillId="11" borderId="19" xfId="0" applyFont="1" applyFill="1" applyBorder="1" applyAlignment="1">
      <alignment horizontal="center"/>
    </xf>
    <xf numFmtId="0" fontId="0" fillId="0" borderId="112" xfId="9" applyFont="1" applyFill="1" applyBorder="1" applyAlignment="1">
      <alignment horizontal="right" vertical="center" wrapText="1"/>
    </xf>
    <xf numFmtId="0" fontId="8" fillId="0" borderId="270" xfId="22" applyBorder="1"/>
    <xf numFmtId="10" fontId="8" fillId="0" borderId="270" xfId="22" applyNumberFormat="1" applyBorder="1"/>
    <xf numFmtId="10" fontId="8" fillId="0" borderId="270" xfId="14" applyNumberFormat="1" applyBorder="1"/>
    <xf numFmtId="0" fontId="13" fillId="0" borderId="215" xfId="0" applyFont="1" applyBorder="1" applyAlignment="1">
      <alignment horizontal="center" vertical="center"/>
    </xf>
    <xf numFmtId="0" fontId="0" fillId="0" borderId="215" xfId="0" quotePrefix="1" applyBorder="1"/>
    <xf numFmtId="10" fontId="8" fillId="0" borderId="0" xfId="0" applyNumberFormat="1" applyFont="1" applyAlignment="1">
      <alignment horizontal="center" vertical="center"/>
    </xf>
    <xf numFmtId="3" fontId="13" fillId="7" borderId="0" xfId="0" applyNumberFormat="1" applyFont="1" applyFill="1" applyAlignment="1">
      <alignment horizontal="center" vertical="center"/>
    </xf>
    <xf numFmtId="2" fontId="0" fillId="0" borderId="0" xfId="0" applyNumberFormat="1" applyAlignment="1">
      <alignment horizontal="center" vertical="center"/>
    </xf>
    <xf numFmtId="0" fontId="0" fillId="52" borderId="0" xfId="0" applyFill="1" applyAlignment="1">
      <alignment horizontal="center" vertical="center"/>
    </xf>
    <xf numFmtId="0" fontId="0" fillId="52" borderId="0" xfId="0" quotePrefix="1" applyFill="1" applyAlignment="1">
      <alignment horizontal="center" vertical="center"/>
    </xf>
    <xf numFmtId="10" fontId="0" fillId="0" borderId="215" xfId="0" applyNumberFormat="1" applyBorder="1" applyAlignment="1">
      <alignment horizontal="center" vertical="center"/>
    </xf>
    <xf numFmtId="0" fontId="13" fillId="0" borderId="0" xfId="0" applyFont="1" applyAlignment="1">
      <alignment horizontal="left"/>
    </xf>
    <xf numFmtId="0" fontId="13" fillId="7" borderId="0" xfId="0" applyFont="1" applyFill="1" applyAlignment="1">
      <alignment horizontal="left"/>
    </xf>
    <xf numFmtId="9" fontId="0" fillId="0" borderId="215" xfId="0" applyNumberFormat="1" applyBorder="1" applyAlignment="1">
      <alignment horizontal="center"/>
    </xf>
    <xf numFmtId="194" fontId="0" fillId="0" borderId="0" xfId="0" applyNumberFormat="1" applyAlignment="1">
      <alignment horizontal="center" vertical="center"/>
    </xf>
    <xf numFmtId="190" fontId="0" fillId="0" borderId="0" xfId="0" applyNumberFormat="1"/>
    <xf numFmtId="2" fontId="0" fillId="0" borderId="0" xfId="0" applyNumberFormat="1"/>
    <xf numFmtId="190" fontId="0" fillId="0" borderId="215" xfId="0" applyNumberFormat="1" applyBorder="1"/>
    <xf numFmtId="2" fontId="0" fillId="0" borderId="215" xfId="0" applyNumberFormat="1" applyBorder="1" applyAlignment="1">
      <alignment horizontal="center" vertical="center"/>
    </xf>
    <xf numFmtId="2" fontId="0" fillId="0" borderId="0" xfId="0" applyNumberFormat="1" applyAlignment="1">
      <alignment horizontal="center"/>
    </xf>
    <xf numFmtId="2" fontId="0" fillId="0" borderId="215" xfId="0" applyNumberFormat="1" applyBorder="1" applyAlignment="1">
      <alignment horizontal="center"/>
    </xf>
    <xf numFmtId="2" fontId="13" fillId="0" borderId="0" xfId="0" applyNumberFormat="1" applyFont="1" applyAlignment="1">
      <alignment horizontal="center" vertical="center"/>
    </xf>
    <xf numFmtId="10" fontId="0" fillId="7" borderId="0" xfId="0" applyNumberFormat="1" applyFill="1"/>
    <xf numFmtId="9" fontId="0" fillId="7" borderId="0" xfId="0" applyNumberFormat="1" applyFill="1"/>
    <xf numFmtId="0" fontId="0" fillId="0" borderId="0" xfId="0" quotePrefix="1" applyAlignment="1">
      <alignment horizontal="center"/>
    </xf>
    <xf numFmtId="190" fontId="13" fillId="52" borderId="0" xfId="0" applyNumberFormat="1" applyFont="1" applyFill="1" applyAlignment="1">
      <alignment horizontal="center" vertical="center"/>
    </xf>
    <xf numFmtId="190" fontId="0" fillId="0" borderId="0" xfId="0" applyNumberFormat="1" applyAlignment="1">
      <alignment horizontal="center"/>
    </xf>
    <xf numFmtId="1" fontId="0" fillId="0" borderId="0" xfId="0" applyNumberFormat="1"/>
    <xf numFmtId="3" fontId="0" fillId="47" borderId="250" xfId="0" applyNumberFormat="1" applyFill="1" applyBorder="1"/>
    <xf numFmtId="10" fontId="0" fillId="47" borderId="250" xfId="0" applyNumberFormat="1" applyFill="1" applyBorder="1"/>
    <xf numFmtId="0" fontId="8" fillId="0" borderId="0" xfId="22" applyAlignment="1">
      <alignment horizontal="center"/>
    </xf>
    <xf numFmtId="2" fontId="13" fillId="0" borderId="0" xfId="0" applyNumberFormat="1" applyFont="1" applyAlignment="1">
      <alignment horizontal="center"/>
    </xf>
    <xf numFmtId="3" fontId="13" fillId="0" borderId="0" xfId="0" applyNumberFormat="1" applyFont="1" applyAlignment="1">
      <alignment horizontal="center" vertical="center"/>
    </xf>
    <xf numFmtId="0" fontId="13" fillId="0" borderId="215" xfId="0" applyFont="1" applyBorder="1"/>
    <xf numFmtId="0" fontId="61" fillId="0" borderId="0" xfId="0" applyFont="1"/>
    <xf numFmtId="10" fontId="13" fillId="51" borderId="250" xfId="0" applyNumberFormat="1" applyFont="1" applyFill="1" applyBorder="1"/>
    <xf numFmtId="0" fontId="13" fillId="47" borderId="0" xfId="0" applyFont="1" applyFill="1"/>
    <xf numFmtId="10" fontId="13" fillId="7" borderId="0" xfId="0" applyNumberFormat="1" applyFont="1" applyFill="1"/>
    <xf numFmtId="3" fontId="8" fillId="0" borderId="251" xfId="24" applyNumberFormat="1" applyBorder="1" applyAlignment="1">
      <alignment horizontal="right"/>
    </xf>
    <xf numFmtId="3" fontId="8" fillId="0" borderId="265" xfId="24" applyNumberFormat="1" applyBorder="1"/>
    <xf numFmtId="0" fontId="0" fillId="0" borderId="60" xfId="0" applyBorder="1" applyAlignment="1">
      <alignment horizontal="left"/>
    </xf>
    <xf numFmtId="0" fontId="0" fillId="0" borderId="61" xfId="0" applyBorder="1" applyAlignment="1">
      <alignment horizontal="left"/>
    </xf>
    <xf numFmtId="0" fontId="8" fillId="15" borderId="60" xfId="0" applyFont="1" applyFill="1" applyBorder="1" applyAlignment="1">
      <alignment horizontal="left"/>
    </xf>
    <xf numFmtId="0" fontId="8" fillId="15" borderId="61" xfId="0" applyFont="1" applyFill="1" applyBorder="1" applyAlignment="1">
      <alignment horizontal="left"/>
    </xf>
    <xf numFmtId="0" fontId="44" fillId="4" borderId="241" xfId="0" applyFont="1" applyFill="1" applyBorder="1" applyAlignment="1">
      <alignment horizontal="center"/>
    </xf>
    <xf numFmtId="0" fontId="44" fillId="4" borderId="79" xfId="0" applyFont="1" applyFill="1" applyBorder="1" applyAlignment="1">
      <alignment horizontal="center"/>
    </xf>
    <xf numFmtId="0" fontId="44" fillId="4" borderId="61" xfId="0" applyFont="1" applyFill="1" applyBorder="1" applyAlignment="1">
      <alignment horizontal="center"/>
    </xf>
    <xf numFmtId="0" fontId="8" fillId="0" borderId="0" xfId="0" quotePrefix="1" applyFont="1" applyAlignment="1">
      <alignment vertical="center" wrapText="1"/>
    </xf>
    <xf numFmtId="0" fontId="67" fillId="0" borderId="160" xfId="0" applyFont="1" applyBorder="1" applyAlignment="1">
      <alignment horizontal="left" vertical="center" wrapText="1"/>
    </xf>
    <xf numFmtId="0" fontId="67" fillId="0" borderId="161" xfId="0" applyFont="1" applyBorder="1" applyAlignment="1">
      <alignment horizontal="left" vertical="center" wrapText="1"/>
    </xf>
    <xf numFmtId="0" fontId="67" fillId="0" borderId="10" xfId="0" applyFont="1" applyBorder="1" applyAlignment="1">
      <alignment horizontal="left" vertical="center" wrapText="1"/>
    </xf>
    <xf numFmtId="0" fontId="67" fillId="0" borderId="0" xfId="0" applyFont="1" applyAlignment="1">
      <alignment horizontal="left" vertical="center" wrapText="1"/>
    </xf>
    <xf numFmtId="0" fontId="67" fillId="0" borderId="162" xfId="0" applyFont="1" applyBorder="1" applyAlignment="1">
      <alignment horizontal="left" vertical="center" wrapText="1"/>
    </xf>
    <xf numFmtId="0" fontId="67" fillId="0" borderId="214" xfId="0" applyFont="1" applyBorder="1" applyAlignment="1">
      <alignment horizontal="left" vertical="center" wrapText="1"/>
    </xf>
    <xf numFmtId="0" fontId="67" fillId="0" borderId="163" xfId="0" applyFont="1" applyBorder="1" applyAlignment="1">
      <alignment horizontal="left" vertical="center" wrapText="1"/>
    </xf>
    <xf numFmtId="0" fontId="67" fillId="0" borderId="164" xfId="0" applyFont="1" applyBorder="1" applyAlignment="1">
      <alignment horizontal="left" vertical="center" wrapText="1"/>
    </xf>
    <xf numFmtId="0" fontId="60" fillId="7" borderId="52" xfId="0" applyFont="1" applyFill="1" applyBorder="1" applyAlignment="1">
      <alignment horizontal="center"/>
    </xf>
    <xf numFmtId="0" fontId="26" fillId="7" borderId="52" xfId="0" applyFont="1" applyFill="1" applyBorder="1" applyAlignment="1">
      <alignment horizontal="center"/>
    </xf>
    <xf numFmtId="0" fontId="26" fillId="31" borderId="60" xfId="0" applyFont="1" applyFill="1" applyBorder="1" applyAlignment="1">
      <alignment horizontal="center"/>
    </xf>
    <xf numFmtId="0" fontId="26" fillId="31" borderId="79" xfId="0" applyFont="1" applyFill="1" applyBorder="1" applyAlignment="1">
      <alignment horizontal="center"/>
    </xf>
    <xf numFmtId="0" fontId="26" fillId="31" borderId="61" xfId="0" applyFont="1" applyFill="1" applyBorder="1" applyAlignment="1">
      <alignment horizontal="center"/>
    </xf>
    <xf numFmtId="0" fontId="26" fillId="31" borderId="212" xfId="0" applyFont="1" applyFill="1" applyBorder="1" applyAlignment="1">
      <alignment horizontal="center"/>
    </xf>
    <xf numFmtId="0" fontId="26" fillId="31" borderId="52" xfId="0" applyFont="1" applyFill="1" applyBorder="1" applyAlignment="1">
      <alignment horizontal="center"/>
    </xf>
    <xf numFmtId="0" fontId="44" fillId="4" borderId="52" xfId="0" applyFont="1" applyFill="1" applyBorder="1" applyAlignment="1">
      <alignment horizontal="center"/>
    </xf>
    <xf numFmtId="0" fontId="44" fillId="4" borderId="59" xfId="0" applyFont="1" applyFill="1" applyBorder="1" applyAlignment="1">
      <alignment horizontal="center"/>
    </xf>
    <xf numFmtId="0" fontId="43" fillId="17" borderId="241" xfId="0" applyFont="1" applyFill="1" applyBorder="1" applyAlignment="1">
      <alignment horizontal="center"/>
    </xf>
    <xf numFmtId="0" fontId="43" fillId="17" borderId="79" xfId="0" applyFont="1" applyFill="1" applyBorder="1" applyAlignment="1">
      <alignment horizontal="center"/>
    </xf>
    <xf numFmtId="0" fontId="43" fillId="17" borderId="240" xfId="0" applyFont="1" applyFill="1" applyBorder="1" applyAlignment="1">
      <alignment horizontal="center"/>
    </xf>
    <xf numFmtId="0" fontId="9" fillId="0" borderId="55" xfId="0" applyFont="1" applyBorder="1" applyAlignment="1">
      <alignment horizontal="center" vertical="center"/>
    </xf>
    <xf numFmtId="0" fontId="9" fillId="0" borderId="18" xfId="0" applyFont="1" applyBorder="1" applyAlignment="1">
      <alignment horizontal="center" vertical="center"/>
    </xf>
    <xf numFmtId="0" fontId="9" fillId="0" borderId="56" xfId="0" applyFont="1" applyBorder="1" applyAlignment="1">
      <alignment horizontal="center" vertical="center"/>
    </xf>
    <xf numFmtId="0" fontId="26" fillId="31" borderId="33" xfId="0" applyFont="1" applyFill="1" applyBorder="1" applyAlignment="1">
      <alignment horizontal="center"/>
    </xf>
    <xf numFmtId="0" fontId="26" fillId="31" borderId="27" xfId="0" applyFont="1" applyFill="1" applyBorder="1" applyAlignment="1">
      <alignment horizontal="center"/>
    </xf>
    <xf numFmtId="9" fontId="13" fillId="7" borderId="26" xfId="14" applyFont="1" applyFill="1" applyBorder="1" applyAlignment="1">
      <alignment horizontal="left"/>
    </xf>
    <xf numFmtId="9" fontId="13" fillId="7" borderId="25" xfId="14" applyFont="1" applyFill="1" applyBorder="1" applyAlignment="1">
      <alignment horizontal="left"/>
    </xf>
    <xf numFmtId="0" fontId="26" fillId="31" borderId="26" xfId="0" applyFont="1" applyFill="1" applyBorder="1" applyAlignment="1">
      <alignment horizontal="center"/>
    </xf>
    <xf numFmtId="0" fontId="26" fillId="31" borderId="24" xfId="0" applyFont="1" applyFill="1" applyBorder="1" applyAlignment="1">
      <alignment horizontal="center"/>
    </xf>
    <xf numFmtId="14" fontId="13" fillId="0" borderId="26" xfId="0" applyNumberFormat="1" applyFont="1" applyBorder="1" applyAlignment="1">
      <alignment horizontal="center"/>
    </xf>
    <xf numFmtId="14" fontId="13" fillId="0" borderId="25" xfId="0" applyNumberFormat="1" applyFont="1" applyBorder="1" applyAlignment="1">
      <alignment horizontal="center"/>
    </xf>
    <xf numFmtId="0" fontId="8" fillId="0" borderId="19" xfId="0" applyFont="1" applyBorder="1" applyAlignment="1">
      <alignment horizontal="left"/>
    </xf>
    <xf numFmtId="0" fontId="8" fillId="0" borderId="19" xfId="0" quotePrefix="1" applyFont="1" applyBorder="1" applyAlignment="1">
      <alignment horizontal="left"/>
    </xf>
    <xf numFmtId="0" fontId="64" fillId="7" borderId="246" xfId="0" applyFont="1" applyFill="1" applyBorder="1" applyAlignment="1">
      <alignment horizontal="center" vertical="center" wrapText="1"/>
    </xf>
    <xf numFmtId="0" fontId="64" fillId="7" borderId="247" xfId="0" applyFont="1" applyFill="1" applyBorder="1" applyAlignment="1">
      <alignment horizontal="center" vertical="center" wrapText="1"/>
    </xf>
    <xf numFmtId="0" fontId="64" fillId="7" borderId="271" xfId="0" applyFont="1" applyFill="1" applyBorder="1" applyAlignment="1">
      <alignment horizontal="center" vertical="center" wrapText="1"/>
    </xf>
    <xf numFmtId="0" fontId="64" fillId="7" borderId="233" xfId="0" applyFont="1" applyFill="1" applyBorder="1" applyAlignment="1">
      <alignment horizontal="center" vertical="center" wrapText="1"/>
    </xf>
    <xf numFmtId="0" fontId="64" fillId="7" borderId="0" xfId="0" applyFont="1" applyFill="1" applyAlignment="1">
      <alignment horizontal="center" vertical="center" wrapText="1"/>
    </xf>
    <xf numFmtId="0" fontId="64" fillId="7" borderId="272" xfId="0" applyFont="1" applyFill="1" applyBorder="1" applyAlignment="1">
      <alignment horizontal="center" vertical="center" wrapText="1"/>
    </xf>
    <xf numFmtId="0" fontId="64" fillId="7" borderId="33" xfId="0" applyFont="1" applyFill="1" applyBorder="1" applyAlignment="1">
      <alignment horizontal="center" vertical="center" wrapText="1"/>
    </xf>
    <xf numFmtId="0" fontId="64" fillId="7" borderId="27" xfId="0" applyFont="1" applyFill="1" applyBorder="1" applyAlignment="1">
      <alignment horizontal="center" vertical="center" wrapText="1"/>
    </xf>
    <xf numFmtId="0" fontId="64" fillId="7" borderId="28" xfId="0" applyFont="1" applyFill="1" applyBorder="1" applyAlignment="1">
      <alignment horizontal="center" vertical="center" wrapText="1"/>
    </xf>
    <xf numFmtId="0" fontId="44" fillId="30" borderId="29" xfId="0" applyFont="1" applyFill="1" applyBorder="1" applyAlignment="1">
      <alignment horizontal="center" vertical="center" wrapText="1"/>
    </xf>
    <xf numFmtId="0" fontId="44" fillId="30" borderId="53" xfId="0" applyFont="1" applyFill="1" applyBorder="1" applyAlignment="1">
      <alignment horizontal="center" vertical="center" wrapText="1"/>
    </xf>
    <xf numFmtId="0" fontId="44" fillId="4" borderId="47" xfId="0" applyFont="1" applyFill="1" applyBorder="1" applyAlignment="1">
      <alignment horizontal="center"/>
    </xf>
    <xf numFmtId="0" fontId="44" fillId="4" borderId="48" xfId="0" applyFont="1" applyFill="1" applyBorder="1" applyAlignment="1">
      <alignment horizontal="center"/>
    </xf>
    <xf numFmtId="0" fontId="44" fillId="4" borderId="49" xfId="0" applyFont="1" applyFill="1" applyBorder="1" applyAlignment="1">
      <alignment horizontal="center"/>
    </xf>
    <xf numFmtId="0" fontId="8" fillId="7" borderId="234" xfId="0" applyFont="1" applyFill="1" applyBorder="1" applyAlignment="1">
      <alignment horizontal="center" vertical="center" wrapText="1"/>
    </xf>
    <xf numFmtId="0" fontId="8" fillId="7" borderId="235" xfId="0" applyFont="1" applyFill="1" applyBorder="1" applyAlignment="1">
      <alignment horizontal="center" vertical="center" wrapText="1"/>
    </xf>
    <xf numFmtId="0" fontId="8" fillId="7" borderId="29" xfId="0" applyFont="1" applyFill="1" applyBorder="1" applyAlignment="1">
      <alignment horizontal="center" vertical="center" wrapText="1"/>
    </xf>
    <xf numFmtId="0" fontId="20" fillId="0" borderId="22" xfId="0" applyFont="1" applyBorder="1" applyAlignment="1">
      <alignment horizontal="center" wrapText="1"/>
    </xf>
    <xf numFmtId="0" fontId="20" fillId="0" borderId="26" xfId="0" applyFont="1" applyBorder="1" applyAlignment="1">
      <alignment horizontal="center" wrapText="1"/>
    </xf>
    <xf numFmtId="0" fontId="20" fillId="0" borderId="273" xfId="0" applyFont="1" applyBorder="1" applyAlignment="1">
      <alignment horizontal="center" vertical="center" wrapText="1"/>
    </xf>
    <xf numFmtId="0" fontId="20" fillId="0" borderId="271"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272" xfId="0" applyFont="1" applyBorder="1" applyAlignment="1">
      <alignment horizontal="center" vertical="center" wrapText="1"/>
    </xf>
    <xf numFmtId="0" fontId="20" fillId="0" borderId="274" xfId="0" applyFont="1" applyBorder="1" applyAlignment="1">
      <alignment horizontal="center" vertical="center" wrapText="1"/>
    </xf>
    <xf numFmtId="0" fontId="20" fillId="0" borderId="28" xfId="0" applyFont="1" applyBorder="1" applyAlignment="1">
      <alignment horizontal="center" vertical="center" wrapText="1"/>
    </xf>
    <xf numFmtId="0" fontId="44" fillId="4" borderId="33" xfId="0" applyFont="1" applyFill="1" applyBorder="1" applyAlignment="1">
      <alignment horizontal="center"/>
    </xf>
    <xf numFmtId="0" fontId="44" fillId="4" borderId="42" xfId="0" applyFont="1" applyFill="1" applyBorder="1" applyAlignment="1">
      <alignment horizontal="center"/>
    </xf>
    <xf numFmtId="0" fontId="44" fillId="4" borderId="22" xfId="0" applyFont="1" applyFill="1" applyBorder="1" applyAlignment="1">
      <alignment horizontal="center"/>
    </xf>
    <xf numFmtId="0" fontId="44" fillId="4" borderId="19" xfId="0" applyFont="1" applyFill="1" applyBorder="1" applyAlignment="1">
      <alignment horizontal="center"/>
    </xf>
    <xf numFmtId="0" fontId="44" fillId="4" borderId="28" xfId="0" applyFont="1" applyFill="1" applyBorder="1" applyAlignment="1">
      <alignment horizontal="center"/>
    </xf>
    <xf numFmtId="0" fontId="43" fillId="17" borderId="10" xfId="0" applyFont="1" applyFill="1" applyBorder="1" applyAlignment="1">
      <alignment horizontal="center"/>
    </xf>
    <xf numFmtId="0" fontId="43" fillId="17" borderId="0" xfId="0" applyFont="1" applyFill="1" applyAlignment="1">
      <alignment horizontal="center"/>
    </xf>
    <xf numFmtId="0" fontId="43" fillId="17" borderId="12" xfId="0" applyFont="1" applyFill="1" applyBorder="1" applyAlignment="1">
      <alignment horizontal="center"/>
    </xf>
    <xf numFmtId="0" fontId="44" fillId="4" borderId="27" xfId="0" applyFont="1" applyFill="1" applyBorder="1" applyAlignment="1">
      <alignment horizontal="center"/>
    </xf>
    <xf numFmtId="0" fontId="8" fillId="7" borderId="26" xfId="0" applyFont="1" applyFill="1" applyBorder="1" applyAlignment="1">
      <alignment horizontal="center" vertical="center" wrapText="1"/>
    </xf>
    <xf numFmtId="0" fontId="8" fillId="7" borderId="24" xfId="0" applyFont="1" applyFill="1" applyBorder="1" applyAlignment="1">
      <alignment horizontal="center" vertical="center" wrapText="1"/>
    </xf>
    <xf numFmtId="0" fontId="8" fillId="7" borderId="249" xfId="0" applyFont="1" applyFill="1" applyBorder="1" applyAlignment="1">
      <alignment horizontal="center" vertical="center" wrapText="1"/>
    </xf>
    <xf numFmtId="0" fontId="26" fillId="31" borderId="26" xfId="0" applyFont="1" applyFill="1" applyBorder="1" applyAlignment="1">
      <alignment horizontal="center" vertical="center" wrapText="1"/>
    </xf>
    <xf numFmtId="0" fontId="26" fillId="31" borderId="24" xfId="0" applyFont="1" applyFill="1" applyBorder="1" applyAlignment="1">
      <alignment horizontal="center" vertical="center" wrapText="1"/>
    </xf>
    <xf numFmtId="0" fontId="26" fillId="31" borderId="249" xfId="0" applyFont="1" applyFill="1" applyBorder="1" applyAlignment="1">
      <alignment horizontal="center" vertical="center" wrapText="1"/>
    </xf>
    <xf numFmtId="0" fontId="8" fillId="7" borderId="246" xfId="0" applyFont="1" applyFill="1" applyBorder="1" applyAlignment="1">
      <alignment horizontal="center" vertical="center" wrapText="1"/>
    </xf>
    <xf numFmtId="0" fontId="8" fillId="7" borderId="247" xfId="0" applyFont="1" applyFill="1" applyBorder="1" applyAlignment="1">
      <alignment horizontal="center" vertical="center" wrapText="1"/>
    </xf>
    <xf numFmtId="0" fontId="8" fillId="7" borderId="248" xfId="0" applyFont="1" applyFill="1" applyBorder="1" applyAlignment="1">
      <alignment horizontal="center" vertical="center" wrapText="1"/>
    </xf>
    <xf numFmtId="0" fontId="8" fillId="7" borderId="233" xfId="0" applyFont="1" applyFill="1" applyBorder="1" applyAlignment="1">
      <alignment horizontal="center" vertical="center" wrapText="1"/>
    </xf>
    <xf numFmtId="0" fontId="8" fillId="7" borderId="0" xfId="0" applyFont="1" applyFill="1" applyAlignment="1">
      <alignment horizontal="center" vertical="center" wrapText="1"/>
    </xf>
    <xf numFmtId="0" fontId="8" fillId="7" borderId="12" xfId="0" applyFont="1" applyFill="1" applyBorder="1" applyAlignment="1">
      <alignment horizontal="center" vertical="center" wrapText="1"/>
    </xf>
    <xf numFmtId="0" fontId="8" fillId="7" borderId="33" xfId="0" applyFont="1" applyFill="1" applyBorder="1" applyAlignment="1">
      <alignment horizontal="center" vertical="center" wrapText="1"/>
    </xf>
    <xf numFmtId="0" fontId="8" fillId="7" borderId="27" xfId="0" applyFont="1" applyFill="1" applyBorder="1" applyAlignment="1">
      <alignment horizontal="center" vertical="center" wrapText="1"/>
    </xf>
    <xf numFmtId="0" fontId="8" fillId="7" borderId="42" xfId="0" applyFont="1" applyFill="1" applyBorder="1" applyAlignment="1">
      <alignment horizontal="center" vertical="center" wrapText="1"/>
    </xf>
    <xf numFmtId="0" fontId="13" fillId="0" borderId="24" xfId="0" applyFont="1" applyBorder="1" applyAlignment="1">
      <alignment horizontal="center"/>
    </xf>
    <xf numFmtId="0" fontId="13" fillId="0" borderId="25" xfId="0" applyFont="1" applyBorder="1" applyAlignment="1">
      <alignment horizontal="center"/>
    </xf>
    <xf numFmtId="9" fontId="8" fillId="6" borderId="26" xfId="14" applyFont="1" applyFill="1" applyBorder="1" applyAlignment="1">
      <alignment horizontal="center"/>
    </xf>
    <xf numFmtId="9" fontId="8" fillId="6" borderId="25" xfId="14" applyFont="1" applyFill="1" applyBorder="1" applyAlignment="1">
      <alignment horizontal="center"/>
    </xf>
    <xf numFmtId="0" fontId="44" fillId="4" borderId="130" xfId="0" applyFont="1" applyFill="1" applyBorder="1" applyAlignment="1">
      <alignment horizontal="center"/>
    </xf>
    <xf numFmtId="0" fontId="44" fillId="4" borderId="186" xfId="0" applyFont="1" applyFill="1" applyBorder="1" applyAlignment="1">
      <alignment horizontal="center"/>
    </xf>
    <xf numFmtId="0" fontId="44" fillId="4" borderId="187" xfId="0" applyFont="1" applyFill="1" applyBorder="1" applyAlignment="1">
      <alignment horizontal="center"/>
    </xf>
    <xf numFmtId="0" fontId="44" fillId="4" borderId="185" xfId="0" applyFont="1" applyFill="1" applyBorder="1" applyAlignment="1">
      <alignment horizontal="center"/>
    </xf>
    <xf numFmtId="0" fontId="44" fillId="4" borderId="124" xfId="0" applyFont="1" applyFill="1" applyBorder="1" applyAlignment="1">
      <alignment horizontal="center"/>
    </xf>
    <xf numFmtId="0" fontId="44" fillId="4" borderId="190" xfId="0" applyFont="1" applyFill="1" applyBorder="1" applyAlignment="1">
      <alignment horizontal="center"/>
    </xf>
    <xf numFmtId="0" fontId="26" fillId="31" borderId="140" xfId="0" applyFont="1" applyFill="1" applyBorder="1" applyAlignment="1">
      <alignment horizontal="center"/>
    </xf>
    <xf numFmtId="0" fontId="26" fillId="31" borderId="124" xfId="0" applyFont="1" applyFill="1" applyBorder="1" applyAlignment="1">
      <alignment horizontal="center"/>
    </xf>
    <xf numFmtId="0" fontId="26" fillId="31" borderId="190" xfId="0" applyFont="1" applyFill="1" applyBorder="1" applyAlignment="1">
      <alignment horizontal="center"/>
    </xf>
    <xf numFmtId="0" fontId="9" fillId="7" borderId="129" xfId="0" applyFont="1" applyFill="1" applyBorder="1" applyAlignment="1">
      <alignment horizontal="center" vertical="center" wrapText="1"/>
    </xf>
    <xf numFmtId="0" fontId="9" fillId="7" borderId="126" xfId="0" applyFont="1" applyFill="1" applyBorder="1" applyAlignment="1">
      <alignment horizontal="center" vertical="center" wrapText="1"/>
    </xf>
    <xf numFmtId="179" fontId="42" fillId="11" borderId="130" xfId="14" applyNumberFormat="1" applyFont="1" applyFill="1" applyBorder="1" applyAlignment="1">
      <alignment horizontal="center" vertical="center"/>
    </xf>
    <xf numFmtId="179" fontId="42" fillId="11" borderId="150" xfId="14" applyNumberFormat="1" applyFont="1" applyFill="1" applyBorder="1" applyAlignment="1">
      <alignment horizontal="center" vertical="center"/>
    </xf>
    <xf numFmtId="179" fontId="42" fillId="11" borderId="127" xfId="14" applyNumberFormat="1" applyFont="1" applyFill="1" applyBorder="1" applyAlignment="1">
      <alignment horizontal="center" vertical="center"/>
    </xf>
    <xf numFmtId="179" fontId="42" fillId="11" borderId="151" xfId="14" applyNumberFormat="1" applyFont="1" applyFill="1" applyBorder="1" applyAlignment="1">
      <alignment horizontal="center" vertical="center"/>
    </xf>
    <xf numFmtId="179" fontId="9" fillId="0" borderId="129" xfId="14" applyNumberFormat="1" applyFont="1" applyBorder="1" applyAlignment="1">
      <alignment horizontal="center" vertical="center" wrapText="1"/>
    </xf>
    <xf numFmtId="179" fontId="9" fillId="0" borderId="221" xfId="14" applyNumberFormat="1" applyFont="1" applyBorder="1" applyAlignment="1">
      <alignment horizontal="center" vertical="center" wrapText="1"/>
    </xf>
    <xf numFmtId="9" fontId="42" fillId="11" borderId="220" xfId="14" applyFont="1" applyFill="1" applyBorder="1" applyAlignment="1">
      <alignment horizontal="center" vertical="center"/>
    </xf>
    <xf numFmtId="9" fontId="42" fillId="11" borderId="192" xfId="14" applyFont="1" applyFill="1" applyBorder="1" applyAlignment="1">
      <alignment horizontal="center" vertical="center"/>
    </xf>
    <xf numFmtId="0" fontId="31" fillId="7" borderId="267" xfId="0" applyFont="1" applyFill="1" applyBorder="1" applyAlignment="1">
      <alignment horizontal="center" vertical="center" wrapText="1"/>
    </xf>
    <xf numFmtId="0" fontId="31" fillId="7" borderId="268" xfId="0" applyFont="1" applyFill="1" applyBorder="1" applyAlignment="1">
      <alignment horizontal="center" vertical="center" wrapText="1"/>
    </xf>
    <xf numFmtId="0" fontId="31" fillId="7" borderId="269" xfId="0" applyFont="1" applyFill="1" applyBorder="1" applyAlignment="1">
      <alignment horizontal="center" vertical="center" wrapText="1"/>
    </xf>
    <xf numFmtId="0" fontId="31" fillId="7" borderId="130" xfId="0" applyFont="1" applyFill="1" applyBorder="1" applyAlignment="1">
      <alignment horizontal="center" vertical="center" wrapText="1"/>
    </xf>
    <xf numFmtId="0" fontId="31" fillId="7" borderId="186" xfId="0" applyFont="1" applyFill="1" applyBorder="1" applyAlignment="1">
      <alignment horizontal="center" vertical="center" wrapText="1"/>
    </xf>
    <xf numFmtId="0" fontId="31" fillId="7" borderId="150" xfId="0" applyFont="1" applyFill="1" applyBorder="1" applyAlignment="1">
      <alignment horizontal="center" vertical="center" wrapText="1"/>
    </xf>
    <xf numFmtId="0" fontId="31" fillId="7" borderId="128" xfId="0" applyFont="1" applyFill="1" applyBorder="1" applyAlignment="1">
      <alignment horizontal="center" vertical="center" wrapText="1"/>
    </xf>
    <xf numFmtId="0" fontId="31" fillId="7" borderId="0" xfId="0" applyFont="1" applyFill="1" applyAlignment="1">
      <alignment horizontal="center" vertical="center" wrapText="1"/>
    </xf>
    <xf numFmtId="0" fontId="31" fillId="7" borderId="125" xfId="0" applyFont="1" applyFill="1" applyBorder="1" applyAlignment="1">
      <alignment horizontal="center" vertical="center" wrapText="1"/>
    </xf>
    <xf numFmtId="0" fontId="31" fillId="7" borderId="127" xfId="0" applyFont="1" applyFill="1" applyBorder="1" applyAlignment="1">
      <alignment horizontal="center" vertical="center" wrapText="1"/>
    </xf>
    <xf numFmtId="0" fontId="31" fillId="7" borderId="141" xfId="0" applyFont="1" applyFill="1" applyBorder="1" applyAlignment="1">
      <alignment horizontal="center" vertical="center" wrapText="1"/>
    </xf>
    <xf numFmtId="0" fontId="31" fillId="7" borderId="151" xfId="0" applyFont="1" applyFill="1" applyBorder="1" applyAlignment="1">
      <alignment horizontal="center" vertical="center" wrapText="1"/>
    </xf>
    <xf numFmtId="0" fontId="9" fillId="11" borderId="0" xfId="0" applyFont="1" applyFill="1" applyAlignment="1">
      <alignment horizontal="center" vertical="center" wrapText="1"/>
    </xf>
    <xf numFmtId="0" fontId="9" fillId="11" borderId="141" xfId="0" applyFont="1" applyFill="1" applyBorder="1" applyAlignment="1">
      <alignment horizontal="center" vertical="center" wrapText="1"/>
    </xf>
    <xf numFmtId="0" fontId="8" fillId="7" borderId="140" xfId="0" applyFont="1" applyFill="1" applyBorder="1" applyAlignment="1">
      <alignment horizontal="center" vertical="center" wrapText="1"/>
    </xf>
    <xf numFmtId="0" fontId="0" fillId="7" borderId="124" xfId="0" applyFill="1" applyBorder="1" applyAlignment="1">
      <alignment horizontal="center" vertical="center" wrapText="1"/>
    </xf>
    <xf numFmtId="0" fontId="0" fillId="7" borderId="190" xfId="0" applyFill="1" applyBorder="1" applyAlignment="1">
      <alignment horizontal="center" vertical="center" wrapText="1"/>
    </xf>
    <xf numFmtId="0" fontId="13" fillId="0" borderId="130" xfId="0" applyFont="1" applyBorder="1" applyAlignment="1">
      <alignment horizontal="center" vertical="center" wrapText="1"/>
    </xf>
    <xf numFmtId="0" fontId="13" fillId="0" borderId="186" xfId="0" applyFont="1" applyBorder="1" applyAlignment="1">
      <alignment horizontal="center" vertical="center" wrapText="1"/>
    </xf>
    <xf numFmtId="0" fontId="13" fillId="0" borderId="187" xfId="0" applyFont="1" applyBorder="1" applyAlignment="1">
      <alignment horizontal="center" vertical="center" wrapText="1"/>
    </xf>
    <xf numFmtId="0" fontId="13" fillId="0" borderId="128" xfId="0" applyFont="1" applyBorder="1" applyAlignment="1">
      <alignment horizontal="center" vertical="center" wrapText="1"/>
    </xf>
    <xf numFmtId="0" fontId="13" fillId="0" borderId="0" xfId="0" applyFont="1" applyAlignment="1">
      <alignment horizontal="center" vertical="center" wrapText="1"/>
    </xf>
    <xf numFmtId="0" fontId="13" fillId="0" borderId="12" xfId="0" applyFont="1" applyBorder="1" applyAlignment="1">
      <alignment horizontal="center" vertical="center" wrapText="1"/>
    </xf>
    <xf numFmtId="0" fontId="13" fillId="0" borderId="127" xfId="0" applyFont="1" applyBorder="1" applyAlignment="1">
      <alignment horizontal="center" vertical="center" wrapText="1"/>
    </xf>
    <xf numFmtId="0" fontId="13" fillId="0" borderId="141" xfId="0" applyFont="1" applyBorder="1" applyAlignment="1">
      <alignment horizontal="center" vertical="center" wrapText="1"/>
    </xf>
    <xf numFmtId="0" fontId="13" fillId="0" borderId="189" xfId="0" applyFont="1" applyBorder="1" applyAlignment="1">
      <alignment horizontal="center" vertical="center" wrapText="1"/>
    </xf>
    <xf numFmtId="0" fontId="44" fillId="4" borderId="141" xfId="0" applyFont="1" applyFill="1" applyBorder="1" applyAlignment="1">
      <alignment horizontal="center"/>
    </xf>
    <xf numFmtId="0" fontId="44" fillId="4" borderId="189" xfId="0" applyFont="1" applyFill="1" applyBorder="1" applyAlignment="1">
      <alignment horizontal="center"/>
    </xf>
    <xf numFmtId="0" fontId="43" fillId="17" borderId="243" xfId="0" applyFont="1" applyFill="1" applyBorder="1" applyAlignment="1">
      <alignment horizontal="center"/>
    </xf>
    <xf numFmtId="0" fontId="43" fillId="17" borderId="244" xfId="0" applyFont="1" applyFill="1" applyBorder="1" applyAlignment="1">
      <alignment horizontal="center"/>
    </xf>
    <xf numFmtId="0" fontId="43" fillId="17" borderId="245" xfId="0" applyFont="1" applyFill="1" applyBorder="1" applyAlignment="1">
      <alignment horizontal="center"/>
    </xf>
    <xf numFmtId="0" fontId="8" fillId="7" borderId="124" xfId="0" applyFont="1" applyFill="1" applyBorder="1" applyAlignment="1">
      <alignment horizontal="center" vertical="center" wrapText="1"/>
    </xf>
    <xf numFmtId="0" fontId="8" fillId="7" borderId="190" xfId="0" applyFont="1" applyFill="1" applyBorder="1" applyAlignment="1">
      <alignment horizontal="center" vertical="center" wrapText="1"/>
    </xf>
    <xf numFmtId="179" fontId="42" fillId="11" borderId="128" xfId="14" applyNumberFormat="1" applyFont="1" applyFill="1" applyBorder="1" applyAlignment="1">
      <alignment horizontal="center" vertical="center"/>
    </xf>
    <xf numFmtId="179" fontId="42" fillId="11" borderId="125" xfId="14" applyNumberFormat="1" applyFont="1" applyFill="1" applyBorder="1" applyAlignment="1">
      <alignment horizontal="center" vertical="center"/>
    </xf>
    <xf numFmtId="179" fontId="9" fillId="0" borderId="126" xfId="14" applyNumberFormat="1" applyFont="1" applyBorder="1" applyAlignment="1">
      <alignment horizontal="center" vertical="center" wrapText="1"/>
    </xf>
    <xf numFmtId="179" fontId="9" fillId="0" borderId="219" xfId="14" applyNumberFormat="1" applyFont="1" applyBorder="1" applyAlignment="1">
      <alignment horizontal="center" vertical="center" wrapText="1"/>
    </xf>
    <xf numFmtId="9" fontId="42" fillId="11" borderId="191" xfId="14" applyFont="1" applyFill="1" applyBorder="1" applyAlignment="1">
      <alignment horizontal="center" vertical="center"/>
    </xf>
    <xf numFmtId="0" fontId="8" fillId="0" borderId="60" xfId="0" applyFont="1" applyBorder="1" applyAlignment="1">
      <alignment horizontal="left" indent="1"/>
    </xf>
    <xf numFmtId="0" fontId="8" fillId="0" borderId="61" xfId="0" applyFont="1" applyBorder="1" applyAlignment="1">
      <alignment horizontal="left" indent="1"/>
    </xf>
    <xf numFmtId="0" fontId="8" fillId="0" borderId="60" xfId="0" applyFont="1" applyBorder="1" applyAlignment="1">
      <alignment horizontal="left"/>
    </xf>
    <xf numFmtId="0" fontId="8" fillId="0" borderId="61" xfId="0" applyFont="1" applyBorder="1" applyAlignment="1">
      <alignment horizontal="left"/>
    </xf>
    <xf numFmtId="178" fontId="9" fillId="11" borderId="150" xfId="0" applyNumberFormat="1" applyFont="1" applyFill="1" applyBorder="1" applyAlignment="1">
      <alignment horizontal="center" vertical="center"/>
    </xf>
    <xf numFmtId="178" fontId="9" fillId="11" borderId="125" xfId="0" applyNumberFormat="1" applyFont="1" applyFill="1" applyBorder="1" applyAlignment="1">
      <alignment horizontal="center" vertical="center"/>
    </xf>
    <xf numFmtId="178" fontId="9" fillId="11" borderId="151" xfId="0" applyNumberFormat="1" applyFont="1" applyFill="1" applyBorder="1" applyAlignment="1">
      <alignment horizontal="center" vertical="center"/>
    </xf>
    <xf numFmtId="0" fontId="13" fillId="0" borderId="60" xfId="0" applyFont="1" applyBorder="1" applyAlignment="1">
      <alignment horizontal="left"/>
    </xf>
    <xf numFmtId="0" fontId="13" fillId="0" borderId="61" xfId="0" applyFont="1" applyBorder="1" applyAlignment="1">
      <alignment horizontal="left"/>
    </xf>
    <xf numFmtId="0" fontId="26" fillId="31" borderId="59" xfId="0" applyFont="1" applyFill="1" applyBorder="1" applyAlignment="1">
      <alignment horizontal="center"/>
    </xf>
    <xf numFmtId="0" fontId="43" fillId="17" borderId="214" xfId="0" applyFont="1" applyFill="1" applyBorder="1" applyAlignment="1">
      <alignment horizontal="center"/>
    </xf>
    <xf numFmtId="0" fontId="43" fillId="17" borderId="163" xfId="0" applyFont="1" applyFill="1" applyBorder="1" applyAlignment="1">
      <alignment horizontal="center"/>
    </xf>
    <xf numFmtId="0" fontId="43" fillId="17" borderId="242" xfId="0" applyFont="1" applyFill="1" applyBorder="1" applyAlignment="1">
      <alignment horizontal="center"/>
    </xf>
    <xf numFmtId="0" fontId="8" fillId="0" borderId="213" xfId="0" applyFont="1" applyBorder="1" applyAlignment="1">
      <alignment horizontal="center" vertical="center" wrapText="1"/>
    </xf>
    <xf numFmtId="0" fontId="8" fillId="0" borderId="160" xfId="0" applyFont="1" applyBorder="1" applyAlignment="1">
      <alignment horizontal="center" vertical="center" wrapText="1"/>
    </xf>
    <xf numFmtId="0" fontId="8" fillId="0" borderId="237"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0" xfId="0" applyFont="1" applyAlignment="1">
      <alignment horizontal="center" vertical="center" wrapText="1"/>
    </xf>
    <xf numFmtId="0" fontId="8" fillId="0" borderId="51"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238" xfId="0" applyFont="1" applyBorder="1" applyAlignment="1">
      <alignment horizontal="center" vertical="center" wrapText="1"/>
    </xf>
    <xf numFmtId="0" fontId="8" fillId="0" borderId="239" xfId="0" applyFont="1" applyBorder="1" applyAlignment="1">
      <alignment horizontal="center" vertical="center" wrapText="1"/>
    </xf>
    <xf numFmtId="0" fontId="44" fillId="30" borderId="241" xfId="0" applyFont="1" applyFill="1" applyBorder="1" applyAlignment="1">
      <alignment horizontal="center"/>
    </xf>
    <xf numFmtId="0" fontId="44" fillId="30" borderId="79" xfId="0" applyFont="1" applyFill="1" applyBorder="1" applyAlignment="1">
      <alignment horizontal="center"/>
    </xf>
    <xf numFmtId="0" fontId="44" fillId="30" borderId="61" xfId="0" applyFont="1" applyFill="1" applyBorder="1" applyAlignment="1">
      <alignment horizontal="center"/>
    </xf>
    <xf numFmtId="0" fontId="26" fillId="8" borderId="63" xfId="0" applyFont="1" applyFill="1" applyBorder="1" applyAlignment="1">
      <alignment horizontal="center" vertical="center"/>
    </xf>
    <xf numFmtId="0" fontId="44" fillId="4" borderId="60" xfId="0" applyFont="1" applyFill="1" applyBorder="1" applyAlignment="1">
      <alignment horizontal="center"/>
    </xf>
    <xf numFmtId="0" fontId="44" fillId="4" borderId="240" xfId="0" applyFont="1" applyFill="1" applyBorder="1" applyAlignment="1">
      <alignment horizontal="center"/>
    </xf>
    <xf numFmtId="0" fontId="8" fillId="0" borderId="165" xfId="0" quotePrefix="1" applyFont="1" applyBorder="1" applyAlignment="1">
      <alignment horizontal="left" vertical="center" wrapText="1"/>
    </xf>
    <xf numFmtId="0" fontId="8" fillId="0" borderId="160" xfId="0" applyFont="1" applyBorder="1" applyAlignment="1">
      <alignment horizontal="left" vertical="center" wrapText="1"/>
    </xf>
    <xf numFmtId="0" fontId="8" fillId="0" borderId="161" xfId="0" applyFont="1" applyBorder="1" applyAlignment="1">
      <alignment horizontal="left" vertical="center" wrapText="1"/>
    </xf>
    <xf numFmtId="0" fontId="8" fillId="0" borderId="166" xfId="0" applyFont="1" applyBorder="1" applyAlignment="1">
      <alignment horizontal="left" vertical="center" wrapText="1"/>
    </xf>
    <xf numFmtId="0" fontId="8" fillId="0" borderId="0" xfId="0" applyFont="1" applyAlignment="1">
      <alignment horizontal="left" vertical="center" wrapText="1"/>
    </xf>
    <xf numFmtId="0" fontId="8" fillId="0" borderId="162" xfId="0" applyFont="1" applyBorder="1" applyAlignment="1">
      <alignment horizontal="left" vertical="center" wrapText="1"/>
    </xf>
    <xf numFmtId="0" fontId="8" fillId="0" borderId="167" xfId="0" applyFont="1" applyBorder="1" applyAlignment="1">
      <alignment horizontal="left" vertical="center" wrapText="1"/>
    </xf>
    <xf numFmtId="0" fontId="8" fillId="0" borderId="163" xfId="0" applyFont="1" applyBorder="1" applyAlignment="1">
      <alignment horizontal="left" vertical="center" wrapText="1"/>
    </xf>
    <xf numFmtId="0" fontId="8" fillId="0" borderId="164" xfId="0" applyFont="1" applyBorder="1" applyAlignment="1">
      <alignment horizontal="left" vertical="center" wrapText="1"/>
    </xf>
    <xf numFmtId="0" fontId="8" fillId="0" borderId="213" xfId="0" quotePrefix="1" applyFont="1" applyBorder="1" applyAlignment="1">
      <alignment horizontal="left" vertical="center" wrapText="1"/>
    </xf>
    <xf numFmtId="0" fontId="8" fillId="0" borderId="160" xfId="0" applyFont="1" applyBorder="1" applyAlignment="1">
      <alignment horizontal="left" vertical="center"/>
    </xf>
    <xf numFmtId="0" fontId="8" fillId="0" borderId="161" xfId="0" applyFont="1" applyBorder="1" applyAlignment="1">
      <alignment horizontal="left" vertical="center"/>
    </xf>
    <xf numFmtId="0" fontId="0" fillId="0" borderId="10" xfId="0" applyBorder="1" applyAlignment="1">
      <alignment horizontal="left" vertical="center"/>
    </xf>
    <xf numFmtId="0" fontId="0" fillId="0" borderId="0" xfId="0" applyAlignment="1">
      <alignment horizontal="left" vertical="center"/>
    </xf>
    <xf numFmtId="0" fontId="8" fillId="0" borderId="162" xfId="0" applyFont="1" applyBorder="1" applyAlignment="1">
      <alignment horizontal="left" vertical="center"/>
    </xf>
    <xf numFmtId="0" fontId="0" fillId="0" borderId="214" xfId="0" applyBorder="1" applyAlignment="1">
      <alignment horizontal="left" vertical="center"/>
    </xf>
    <xf numFmtId="0" fontId="8" fillId="0" borderId="163" xfId="0" applyFont="1" applyBorder="1" applyAlignment="1">
      <alignment horizontal="left" vertical="center"/>
    </xf>
    <xf numFmtId="0" fontId="8" fillId="0" borderId="164" xfId="0" applyFont="1" applyBorder="1" applyAlignment="1">
      <alignment horizontal="left" vertical="center"/>
    </xf>
    <xf numFmtId="0" fontId="32" fillId="0" borderId="140" xfId="34" applyFont="1" applyBorder="1" applyAlignment="1" applyProtection="1">
      <alignment horizontal="center"/>
    </xf>
    <xf numFmtId="0" fontId="32" fillId="0" borderId="190" xfId="34" applyFont="1" applyBorder="1" applyAlignment="1" applyProtection="1">
      <alignment horizontal="center"/>
    </xf>
    <xf numFmtId="10" fontId="13" fillId="0" borderId="71" xfId="14" applyNumberFormat="1" applyFont="1" applyBorder="1" applyAlignment="1">
      <alignment horizontal="center"/>
    </xf>
    <xf numFmtId="10" fontId="13" fillId="0" borderId="72" xfId="14" applyNumberFormat="1" applyFont="1" applyBorder="1" applyAlignment="1">
      <alignment horizontal="center"/>
    </xf>
    <xf numFmtId="0" fontId="88" fillId="0" borderId="77" xfId="34" applyFont="1" applyBorder="1" applyAlignment="1" applyProtection="1">
      <alignment horizontal="center" vertical="center"/>
    </xf>
    <xf numFmtId="0" fontId="88" fillId="0" borderId="78" xfId="34" applyFont="1" applyBorder="1" applyAlignment="1" applyProtection="1">
      <alignment horizontal="center" vertical="center"/>
    </xf>
    <xf numFmtId="0" fontId="29" fillId="4" borderId="65" xfId="0" applyFont="1" applyFill="1" applyBorder="1" applyAlignment="1">
      <alignment horizontal="center"/>
    </xf>
    <xf numFmtId="0" fontId="29" fillId="4" borderId="66" xfId="0" applyFont="1" applyFill="1" applyBorder="1" applyAlignment="1">
      <alignment horizontal="center"/>
    </xf>
    <xf numFmtId="0" fontId="29" fillId="4" borderId="67" xfId="0" applyFont="1" applyFill="1" applyBorder="1" applyAlignment="1">
      <alignment horizontal="center"/>
    </xf>
    <xf numFmtId="0" fontId="43" fillId="4" borderId="70" xfId="0" applyFont="1" applyFill="1" applyBorder="1" applyAlignment="1">
      <alignment horizontal="center"/>
    </xf>
    <xf numFmtId="0" fontId="43" fillId="4" borderId="71" xfId="0" applyFont="1" applyFill="1" applyBorder="1" applyAlignment="1">
      <alignment horizontal="center"/>
    </xf>
    <xf numFmtId="0" fontId="43" fillId="4" borderId="72" xfId="0" applyFont="1" applyFill="1" applyBorder="1" applyAlignment="1">
      <alignment horizontal="center"/>
    </xf>
    <xf numFmtId="0" fontId="9" fillId="0" borderId="70" xfId="0" applyFont="1" applyBorder="1" applyAlignment="1">
      <alignment horizontal="center" vertical="center"/>
    </xf>
    <xf numFmtId="0" fontId="9" fillId="0" borderId="72" xfId="0" applyFont="1" applyBorder="1" applyAlignment="1">
      <alignment horizontal="center" vertical="center"/>
    </xf>
    <xf numFmtId="0" fontId="29" fillId="4" borderId="70" xfId="0" applyFont="1" applyFill="1" applyBorder="1" applyAlignment="1">
      <alignment horizontal="center"/>
    </xf>
    <xf numFmtId="0" fontId="29" fillId="4" borderId="72" xfId="0" applyFont="1" applyFill="1" applyBorder="1" applyAlignment="1">
      <alignment horizontal="center"/>
    </xf>
    <xf numFmtId="0" fontId="29" fillId="4" borderId="71" xfId="0" applyFont="1" applyFill="1" applyBorder="1" applyAlignment="1">
      <alignment horizontal="center"/>
    </xf>
    <xf numFmtId="0" fontId="0" fillId="0" borderId="229" xfId="0" applyBorder="1" applyAlignment="1">
      <alignment horizontal="center" vertical="center" wrapText="1"/>
    </xf>
    <xf numFmtId="0" fontId="0" fillId="0" borderId="230" xfId="0" applyBorder="1" applyAlignment="1">
      <alignment horizontal="center" vertical="center" wrapText="1"/>
    </xf>
    <xf numFmtId="0" fontId="0" fillId="0" borderId="231" xfId="0" applyBorder="1" applyAlignment="1">
      <alignment horizontal="center" vertical="center" wrapText="1"/>
    </xf>
    <xf numFmtId="0" fontId="0" fillId="0" borderId="93" xfId="0" applyBorder="1" applyAlignment="1">
      <alignment horizontal="center" vertical="center" wrapText="1"/>
    </xf>
    <xf numFmtId="0" fontId="0" fillId="0" borderId="40" xfId="0" applyBorder="1" applyAlignment="1">
      <alignment horizontal="center" vertical="center" wrapText="1"/>
    </xf>
    <xf numFmtId="0" fontId="0" fillId="0" borderId="228" xfId="0" applyBorder="1" applyAlignment="1">
      <alignment horizontal="center" vertical="center" wrapText="1"/>
    </xf>
    <xf numFmtId="0" fontId="32" fillId="0" borderId="93" xfId="0" applyFont="1" applyBorder="1" applyAlignment="1">
      <alignment horizontal="center" vertical="center" wrapText="1"/>
    </xf>
    <xf numFmtId="0" fontId="32" fillId="0" borderId="40" xfId="0" applyFont="1" applyBorder="1" applyAlignment="1">
      <alignment horizontal="center" vertical="center" wrapText="1"/>
    </xf>
    <xf numFmtId="0" fontId="32" fillId="0" borderId="228" xfId="0" applyFont="1" applyBorder="1" applyAlignment="1">
      <alignment horizontal="center" vertical="center" wrapText="1"/>
    </xf>
    <xf numFmtId="0" fontId="13" fillId="13" borderId="70" xfId="0" applyFont="1" applyFill="1" applyBorder="1" applyAlignment="1">
      <alignment horizontal="center"/>
    </xf>
    <xf numFmtId="0" fontId="13" fillId="13" borderId="71" xfId="0" applyFont="1" applyFill="1" applyBorder="1" applyAlignment="1">
      <alignment horizontal="center"/>
    </xf>
    <xf numFmtId="0" fontId="13" fillId="13" borderId="72" xfId="0" applyFont="1" applyFill="1" applyBorder="1" applyAlignment="1">
      <alignment horizontal="center"/>
    </xf>
    <xf numFmtId="0" fontId="13" fillId="23" borderId="75" xfId="0" applyFont="1" applyFill="1" applyBorder="1" applyAlignment="1">
      <alignment horizontal="center"/>
    </xf>
    <xf numFmtId="0" fontId="13" fillId="23" borderId="226" xfId="0" applyFont="1" applyFill="1" applyBorder="1" applyAlignment="1">
      <alignment horizontal="center"/>
    </xf>
    <xf numFmtId="0" fontId="13" fillId="23" borderId="76" xfId="0" applyFont="1" applyFill="1" applyBorder="1" applyAlignment="1">
      <alignment horizontal="center"/>
    </xf>
    <xf numFmtId="10" fontId="13" fillId="0" borderId="80" xfId="14" applyNumberFormat="1" applyFont="1" applyBorder="1" applyAlignment="1">
      <alignment horizontal="center"/>
    </xf>
    <xf numFmtId="10" fontId="13" fillId="0" borderId="82" xfId="14" applyNumberFormat="1" applyFont="1" applyBorder="1" applyAlignment="1">
      <alignment horizontal="center"/>
    </xf>
    <xf numFmtId="10" fontId="13" fillId="0" borderId="81" xfId="14" applyNumberFormat="1" applyFont="1" applyBorder="1" applyAlignment="1">
      <alignment horizontal="center"/>
    </xf>
    <xf numFmtId="0" fontId="29" fillId="4" borderId="50" xfId="0" applyFont="1" applyFill="1" applyBorder="1" applyAlignment="1">
      <alignment horizontal="center"/>
    </xf>
    <xf numFmtId="0" fontId="29" fillId="4" borderId="0" xfId="0" applyFont="1" applyFill="1" applyAlignment="1">
      <alignment horizontal="center"/>
    </xf>
    <xf numFmtId="0" fontId="29" fillId="4" borderId="51" xfId="0" applyFont="1" applyFill="1" applyBorder="1" applyAlignment="1">
      <alignment horizontal="center"/>
    </xf>
    <xf numFmtId="0" fontId="43" fillId="4" borderId="68" xfId="0" applyFont="1" applyFill="1" applyBorder="1" applyAlignment="1">
      <alignment horizontal="center"/>
    </xf>
    <xf numFmtId="0" fontId="43" fillId="4" borderId="73" xfId="0" applyFont="1" applyFill="1" applyBorder="1" applyAlignment="1">
      <alignment horizontal="center"/>
    </xf>
    <xf numFmtId="0" fontId="43" fillId="4" borderId="74" xfId="0" applyFont="1" applyFill="1" applyBorder="1" applyAlignment="1">
      <alignment horizontal="center"/>
    </xf>
    <xf numFmtId="0" fontId="29" fillId="17" borderId="50" xfId="0" applyFont="1" applyFill="1" applyBorder="1" applyAlignment="1">
      <alignment horizontal="center"/>
    </xf>
    <xf numFmtId="0" fontId="29" fillId="17" borderId="0" xfId="0" applyFont="1" applyFill="1" applyAlignment="1">
      <alignment horizontal="center"/>
    </xf>
    <xf numFmtId="0" fontId="29" fillId="17" borderId="51" xfId="0" applyFont="1" applyFill="1" applyBorder="1" applyAlignment="1">
      <alignment horizontal="center"/>
    </xf>
    <xf numFmtId="0" fontId="43" fillId="4" borderId="224" xfId="0" applyFont="1" applyFill="1" applyBorder="1" applyAlignment="1">
      <alignment horizontal="center"/>
    </xf>
    <xf numFmtId="0" fontId="43" fillId="4" borderId="225" xfId="0" applyFont="1" applyFill="1" applyBorder="1" applyAlignment="1">
      <alignment horizontal="center"/>
    </xf>
    <xf numFmtId="0" fontId="43" fillId="4" borderId="232" xfId="0" applyFont="1" applyFill="1" applyBorder="1" applyAlignment="1">
      <alignment horizontal="center"/>
    </xf>
    <xf numFmtId="0" fontId="29" fillId="17" borderId="68" xfId="0" applyFont="1" applyFill="1" applyBorder="1" applyAlignment="1">
      <alignment horizontal="center"/>
    </xf>
    <xf numFmtId="0" fontId="29" fillId="17" borderId="73" xfId="0" applyFont="1" applyFill="1" applyBorder="1" applyAlignment="1">
      <alignment horizontal="center"/>
    </xf>
    <xf numFmtId="0" fontId="29" fillId="17" borderId="74" xfId="0" applyFont="1" applyFill="1" applyBorder="1" applyAlignment="1">
      <alignment horizontal="center"/>
    </xf>
    <xf numFmtId="0" fontId="0" fillId="0" borderId="75" xfId="0" applyBorder="1" applyAlignment="1">
      <alignment horizontal="center" vertical="center"/>
    </xf>
    <xf numFmtId="0" fontId="0" fillId="0" borderId="76" xfId="0" applyBorder="1" applyAlignment="1">
      <alignment horizontal="center" vertical="center"/>
    </xf>
    <xf numFmtId="0" fontId="88" fillId="0" borderId="77" xfId="34" applyFont="1" applyBorder="1" applyAlignment="1" applyProtection="1">
      <alignment horizontal="center"/>
    </xf>
    <xf numFmtId="0" fontId="88" fillId="0" borderId="78" xfId="34" applyFont="1" applyBorder="1" applyAlignment="1" applyProtection="1">
      <alignment horizontal="center"/>
    </xf>
    <xf numFmtId="0" fontId="88" fillId="0" borderId="80" xfId="34" applyFont="1" applyBorder="1" applyAlignment="1" applyProtection="1">
      <alignment horizontal="center"/>
    </xf>
    <xf numFmtId="0" fontId="88" fillId="0" borderId="81" xfId="34" applyFont="1" applyBorder="1" applyAlignment="1" applyProtection="1">
      <alignment horizontal="center"/>
    </xf>
    <xf numFmtId="0" fontId="8" fillId="0" borderId="75" xfId="0" applyFont="1" applyBorder="1" applyAlignment="1">
      <alignment horizontal="center"/>
    </xf>
    <xf numFmtId="0" fontId="8" fillId="0" borderId="226" xfId="0" applyFont="1" applyBorder="1" applyAlignment="1">
      <alignment horizontal="center"/>
    </xf>
    <xf numFmtId="0" fontId="8" fillId="0" borderId="76" xfId="0" applyFont="1" applyBorder="1" applyAlignment="1">
      <alignment horizontal="center"/>
    </xf>
    <xf numFmtId="0" fontId="8" fillId="0" borderId="80" xfId="0" applyFont="1" applyBorder="1" applyAlignment="1">
      <alignment horizontal="center"/>
    </xf>
    <xf numFmtId="0" fontId="8" fillId="0" borderId="82" xfId="0" applyFont="1" applyBorder="1" applyAlignment="1">
      <alignment horizontal="center"/>
    </xf>
    <xf numFmtId="0" fontId="8" fillId="0" borderId="81" xfId="0" applyFont="1" applyBorder="1" applyAlignment="1">
      <alignment horizontal="center"/>
    </xf>
    <xf numFmtId="0" fontId="0" fillId="0" borderId="94" xfId="0" applyBorder="1" applyAlignment="1">
      <alignment horizontal="center" vertical="center" wrapText="1"/>
    </xf>
    <xf numFmtId="0" fontId="0" fillId="0" borderId="69" xfId="0" applyBorder="1" applyAlignment="1">
      <alignment horizontal="center" vertical="center" wrapText="1"/>
    </xf>
    <xf numFmtId="0" fontId="0" fillId="0" borderId="227" xfId="0" applyBorder="1" applyAlignment="1">
      <alignment horizontal="center" vertical="center" wrapText="1"/>
    </xf>
    <xf numFmtId="0" fontId="0" fillId="0" borderId="50" xfId="0" applyBorder="1" applyAlignment="1">
      <alignment horizontal="center" vertical="center" wrapText="1"/>
    </xf>
    <xf numFmtId="0" fontId="0" fillId="0" borderId="0" xfId="0" applyAlignment="1">
      <alignment horizontal="center" vertical="center" wrapText="1"/>
    </xf>
    <xf numFmtId="0" fontId="0" fillId="0" borderId="51" xfId="0" applyBorder="1" applyAlignment="1">
      <alignment horizontal="center" vertical="center" wrapText="1"/>
    </xf>
    <xf numFmtId="0" fontId="13" fillId="0" borderId="80" xfId="0" applyFont="1" applyBorder="1" applyAlignment="1">
      <alignment horizontal="center"/>
    </xf>
    <xf numFmtId="0" fontId="13" fillId="0" borderId="82" xfId="0" applyFont="1" applyBorder="1" applyAlignment="1">
      <alignment horizontal="center"/>
    </xf>
    <xf numFmtId="0" fontId="13" fillId="0" borderId="81" xfId="0" applyFont="1" applyBorder="1" applyAlignment="1">
      <alignment horizontal="center"/>
    </xf>
    <xf numFmtId="0" fontId="29" fillId="4" borderId="70" xfId="0" applyFont="1" applyFill="1" applyBorder="1" applyAlignment="1">
      <alignment horizontal="center" vertical="center"/>
    </xf>
    <xf numFmtId="0" fontId="29" fillId="4" borderId="71" xfId="0" applyFont="1" applyFill="1" applyBorder="1" applyAlignment="1">
      <alignment horizontal="center" vertical="center"/>
    </xf>
    <xf numFmtId="0" fontId="29" fillId="4" borderId="72" xfId="0" applyFont="1" applyFill="1" applyBorder="1" applyAlignment="1">
      <alignment horizontal="center" vertical="center"/>
    </xf>
    <xf numFmtId="0" fontId="13" fillId="0" borderId="77" xfId="0" applyFont="1" applyBorder="1" applyAlignment="1">
      <alignment horizontal="center"/>
    </xf>
    <xf numFmtId="0" fontId="13" fillId="0" borderId="79" xfId="0" applyFont="1" applyBorder="1" applyAlignment="1">
      <alignment horizontal="center"/>
    </xf>
    <xf numFmtId="0" fontId="13" fillId="0" borderId="78" xfId="0" applyFont="1" applyBorder="1" applyAlignment="1">
      <alignment horizontal="center"/>
    </xf>
    <xf numFmtId="10" fontId="13" fillId="0" borderId="77" xfId="14" applyNumberFormat="1" applyFont="1" applyBorder="1" applyAlignment="1">
      <alignment horizontal="center"/>
    </xf>
    <xf numFmtId="10" fontId="13" fillId="0" borderId="79" xfId="14" applyNumberFormat="1" applyFont="1" applyBorder="1" applyAlignment="1">
      <alignment horizontal="center"/>
    </xf>
    <xf numFmtId="10" fontId="13" fillId="0" borderId="78" xfId="14" applyNumberFormat="1" applyFont="1" applyBorder="1" applyAlignment="1">
      <alignment horizontal="center"/>
    </xf>
    <xf numFmtId="0" fontId="29" fillId="4" borderId="68" xfId="0" applyFont="1" applyFill="1" applyBorder="1" applyAlignment="1">
      <alignment horizontal="center"/>
    </xf>
    <xf numFmtId="0" fontId="29" fillId="4" borderId="73" xfId="0" applyFont="1" applyFill="1" applyBorder="1" applyAlignment="1">
      <alignment horizontal="center"/>
    </xf>
    <xf numFmtId="0" fontId="65" fillId="0" borderId="109" xfId="0" applyFont="1" applyBorder="1" applyAlignment="1">
      <alignment horizontal="center" vertical="center" wrapText="1"/>
    </xf>
    <xf numFmtId="0" fontId="22" fillId="0" borderId="110" xfId="0" applyFont="1" applyBorder="1" applyAlignment="1">
      <alignment horizontal="center" vertical="center" wrapText="1"/>
    </xf>
    <xf numFmtId="0" fontId="22" fillId="0" borderId="111" xfId="0" applyFont="1" applyBorder="1" applyAlignment="1">
      <alignment horizontal="center" vertical="center" wrapText="1"/>
    </xf>
    <xf numFmtId="0" fontId="47" fillId="4" borderId="62" xfId="0" applyFont="1" applyFill="1" applyBorder="1" applyAlignment="1">
      <alignment horizontal="center"/>
    </xf>
    <xf numFmtId="0" fontId="8" fillId="38" borderId="207" xfId="0" applyFont="1" applyFill="1" applyBorder="1" applyAlignment="1">
      <alignment horizontal="center" vertical="center" wrapText="1"/>
    </xf>
    <xf numFmtId="0" fontId="70" fillId="0" borderId="62" xfId="0" applyFont="1" applyBorder="1" applyAlignment="1">
      <alignment horizontal="center" vertical="center" wrapText="1"/>
    </xf>
    <xf numFmtId="0" fontId="70" fillId="0" borderId="208" xfId="0" applyFont="1" applyBorder="1" applyAlignment="1">
      <alignment horizontal="center" vertical="center" wrapText="1"/>
    </xf>
    <xf numFmtId="0" fontId="26" fillId="4" borderId="204" xfId="24" applyFont="1" applyFill="1" applyBorder="1" applyAlignment="1">
      <alignment horizontal="center" vertical="center"/>
    </xf>
    <xf numFmtId="0" fontId="26" fillId="4" borderId="205" xfId="24" applyFont="1" applyFill="1" applyBorder="1" applyAlignment="1">
      <alignment horizontal="center" vertical="center"/>
    </xf>
    <xf numFmtId="0" fontId="26" fillId="4" borderId="206" xfId="24" applyFont="1" applyFill="1" applyBorder="1" applyAlignment="1">
      <alignment horizontal="center" vertical="center"/>
    </xf>
    <xf numFmtId="0" fontId="8" fillId="44" borderId="207" xfId="0" applyFont="1" applyFill="1" applyBorder="1" applyAlignment="1">
      <alignment horizontal="center" vertical="center" wrapText="1"/>
    </xf>
    <xf numFmtId="0" fontId="8" fillId="43" borderId="207" xfId="0" applyFont="1" applyFill="1" applyBorder="1" applyAlignment="1">
      <alignment horizontal="center" vertical="center" wrapText="1"/>
    </xf>
    <xf numFmtId="0" fontId="8" fillId="43" borderId="209" xfId="0" applyFont="1" applyFill="1" applyBorder="1" applyAlignment="1">
      <alignment horizontal="center" vertical="center" wrapText="1"/>
    </xf>
    <xf numFmtId="0" fontId="70" fillId="0" borderId="210" xfId="0" applyFont="1" applyBorder="1" applyAlignment="1">
      <alignment horizontal="center" vertical="center" wrapText="1"/>
    </xf>
    <xf numFmtId="0" fontId="70" fillId="0" borderId="211" xfId="0" applyFont="1" applyBorder="1" applyAlignment="1">
      <alignment horizontal="center" vertical="center" wrapText="1"/>
    </xf>
    <xf numFmtId="0" fontId="78" fillId="30" borderId="34" xfId="0" applyFont="1" applyFill="1" applyBorder="1" applyAlignment="1">
      <alignment horizontal="center" vertical="center"/>
    </xf>
    <xf numFmtId="0" fontId="78" fillId="30" borderId="5" xfId="0" applyFont="1" applyFill="1" applyBorder="1" applyAlignment="1">
      <alignment horizontal="center" vertical="center"/>
    </xf>
    <xf numFmtId="0" fontId="78" fillId="30" borderId="35" xfId="0" applyFont="1" applyFill="1" applyBorder="1" applyAlignment="1">
      <alignment horizontal="center" vertical="center"/>
    </xf>
    <xf numFmtId="9" fontId="75" fillId="11" borderId="38" xfId="14" applyFont="1" applyFill="1" applyBorder="1" applyAlignment="1">
      <alignment horizontal="center" vertical="center"/>
    </xf>
    <xf numFmtId="9" fontId="75" fillId="11" borderId="2" xfId="14" applyFont="1" applyFill="1" applyBorder="1" applyAlignment="1">
      <alignment horizontal="center" vertical="center"/>
    </xf>
    <xf numFmtId="0" fontId="78" fillId="30" borderId="3" xfId="0" applyFont="1" applyFill="1" applyBorder="1" applyAlignment="1">
      <alignment horizontal="center" vertical="center"/>
    </xf>
    <xf numFmtId="0" fontId="78" fillId="30" borderId="3" xfId="0" quotePrefix="1" applyFont="1" applyFill="1" applyBorder="1" applyAlignment="1">
      <alignment horizontal="center" vertical="center"/>
    </xf>
    <xf numFmtId="2" fontId="75" fillId="11" borderId="2" xfId="0" applyNumberFormat="1" applyFont="1" applyFill="1" applyBorder="1" applyAlignment="1">
      <alignment horizontal="center" vertical="center"/>
    </xf>
    <xf numFmtId="0" fontId="78" fillId="30" borderId="46" xfId="0" applyFont="1" applyFill="1" applyBorder="1" applyAlignment="1">
      <alignment horizontal="center" vertical="center"/>
    </xf>
    <xf numFmtId="0" fontId="78" fillId="30" borderId="46" xfId="31" applyFont="1" applyFill="1" applyBorder="1" applyAlignment="1">
      <alignment horizontal="center" vertical="center"/>
    </xf>
    <xf numFmtId="9" fontId="75" fillId="34" borderId="44" xfId="14" quotePrefix="1" applyFont="1" applyFill="1" applyBorder="1" applyAlignment="1">
      <alignment horizontal="center" vertical="center" wrapText="1"/>
    </xf>
    <xf numFmtId="9" fontId="75" fillId="34" borderId="45" xfId="14" applyFont="1" applyFill="1" applyBorder="1" applyAlignment="1">
      <alignment horizontal="center" vertical="center" wrapText="1"/>
    </xf>
    <xf numFmtId="189" fontId="0" fillId="0" borderId="44" xfId="0" applyNumberFormat="1" applyBorder="1" applyAlignment="1">
      <alignment horizontal="center" vertical="center"/>
    </xf>
    <xf numFmtId="189" fontId="0" fillId="0" borderId="45" xfId="0" applyNumberFormat="1" applyBorder="1" applyAlignment="1">
      <alignment horizontal="center" vertical="center"/>
    </xf>
    <xf numFmtId="0" fontId="62" fillId="0" borderId="44" xfId="0" applyFont="1" applyBorder="1" applyAlignment="1">
      <alignment horizontal="center" vertical="center"/>
    </xf>
    <xf numFmtId="0" fontId="62" fillId="0" borderId="1" xfId="0" applyFont="1" applyBorder="1" applyAlignment="1">
      <alignment horizontal="center" vertical="center"/>
    </xf>
    <xf numFmtId="0" fontId="62" fillId="0" borderId="45" xfId="0" applyFont="1" applyBorder="1" applyAlignment="1">
      <alignment horizontal="center" vertical="center"/>
    </xf>
    <xf numFmtId="9" fontId="78" fillId="30" borderId="118" xfId="14" applyFont="1" applyFill="1" applyBorder="1" applyAlignment="1">
      <alignment horizontal="center" vertical="center"/>
    </xf>
    <xf numFmtId="0" fontId="78" fillId="30" borderId="215" xfId="0" applyFont="1" applyFill="1" applyBorder="1" applyAlignment="1">
      <alignment horizontal="center" vertical="center"/>
    </xf>
    <xf numFmtId="2" fontId="0" fillId="0" borderId="0" xfId="24" applyNumberFormat="1" applyFont="1" applyAlignment="1">
      <alignment horizontal="center"/>
    </xf>
    <xf numFmtId="0" fontId="16" fillId="17" borderId="112" xfId="1" applyFill="1" applyBorder="1" applyAlignment="1">
      <alignment horizontal="center" vertical="center" readingOrder="1"/>
    </xf>
    <xf numFmtId="0" fontId="50" fillId="17" borderId="112" xfId="24" applyFont="1" applyFill="1" applyBorder="1" applyAlignment="1">
      <alignment horizontal="center"/>
    </xf>
    <xf numFmtId="0" fontId="0" fillId="0" borderId="0" xfId="24" applyFont="1" applyAlignment="1">
      <alignment horizontal="center"/>
    </xf>
    <xf numFmtId="0" fontId="26" fillId="4" borderId="136" xfId="24" applyFont="1" applyFill="1" applyBorder="1" applyAlignment="1">
      <alignment horizontal="center" vertical="center"/>
    </xf>
    <xf numFmtId="0" fontId="26" fillId="4" borderId="30" xfId="24" applyFont="1" applyFill="1" applyBorder="1" applyAlignment="1">
      <alignment horizontal="center" vertical="center"/>
    </xf>
    <xf numFmtId="0" fontId="26" fillId="4" borderId="31" xfId="24" applyFont="1" applyFill="1" applyBorder="1" applyAlignment="1">
      <alignment horizontal="center" vertical="center"/>
    </xf>
    <xf numFmtId="0" fontId="28" fillId="0" borderId="137" xfId="24" applyFont="1" applyBorder="1" applyAlignment="1">
      <alignment horizontal="center" vertical="center" wrapText="1"/>
    </xf>
    <xf numFmtId="0" fontId="28" fillId="0" borderId="138" xfId="24" applyFont="1" applyBorder="1" applyAlignment="1">
      <alignment horizontal="center" vertical="center" wrapText="1"/>
    </xf>
    <xf numFmtId="0" fontId="28" fillId="0" borderId="139" xfId="24" applyFont="1" applyBorder="1" applyAlignment="1">
      <alignment horizontal="center" vertical="center" wrapText="1"/>
    </xf>
    <xf numFmtId="0" fontId="8" fillId="38" borderId="198" xfId="0" applyFont="1" applyFill="1" applyBorder="1" applyAlignment="1">
      <alignment horizontal="center"/>
    </xf>
    <xf numFmtId="0" fontId="8" fillId="38" borderId="199" xfId="0" applyFont="1" applyFill="1" applyBorder="1" applyAlignment="1">
      <alignment horizontal="center"/>
    </xf>
    <xf numFmtId="0" fontId="8" fillId="38" borderId="178" xfId="0" applyFont="1" applyFill="1" applyBorder="1" applyAlignment="1">
      <alignment horizontal="center"/>
    </xf>
    <xf numFmtId="0" fontId="62" fillId="0" borderId="3" xfId="27" applyFont="1" applyBorder="1" applyAlignment="1">
      <alignment horizontal="center" vertical="center"/>
    </xf>
    <xf numFmtId="0" fontId="62" fillId="0" borderId="2" xfId="27" applyFont="1" applyBorder="1" applyAlignment="1">
      <alignment horizontal="center" vertical="center"/>
    </xf>
    <xf numFmtId="0" fontId="52" fillId="35" borderId="0" xfId="0" applyFont="1" applyFill="1" applyAlignment="1">
      <alignment horizontal="left" vertical="center"/>
    </xf>
    <xf numFmtId="0" fontId="52" fillId="35" borderId="141" xfId="0" applyFont="1" applyFill="1" applyBorder="1" applyAlignment="1">
      <alignment horizontal="left"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53" fillId="0" borderId="2" xfId="0" applyFont="1" applyBorder="1" applyAlignment="1">
      <alignment horizontal="center" vertical="center"/>
    </xf>
    <xf numFmtId="0" fontId="53" fillId="0" borderId="129" xfId="0" applyFont="1" applyBorder="1" applyAlignment="1">
      <alignment horizontal="center" vertical="center" wrapText="1"/>
    </xf>
    <xf numFmtId="0" fontId="53" fillId="0" borderId="126" xfId="0" applyFont="1" applyBorder="1" applyAlignment="1">
      <alignment horizontal="center" vertical="center" wrapText="1"/>
    </xf>
    <xf numFmtId="0" fontId="58" fillId="27" borderId="128" xfId="0" applyFont="1" applyFill="1" applyBorder="1" applyAlignment="1">
      <alignment horizontal="center"/>
    </xf>
    <xf numFmtId="0" fontId="58" fillId="27" borderId="0" xfId="0" applyFont="1" applyFill="1" applyAlignment="1">
      <alignment horizontal="center"/>
    </xf>
    <xf numFmtId="0" fontId="58" fillId="27" borderId="140" xfId="0" applyFont="1" applyFill="1" applyBorder="1" applyAlignment="1">
      <alignment horizontal="center"/>
    </xf>
    <xf numFmtId="0" fontId="58" fillId="27" borderId="124" xfId="0" applyFont="1" applyFill="1" applyBorder="1" applyAlignment="1">
      <alignment horizontal="center"/>
    </xf>
    <xf numFmtId="0" fontId="58" fillId="27" borderId="190" xfId="0" applyFont="1" applyFill="1" applyBorder="1" applyAlignment="1">
      <alignment horizontal="center"/>
    </xf>
    <xf numFmtId="0" fontId="51" fillId="11" borderId="198" xfId="0" applyFont="1" applyFill="1" applyBorder="1" applyAlignment="1">
      <alignment horizontal="center"/>
    </xf>
    <xf numFmtId="0" fontId="51" fillId="11" borderId="199" xfId="0" applyFont="1" applyFill="1" applyBorder="1" applyAlignment="1">
      <alignment horizontal="center"/>
    </xf>
    <xf numFmtId="0" fontId="51" fillId="11" borderId="178" xfId="0" applyFont="1" applyFill="1" applyBorder="1" applyAlignment="1">
      <alignment horizontal="center"/>
    </xf>
    <xf numFmtId="0" fontId="51" fillId="38" borderId="198" xfId="0" applyFont="1" applyFill="1" applyBorder="1" applyAlignment="1">
      <alignment horizontal="center"/>
    </xf>
    <xf numFmtId="0" fontId="51" fillId="38" borderId="199" xfId="0" applyFont="1" applyFill="1" applyBorder="1" applyAlignment="1">
      <alignment horizontal="center"/>
    </xf>
    <xf numFmtId="0" fontId="51" fillId="38" borderId="178" xfId="0" applyFont="1" applyFill="1" applyBorder="1" applyAlignment="1">
      <alignment horizontal="center"/>
    </xf>
    <xf numFmtId="0" fontId="53" fillId="0" borderId="126" xfId="0" applyFont="1" applyBorder="1" applyAlignment="1">
      <alignment horizontal="center" vertical="center"/>
    </xf>
    <xf numFmtId="0" fontId="53" fillId="0" borderId="129" xfId="0" applyFont="1" applyBorder="1" applyAlignment="1">
      <alignment horizontal="center" vertical="center"/>
    </xf>
    <xf numFmtId="0" fontId="53" fillId="0" borderId="200" xfId="0" applyFont="1" applyBorder="1" applyAlignment="1">
      <alignment horizontal="center" vertical="center"/>
    </xf>
    <xf numFmtId="0" fontId="53" fillId="0" borderId="168" xfId="0" applyFont="1" applyBorder="1" applyAlignment="1">
      <alignment horizontal="center" vertical="center"/>
    </xf>
    <xf numFmtId="0" fontId="53" fillId="0" borderId="118" xfId="0" applyFont="1" applyBorder="1" applyAlignment="1">
      <alignment horizontal="center" vertical="center"/>
    </xf>
    <xf numFmtId="0" fontId="13" fillId="47" borderId="0" xfId="0" applyFont="1" applyFill="1" applyAlignment="1">
      <alignment horizontal="center" vertical="center"/>
    </xf>
    <xf numFmtId="0" fontId="13" fillId="47" borderId="141" xfId="0" applyFont="1" applyFill="1" applyBorder="1" applyAlignment="1">
      <alignment horizontal="center"/>
    </xf>
    <xf numFmtId="0" fontId="0" fillId="0" borderId="186" xfId="0" applyBorder="1" applyAlignment="1">
      <alignment horizontal="left"/>
    </xf>
    <xf numFmtId="0" fontId="13" fillId="0" borderId="186" xfId="0" applyFont="1" applyBorder="1" applyAlignment="1">
      <alignment horizontal="left"/>
    </xf>
    <xf numFmtId="0" fontId="13" fillId="47" borderId="0" xfId="0" applyFont="1" applyFill="1" applyAlignment="1">
      <alignment horizontal="center"/>
    </xf>
    <xf numFmtId="0" fontId="13" fillId="0" borderId="0" xfId="0" applyFont="1" applyAlignment="1">
      <alignment horizontal="left"/>
    </xf>
    <xf numFmtId="0" fontId="13" fillId="7" borderId="0" xfId="0" applyFont="1" applyFill="1" applyAlignment="1">
      <alignment horizontal="center"/>
    </xf>
    <xf numFmtId="0" fontId="13" fillId="47" borderId="141" xfId="0" applyFont="1" applyFill="1" applyBorder="1" applyAlignment="1">
      <alignment horizontal="center" vertical="center"/>
    </xf>
    <xf numFmtId="0" fontId="0" fillId="0" borderId="0" xfId="0" applyAlignment="1">
      <alignment horizontal="left"/>
    </xf>
    <xf numFmtId="0" fontId="0" fillId="0" borderId="0" xfId="0" applyAlignment="1">
      <alignment horizontal="center"/>
    </xf>
    <xf numFmtId="0" fontId="8" fillId="0" borderId="46" xfId="22" applyBorder="1" applyAlignment="1">
      <alignment horizontal="center"/>
    </xf>
    <xf numFmtId="0" fontId="8" fillId="50" borderId="0" xfId="22" applyFill="1" applyAlignment="1">
      <alignment horizontal="center"/>
    </xf>
    <xf numFmtId="0" fontId="8" fillId="0" borderId="44" xfId="22" applyBorder="1" applyAlignment="1">
      <alignment horizontal="center"/>
    </xf>
    <xf numFmtId="0" fontId="8" fillId="0" borderId="45" xfId="22" applyBorder="1" applyAlignment="1">
      <alignment horizontal="center"/>
    </xf>
    <xf numFmtId="0" fontId="8" fillId="0" borderId="0" xfId="22" applyAlignment="1">
      <alignment horizontal="center"/>
    </xf>
    <xf numFmtId="10" fontId="0" fillId="45" borderId="46" xfId="22" applyNumberFormat="1" applyFont="1" applyFill="1" applyBorder="1" applyAlignment="1">
      <alignment horizontal="right"/>
    </xf>
    <xf numFmtId="0" fontId="0" fillId="0" borderId="44" xfId="22" applyFont="1" applyBorder="1" applyAlignment="1">
      <alignment horizontal="center"/>
    </xf>
    <xf numFmtId="0" fontId="0" fillId="0" borderId="45" xfId="22" applyFont="1" applyBorder="1" applyAlignment="1">
      <alignment horizontal="center"/>
    </xf>
    <xf numFmtId="9" fontId="0" fillId="0" borderId="46" xfId="22" applyNumberFormat="1" applyFont="1" applyBorder="1" applyAlignment="1">
      <alignment horizontal="right"/>
    </xf>
    <xf numFmtId="0" fontId="75" fillId="6" borderId="0" xfId="0" applyFont="1" applyFill="1" applyAlignment="1">
      <alignment horizontal="center"/>
    </xf>
    <xf numFmtId="0" fontId="89" fillId="7" borderId="44" xfId="0" applyFont="1" applyFill="1" applyBorder="1" applyAlignment="1">
      <alignment horizontal="center"/>
    </xf>
    <xf numFmtId="0" fontId="89" fillId="7" borderId="45" xfId="0" applyFont="1" applyFill="1" applyBorder="1" applyAlignment="1">
      <alignment horizontal="center"/>
    </xf>
    <xf numFmtId="0" fontId="8" fillId="0" borderId="44" xfId="22" applyBorder="1" applyAlignment="1">
      <alignment horizontal="left"/>
    </xf>
    <xf numFmtId="0" fontId="8" fillId="0" borderId="45" xfId="22" applyBorder="1" applyAlignment="1">
      <alignment horizontal="left"/>
    </xf>
    <xf numFmtId="0" fontId="8" fillId="50" borderId="32" xfId="22" applyFill="1" applyBorder="1" applyAlignment="1">
      <alignment horizontal="center"/>
    </xf>
    <xf numFmtId="0" fontId="0" fillId="50" borderId="32" xfId="22" applyFont="1" applyFill="1" applyBorder="1" applyAlignment="1">
      <alignment horizontal="center"/>
    </xf>
    <xf numFmtId="10" fontId="0" fillId="0" borderId="46" xfId="22" applyNumberFormat="1" applyFont="1" applyBorder="1" applyAlignment="1">
      <alignment horizontal="right"/>
    </xf>
    <xf numFmtId="0" fontId="8" fillId="7" borderId="46" xfId="22" applyFill="1" applyBorder="1" applyAlignment="1">
      <alignment horizontal="center"/>
    </xf>
    <xf numFmtId="0" fontId="0" fillId="50" borderId="0" xfId="0" applyFill="1" applyAlignment="1">
      <alignment horizontal="center"/>
    </xf>
    <xf numFmtId="10" fontId="0" fillId="0" borderId="44" xfId="14" applyNumberFormat="1" applyFont="1" applyBorder="1" applyAlignment="1">
      <alignment horizontal="right"/>
    </xf>
    <xf numFmtId="10" fontId="0" fillId="0" borderId="45" xfId="14" applyNumberFormat="1" applyFont="1" applyBorder="1" applyAlignment="1">
      <alignment horizontal="right"/>
    </xf>
    <xf numFmtId="0" fontId="8" fillId="50" borderId="0" xfId="0" applyFont="1" applyFill="1" applyAlignment="1">
      <alignment horizontal="center"/>
    </xf>
    <xf numFmtId="0" fontId="8" fillId="7" borderId="44" xfId="0" applyFont="1" applyFill="1" applyBorder="1" applyAlignment="1">
      <alignment horizontal="center"/>
    </xf>
    <xf numFmtId="0" fontId="0" fillId="7" borderId="45" xfId="0" applyFill="1" applyBorder="1" applyAlignment="1">
      <alignment horizontal="center"/>
    </xf>
    <xf numFmtId="10" fontId="0" fillId="51" borderId="44" xfId="14" applyNumberFormat="1" applyFont="1" applyFill="1" applyBorder="1" applyAlignment="1">
      <alignment horizontal="right"/>
    </xf>
    <xf numFmtId="10" fontId="0" fillId="51" borderId="45" xfId="14" applyNumberFormat="1" applyFont="1" applyFill="1" applyBorder="1" applyAlignment="1">
      <alignment horizontal="right"/>
    </xf>
    <xf numFmtId="0" fontId="41" fillId="0" borderId="0" xfId="0" applyFont="1" applyAlignment="1">
      <alignment horizontal="center"/>
    </xf>
    <xf numFmtId="0" fontId="9" fillId="0" borderId="0" xfId="0" applyFont="1" applyAlignment="1">
      <alignment horizontal="center"/>
    </xf>
    <xf numFmtId="0" fontId="37" fillId="0" borderId="0" xfId="0" applyFont="1" applyAlignment="1">
      <alignment horizontal="center"/>
    </xf>
    <xf numFmtId="0" fontId="13" fillId="0" borderId="3" xfId="0" applyFont="1" applyBorder="1" applyAlignment="1">
      <alignment horizontal="center"/>
    </xf>
    <xf numFmtId="0" fontId="13" fillId="0" borderId="2" xfId="0" applyFont="1" applyBorder="1" applyAlignment="1">
      <alignment horizontal="center"/>
    </xf>
    <xf numFmtId="0" fontId="13" fillId="0" borderId="34" xfId="0" applyFont="1" applyBorder="1" applyAlignment="1">
      <alignment horizontal="center"/>
    </xf>
    <xf numFmtId="0" fontId="13" fillId="0" borderId="5" xfId="0" applyFont="1" applyBorder="1" applyAlignment="1">
      <alignment horizontal="center"/>
    </xf>
    <xf numFmtId="0" fontId="13" fillId="0" borderId="35" xfId="0" applyFont="1" applyBorder="1" applyAlignment="1">
      <alignment horizontal="center"/>
    </xf>
    <xf numFmtId="0" fontId="33" fillId="0" borderId="0" xfId="0" applyFont="1" applyAlignment="1">
      <alignment horizontal="center"/>
    </xf>
    <xf numFmtId="0" fontId="22" fillId="0" borderId="0" xfId="0" applyFont="1" applyAlignment="1">
      <alignment horizontal="center"/>
    </xf>
    <xf numFmtId="0" fontId="33" fillId="18" borderId="0" xfId="0" applyFont="1" applyFill="1" applyAlignment="1">
      <alignment horizontal="center"/>
    </xf>
    <xf numFmtId="4" fontId="33" fillId="18" borderId="0" xfId="0" applyNumberFormat="1" applyFont="1" applyFill="1" applyAlignment="1">
      <alignment horizontal="center"/>
    </xf>
    <xf numFmtId="0" fontId="13" fillId="0" borderId="0" xfId="0" applyFont="1" applyAlignment="1"/>
  </cellXfs>
  <cellStyles count="35">
    <cellStyle name="blp_title_header_row_left" xfId="1" xr:uid="{00000000-0005-0000-0000-000000000000}"/>
    <cellStyle name="fa_column_header_bottom_left 2" xfId="2" xr:uid="{00000000-0005-0000-0000-000001000000}"/>
    <cellStyle name="fa_column_header_top 2" xfId="3" xr:uid="{00000000-0005-0000-0000-000002000000}"/>
    <cellStyle name="fa_column_header_top_left 2" xfId="4" xr:uid="{00000000-0005-0000-0000-000003000000}"/>
    <cellStyle name="fa_data_bold_0_grouped" xfId="5" xr:uid="{00000000-0005-0000-0000-000004000000}"/>
    <cellStyle name="fa_data_standard_1_grouped" xfId="6" xr:uid="{00000000-0005-0000-0000-000005000000}"/>
    <cellStyle name="fa_data_standard_2_grouped" xfId="7" xr:uid="{00000000-0005-0000-0000-000006000000}"/>
    <cellStyle name="fa_row_header_bold 2" xfId="8" xr:uid="{00000000-0005-0000-0000-000008000000}"/>
    <cellStyle name="fa_row_header_standard 2" xfId="9" xr:uid="{00000000-0005-0000-0000-000009000000}"/>
    <cellStyle name="Moneda 2" xfId="10" xr:uid="{00000000-0005-0000-0000-00000B000000}"/>
    <cellStyle name="Moneda 2 2" xfId="11" xr:uid="{00000000-0005-0000-0000-00000C000000}"/>
    <cellStyle name="Normal 2" xfId="12" xr:uid="{00000000-0005-0000-0000-00000E000000}"/>
    <cellStyle name="Normal 2 2" xfId="13" xr:uid="{00000000-0005-0000-0000-00000F000000}"/>
    <cellStyle name="Normal 2 3" xfId="18" xr:uid="{00000000-0005-0000-0000-000010000000}"/>
    <cellStyle name="Normal 2 3 2" xfId="25" xr:uid="{6A4611F8-31D7-4EA6-B27B-70EB4E34E8FD}"/>
    <cellStyle name="Normal 2 4" xfId="19" xr:uid="{DBC68614-B0BC-4348-8A0D-C96562B201CF}"/>
    <cellStyle name="Normal 3" xfId="22" xr:uid="{371B90F0-6B8E-40BF-8358-D28B574437C9}"/>
    <cellStyle name="Normal 3 2" xfId="24" xr:uid="{41BD78A2-6B23-4ADD-839D-9D86F14E11A2}"/>
    <cellStyle name="Normal 3 3" xfId="27" xr:uid="{4CBFF9A4-05AD-4A91-8AF0-FA0B5B39E2EC}"/>
    <cellStyle name="Normal 4" xfId="32" xr:uid="{C93B83E1-0398-40A9-A0BD-9F01F9481898}"/>
    <cellStyle name="Normal 5" xfId="28" xr:uid="{E3BE1569-E214-4855-8BF5-B868B88B5743}"/>
    <cellStyle name="Normal 9" xfId="31" xr:uid="{CACD4D4E-2C7F-4816-9692-26D0FDD559DC}"/>
    <cellStyle name="Note 2" xfId="33" xr:uid="{6D36CF54-97E9-42D3-9370-CCDD940EB557}"/>
    <cellStyle name="Porcentaje 2" xfId="15" xr:uid="{00000000-0005-0000-0000-000012000000}"/>
    <cellStyle name="Porcentaje 2 2" xfId="16" xr:uid="{00000000-0005-0000-0000-000013000000}"/>
    <cellStyle name="Porcentaje 2 2 2" xfId="23" xr:uid="{924DB8B0-6B9C-4A78-9CB6-7EC8F42C7C6B}"/>
    <cellStyle name="Porcentaje 2 3" xfId="21" xr:uid="{1FF2580F-E450-433A-8AB5-6E1CABCA8FC9}"/>
    <cellStyle name="Porcentaje 2 4" xfId="26" xr:uid="{3D812F63-E4F6-4F6D-A613-EF79E76ACE35}"/>
    <cellStyle name="Porcentaje 3" xfId="17" xr:uid="{00000000-0005-0000-0000-000014000000}"/>
    <cellStyle name="Porcentaje 3 2" xfId="20" xr:uid="{59E732CE-B697-4AF7-8CEE-0C42EB60E78B}"/>
    <cellStyle name="Porcentaje 4 2" xfId="30" xr:uid="{C6A0E8B8-33DC-4334-89A4-99FF669E5EA8}"/>
    <cellStyle name="Porcentaje 5" xfId="29" xr:uid="{F07CEC0B-CE59-4BBC-A0C7-9B77A84167BF}"/>
    <cellStyle name="百分比" xfId="14" builtinId="5"/>
    <cellStyle name="常规" xfId="0" builtinId="0"/>
    <cellStyle name="超链接" xfId="34" builtinId="8"/>
  </cellStyles>
  <dxfs count="40">
    <dxf>
      <fill>
        <patternFill>
          <bgColor rgb="FF00B050"/>
        </patternFill>
      </fill>
    </dxf>
    <dxf>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ill>
        <patternFill patternType="solid">
          <bgColor rgb="FF00B05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bgColor rgb="FF00B050"/>
        </patternFill>
      </fill>
    </dxf>
  </dxfs>
  <tableStyles count="1" defaultTableStyle="TableStyleMedium9" defaultPivotStyle="PivotStyleLight16">
    <tableStyle name="Invisible" pivot="0" table="0" count="0" xr9:uid="{7B8256E5-5961-45BC-8E74-75040304E975}"/>
  </tableStyles>
  <colors>
    <mruColors>
      <color rgb="FF339966"/>
      <color rgb="FFC5D9F1"/>
      <color rgb="FF1B7087"/>
      <color rgb="FF1F497D"/>
      <color rgb="FF3174C5"/>
      <color rgb="FF63CB97"/>
      <color rgb="FFFF3399"/>
      <color rgb="FFE838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22/10/relationships/richValueRel" Target="richData/richValueRel.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7/06/relationships/richStyles" Target="richData/rich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SupportingPropertyBag" Target="richData/rdsupportingpropertybag.xml"/><Relationship Id="rId28"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dSupportingPropertyBagStructure" Target="richData/rdsupportingpropertybagstructure.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95-4C49-84C7-5728DDC218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95-4C49-84C7-5728DDC218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95-4C49-84C7-5728DDC218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Segments!$C$16:$C$18</c:f>
              <c:strCache>
                <c:ptCount val="3"/>
                <c:pt idx="0">
                  <c:v>Products</c:v>
                </c:pt>
                <c:pt idx="1">
                  <c:v>Security subscription</c:v>
                </c:pt>
                <c:pt idx="2">
                  <c:v>Technical support and other</c:v>
                </c:pt>
              </c:strCache>
            </c:strRef>
          </c:cat>
          <c:val>
            <c:numRef>
              <c:f>Segments!$D$16:$D$18</c:f>
              <c:numCache>
                <c:formatCode>"$"#,##0.0</c:formatCode>
                <c:ptCount val="3"/>
                <c:pt idx="0">
                  <c:v>1979.5</c:v>
                </c:pt>
                <c:pt idx="1">
                  <c:v>1778</c:v>
                </c:pt>
                <c:pt idx="2">
                  <c:v>1415</c:v>
                </c:pt>
              </c:numCache>
            </c:numRef>
          </c:val>
          <c:extLst>
            <c:ext xmlns:c16="http://schemas.microsoft.com/office/drawing/2014/chart" uri="{C3380CC4-5D6E-409C-BE32-E72D297353CC}">
              <c16:uniqueId val="{00000001-CF53-4579-B1F0-E5091D7574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9F-49D6-9FC9-334380BCCA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9F-49D6-9FC9-334380BCCA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C0-4978-822B-C231DBE6DFF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4C0-4978-822B-C231DBE6DFF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4C0-4978-822B-C231DBE6DFF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4C0-4978-822B-C231DBE6DF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Segments!$C$5:$C$8</c:f>
              <c:strCache>
                <c:ptCount val="4"/>
                <c:pt idx="0">
                  <c:v>United States</c:v>
                </c:pt>
                <c:pt idx="1">
                  <c:v>Other Americas</c:v>
                </c:pt>
                <c:pt idx="2">
                  <c:v>Europe, Middle East and Africa (EMEA)</c:v>
                </c:pt>
                <c:pt idx="3">
                  <c:v>Asia Pacific (APAC)</c:v>
                </c:pt>
              </c:strCache>
            </c:strRef>
          </c:cat>
          <c:val>
            <c:numRef>
              <c:f>Segments!$D$5:$D$8</c:f>
              <c:numCache>
                <c:formatCode>"$"#,##0.0</c:formatCode>
                <c:ptCount val="4"/>
                <c:pt idx="0">
                  <c:v>1571.8</c:v>
                </c:pt>
                <c:pt idx="1">
                  <c:v>555.5</c:v>
                </c:pt>
                <c:pt idx="2">
                  <c:v>2007.4</c:v>
                </c:pt>
                <c:pt idx="3">
                  <c:v>1038</c:v>
                </c:pt>
              </c:numCache>
            </c:numRef>
          </c:val>
          <c:extLst>
            <c:ext xmlns:c16="http://schemas.microsoft.com/office/drawing/2014/chart" uri="{C3380CC4-5D6E-409C-BE32-E72D297353CC}">
              <c16:uniqueId val="{00000001-C3B0-4A61-A0D4-9A0AF729159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Peers!$C$8</c:f>
              <c:strCache>
                <c:ptCount val="1"/>
                <c:pt idx="0">
                  <c:v>FORTINET, INC. (XNAS:FTNT)</c:v>
                </c:pt>
              </c:strCache>
            </c:strRef>
          </c:tx>
          <c:spPr>
            <a:ln w="25400" cap="rnd">
              <a:noFill/>
              <a:round/>
            </a:ln>
            <a:effectLst/>
          </c:spPr>
          <c:marker>
            <c:symbol val="circle"/>
            <c:size val="5"/>
            <c:spPr>
              <a:solidFill>
                <a:schemeClr val="accent1"/>
              </a:solidFill>
              <a:ln w="9525">
                <a:solidFill>
                  <a:schemeClr val="accent1"/>
                </a:solidFill>
              </a:ln>
              <a:effectLst/>
            </c:spPr>
          </c:marker>
          <c:xVal>
            <c:numRef>
              <c:f>Peers!$C$21</c:f>
              <c:numCache>
                <c:formatCode>0.00</c:formatCode>
                <c:ptCount val="1"/>
                <c:pt idx="0">
                  <c:v>-0.80478965321205242</c:v>
                </c:pt>
              </c:numCache>
            </c:numRef>
          </c:xVal>
          <c:yVal>
            <c:numRef>
              <c:f>Peers!$C$37</c:f>
              <c:numCache>
                <c:formatCode>0.0</c:formatCode>
                <c:ptCount val="1"/>
                <c:pt idx="0">
                  <c:v>27.030628197839683</c:v>
                </c:pt>
              </c:numCache>
            </c:numRef>
          </c:yVal>
          <c:smooth val="0"/>
          <c:extLst>
            <c:ext xmlns:c16="http://schemas.microsoft.com/office/drawing/2014/chart" uri="{C3380CC4-5D6E-409C-BE32-E72D297353CC}">
              <c16:uniqueId val="{00000001-B547-4DF9-892F-3129917FB3B3}"/>
            </c:ext>
          </c:extLst>
        </c:ser>
        <c:ser>
          <c:idx val="1"/>
          <c:order val="1"/>
          <c:tx>
            <c:strRef>
              <c:f>Peers!$D$8</c:f>
              <c:strCache>
                <c:ptCount val="1"/>
                <c:pt idx="0">
                  <c:v>PALO ALTO NETWORKS, INC. (XNAS:PANW)</c:v>
                </c:pt>
              </c:strCache>
            </c:strRef>
          </c:tx>
          <c:spPr>
            <a:ln w="25400" cap="rnd">
              <a:noFill/>
              <a:round/>
            </a:ln>
            <a:effectLst/>
          </c:spPr>
          <c:marker>
            <c:symbol val="circle"/>
            <c:size val="5"/>
            <c:spPr>
              <a:solidFill>
                <a:schemeClr val="accent2"/>
              </a:solidFill>
              <a:ln w="9525">
                <a:solidFill>
                  <a:schemeClr val="accent2"/>
                </a:solidFill>
              </a:ln>
              <a:effectLst/>
            </c:spPr>
          </c:marker>
          <c:xVal>
            <c:numRef>
              <c:f>Peers!$D$21</c:f>
              <c:numCache>
                <c:formatCode>0.00</c:formatCode>
                <c:ptCount val="1"/>
                <c:pt idx="0">
                  <c:v>-0.30178711925368101</c:v>
                </c:pt>
              </c:numCache>
            </c:numRef>
          </c:xVal>
          <c:yVal>
            <c:numRef>
              <c:f>Peers!$D$37</c:f>
              <c:numCache>
                <c:formatCode>0.0</c:formatCode>
                <c:ptCount val="1"/>
                <c:pt idx="0">
                  <c:v>126.90064066539283</c:v>
                </c:pt>
              </c:numCache>
            </c:numRef>
          </c:yVal>
          <c:smooth val="0"/>
          <c:extLst>
            <c:ext xmlns:c16="http://schemas.microsoft.com/office/drawing/2014/chart" uri="{C3380CC4-5D6E-409C-BE32-E72D297353CC}">
              <c16:uniqueId val="{00000002-B547-4DF9-892F-3129917FB3B3}"/>
            </c:ext>
          </c:extLst>
        </c:ser>
        <c:ser>
          <c:idx val="2"/>
          <c:order val="2"/>
          <c:tx>
            <c:strRef>
              <c:f>Peers!$E$8</c:f>
              <c:strCache>
                <c:ptCount val="1"/>
                <c:pt idx="0">
                  <c:v>CROWDSTRIKE HOLDINGS, INC. (XNAS:CRWD)</c:v>
                </c:pt>
              </c:strCache>
            </c:strRef>
          </c:tx>
          <c:spPr>
            <a:ln w="25400" cap="rnd">
              <a:noFill/>
              <a:round/>
            </a:ln>
            <a:effectLst/>
          </c:spPr>
          <c:marker>
            <c:symbol val="circle"/>
            <c:size val="5"/>
            <c:spPr>
              <a:solidFill>
                <a:schemeClr val="accent3"/>
              </a:solidFill>
              <a:ln w="9525">
                <a:solidFill>
                  <a:schemeClr val="accent3"/>
                </a:solidFill>
              </a:ln>
              <a:effectLst/>
            </c:spPr>
          </c:marker>
          <c:xVal>
            <c:numRef>
              <c:f>Peers!$E$21</c:f>
              <c:numCache>
                <c:formatCode>0.00</c:formatCode>
                <c:ptCount val="1"/>
                <c:pt idx="0">
                  <c:v>-57.86398722384881</c:v>
                </c:pt>
              </c:numCache>
            </c:numRef>
          </c:xVal>
          <c:yVal>
            <c:numRef>
              <c:f>Peers!$E$37</c:f>
              <c:numCache>
                <c:formatCode>0.0</c:formatCode>
                <c:ptCount val="1"/>
                <c:pt idx="0">
                  <c:v>1596.2988073462868</c:v>
                </c:pt>
              </c:numCache>
            </c:numRef>
          </c:yVal>
          <c:smooth val="0"/>
          <c:extLst>
            <c:ext xmlns:c16="http://schemas.microsoft.com/office/drawing/2014/chart" uri="{C3380CC4-5D6E-409C-BE32-E72D297353CC}">
              <c16:uniqueId val="{00000003-B547-4DF9-892F-3129917FB3B3}"/>
            </c:ext>
          </c:extLst>
        </c:ser>
        <c:ser>
          <c:idx val="3"/>
          <c:order val="3"/>
          <c:tx>
            <c:strRef>
              <c:f>Peers!$F$8</c:f>
              <c:strCache>
                <c:ptCount val="1"/>
                <c:pt idx="0">
                  <c:v>CHECK POINT SOFTWARE TECHNOLOGIES LTD. (XNAS:CHKP)</c:v>
                </c:pt>
              </c:strCache>
            </c:strRef>
          </c:tx>
          <c:spPr>
            <a:ln w="25400" cap="rnd">
              <a:noFill/>
              <a:round/>
            </a:ln>
            <a:effectLst/>
          </c:spPr>
          <c:marker>
            <c:symbol val="circle"/>
            <c:size val="5"/>
            <c:spPr>
              <a:solidFill>
                <a:schemeClr val="accent4"/>
              </a:solidFill>
              <a:ln w="9525">
                <a:solidFill>
                  <a:schemeClr val="accent4"/>
                </a:solidFill>
              </a:ln>
              <a:effectLst/>
            </c:spPr>
          </c:marker>
          <c:xVal>
            <c:numRef>
              <c:f>Peers!$F$21</c:f>
              <c:numCache>
                <c:formatCode>0.00</c:formatCode>
                <c:ptCount val="1"/>
                <c:pt idx="0">
                  <c:v>2.4781866666666663</c:v>
                </c:pt>
              </c:numCache>
            </c:numRef>
          </c:xVal>
          <c:yVal>
            <c:numRef>
              <c:f>Peers!$F$37</c:f>
              <c:numCache>
                <c:formatCode>0.0</c:formatCode>
                <c:ptCount val="1"/>
                <c:pt idx="0">
                  <c:v>25.342496000000001</c:v>
                </c:pt>
              </c:numCache>
            </c:numRef>
          </c:yVal>
          <c:smooth val="0"/>
          <c:extLst>
            <c:ext xmlns:c16="http://schemas.microsoft.com/office/drawing/2014/chart" uri="{C3380CC4-5D6E-409C-BE32-E72D297353CC}">
              <c16:uniqueId val="{00000004-B547-4DF9-892F-3129917FB3B3}"/>
            </c:ext>
          </c:extLst>
        </c:ser>
        <c:ser>
          <c:idx val="4"/>
          <c:order val="4"/>
          <c:tx>
            <c:strRef>
              <c:f>Peers!$G$8</c:f>
              <c:strCache>
                <c:ptCount val="1"/>
                <c:pt idx="0">
                  <c:v>CISCO SYSTEMS, INC. (XNAS:CSCO)</c:v>
                </c:pt>
              </c:strCache>
            </c:strRef>
          </c:tx>
          <c:spPr>
            <a:ln w="25400" cap="rnd">
              <a:noFill/>
              <a:round/>
            </a:ln>
            <a:effectLst/>
          </c:spPr>
          <c:marker>
            <c:symbol val="circle"/>
            <c:size val="5"/>
            <c:spPr>
              <a:solidFill>
                <a:schemeClr val="accent5"/>
              </a:solidFill>
              <a:ln w="9525">
                <a:solidFill>
                  <a:schemeClr val="accent5"/>
                </a:solidFill>
              </a:ln>
              <a:effectLst/>
            </c:spPr>
          </c:marker>
          <c:xVal>
            <c:numRef>
              <c:f>Peers!$G$21</c:f>
              <c:numCache>
                <c:formatCode>0.00</c:formatCode>
                <c:ptCount val="1"/>
              </c:numCache>
            </c:numRef>
          </c:xVal>
          <c:yVal>
            <c:numRef>
              <c:f>Peers!$G$37</c:f>
              <c:numCache>
                <c:formatCode>0.0</c:formatCode>
                <c:ptCount val="1"/>
              </c:numCache>
            </c:numRef>
          </c:yVal>
          <c:smooth val="0"/>
          <c:extLst>
            <c:ext xmlns:c16="http://schemas.microsoft.com/office/drawing/2014/chart" uri="{C3380CC4-5D6E-409C-BE32-E72D297353CC}">
              <c16:uniqueId val="{00000005-B547-4DF9-892F-3129917FB3B3}"/>
            </c:ext>
          </c:extLst>
        </c:ser>
        <c:ser>
          <c:idx val="5"/>
          <c:order val="5"/>
          <c:tx>
            <c:strRef>
              <c:f>Peers!$H$8</c:f>
              <c:strCache>
                <c:ptCount val="1"/>
                <c:pt idx="0">
                  <c:v>ZSCALER, INC. (XNAS:ZS)</c:v>
                </c:pt>
              </c:strCache>
            </c:strRef>
          </c:tx>
          <c:spPr>
            <a:ln w="25400" cap="rnd">
              <a:noFill/>
              <a:round/>
            </a:ln>
            <a:effectLst/>
          </c:spPr>
          <c:marker>
            <c:symbol val="circle"/>
            <c:size val="5"/>
            <c:spPr>
              <a:solidFill>
                <a:schemeClr val="accent6"/>
              </a:solidFill>
              <a:ln w="9525">
                <a:solidFill>
                  <a:schemeClr val="accent6"/>
                </a:solidFill>
              </a:ln>
              <a:effectLst/>
            </c:spPr>
          </c:marker>
          <c:xVal>
            <c:numRef>
              <c:f>Peers!$H$21</c:f>
              <c:numCache>
                <c:formatCode>0.00</c:formatCode>
                <c:ptCount val="1"/>
                <c:pt idx="0">
                  <c:v>1.0262991350819213</c:v>
                </c:pt>
              </c:numCache>
            </c:numRef>
          </c:xVal>
          <c:yVal>
            <c:numRef>
              <c:f>Peers!$H$37</c:f>
              <c:numCache>
                <c:formatCode>0.0</c:formatCode>
                <c:ptCount val="1"/>
                <c:pt idx="0">
                  <c:v>-170.84854061599043</c:v>
                </c:pt>
              </c:numCache>
            </c:numRef>
          </c:yVal>
          <c:smooth val="0"/>
          <c:extLst>
            <c:ext xmlns:c16="http://schemas.microsoft.com/office/drawing/2014/chart" uri="{C3380CC4-5D6E-409C-BE32-E72D297353CC}">
              <c16:uniqueId val="{00000006-B547-4DF9-892F-3129917FB3B3}"/>
            </c:ext>
          </c:extLst>
        </c:ser>
        <c:dLbls>
          <c:showLegendKey val="0"/>
          <c:showVal val="0"/>
          <c:showCatName val="0"/>
          <c:showSerName val="0"/>
          <c:showPercent val="0"/>
          <c:showBubbleSize val="0"/>
        </c:dLbls>
        <c:axId val="1571673951"/>
        <c:axId val="1289766175"/>
      </c:scatterChart>
      <c:valAx>
        <c:axId val="1571673951"/>
        <c:scaling>
          <c:orientation val="minMax"/>
          <c:min val="-5"/>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b="0" i="0" baseline="0">
                    <a:effectLst/>
                  </a:rPr>
                  <a:t> </a:t>
                </a:r>
                <a:r>
                  <a:rPr lang="en-US" sz="1200" b="0" i="0" baseline="0">
                    <a:effectLst/>
                  </a:rPr>
                  <a:t>NET DEBT /EBITDA</a:t>
                </a:r>
                <a:endParaRPr lang="en-US" sz="1200">
                  <a:effectLst/>
                </a:endParaRPr>
              </a:p>
            </c:rich>
          </c:tx>
          <c:layout>
            <c:manualLayout>
              <c:xMode val="edge"/>
              <c:yMode val="edge"/>
              <c:x val="0.27899032096554843"/>
              <c:y val="0.8770504003742403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766175"/>
        <c:crosses val="autoZero"/>
        <c:crossBetween val="midCat"/>
      </c:valAx>
      <c:valAx>
        <c:axId val="1289766175"/>
        <c:scaling>
          <c:orientation val="minMax"/>
          <c:max val="4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baseline="0">
                    <a:effectLst/>
                  </a:rPr>
                  <a:t>EV/ EBITDA</a:t>
                </a:r>
                <a:endParaRPr lang="en-US" sz="1200">
                  <a:effectLst/>
                </a:endParaRPr>
              </a:p>
            </c:rich>
          </c:tx>
          <c:layout>
            <c:manualLayout>
              <c:xMode val="edge"/>
              <c:yMode val="edge"/>
              <c:x val="3.903843505466108E-4"/>
              <c:y val="0.3286751728233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73951"/>
        <c:crosses val="autoZero"/>
        <c:crossBetween val="midCat"/>
      </c:valAx>
      <c:spPr>
        <a:noFill/>
        <a:ln>
          <a:noFill/>
        </a:ln>
        <a:effectLst/>
      </c:spPr>
    </c:plotArea>
    <c:legend>
      <c:legendPos val="r"/>
      <c:layout>
        <c:manualLayout>
          <c:xMode val="edge"/>
          <c:yMode val="edge"/>
          <c:x val="0.79514918527433731"/>
          <c:y val="0.20740538534966782"/>
          <c:w val="0.20485076537264754"/>
          <c:h val="0.441009790888999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802946717757032"/>
          <c:y val="2.4865326922638195E-2"/>
          <c:w val="0.49083244745561727"/>
          <c:h val="0.82049946672598273"/>
        </c:manualLayout>
      </c:layout>
      <c:scatterChart>
        <c:scatterStyle val="lineMarker"/>
        <c:varyColors val="0"/>
        <c:ser>
          <c:idx val="0"/>
          <c:order val="0"/>
          <c:tx>
            <c:strRef>
              <c:f>Peers!$C$8</c:f>
              <c:strCache>
                <c:ptCount val="1"/>
                <c:pt idx="0">
                  <c:v>FORTINET, INC. (XNAS:FTNT)</c:v>
                </c:pt>
              </c:strCache>
            </c:strRef>
          </c:tx>
          <c:spPr>
            <a:ln w="25400" cap="rnd">
              <a:noFill/>
              <a:round/>
            </a:ln>
            <a:effectLst/>
          </c:spPr>
          <c:marker>
            <c:symbol val="circle"/>
            <c:size val="5"/>
            <c:spPr>
              <a:solidFill>
                <a:schemeClr val="accent1"/>
              </a:solidFill>
              <a:ln w="9525">
                <a:solidFill>
                  <a:schemeClr val="accent1"/>
                </a:solidFill>
              </a:ln>
              <a:effectLst/>
            </c:spPr>
          </c:marker>
          <c:xVal>
            <c:strRef>
              <c:f>Peers!$C$44</c:f>
              <c:strCache>
                <c:ptCount val="1"/>
                <c:pt idx="0">
                  <c:v>205,2%</c:v>
                </c:pt>
              </c:strCache>
            </c:strRef>
          </c:xVal>
          <c:yVal>
            <c:numRef>
              <c:f>Peers!$C$49</c:f>
              <c:numCache>
                <c:formatCode>0%</c:formatCode>
                <c:ptCount val="1"/>
                <c:pt idx="0">
                  <c:v>1.1418316831683166</c:v>
                </c:pt>
              </c:numCache>
            </c:numRef>
          </c:yVal>
          <c:smooth val="0"/>
          <c:extLst>
            <c:ext xmlns:c16="http://schemas.microsoft.com/office/drawing/2014/chart" uri="{C3380CC4-5D6E-409C-BE32-E72D297353CC}">
              <c16:uniqueId val="{00000000-A0AB-4E28-9E73-D8DF3D5B0514}"/>
            </c:ext>
          </c:extLst>
        </c:ser>
        <c:ser>
          <c:idx val="1"/>
          <c:order val="1"/>
          <c:tx>
            <c:strRef>
              <c:f>Peers!$D$8</c:f>
              <c:strCache>
                <c:ptCount val="1"/>
                <c:pt idx="0">
                  <c:v>PALO ALTO NETWORKS, INC. (XNAS:PANW)</c:v>
                </c:pt>
              </c:strCache>
            </c:strRef>
          </c:tx>
          <c:spPr>
            <a:ln w="25400" cap="rnd">
              <a:noFill/>
              <a:round/>
            </a:ln>
            <a:effectLst/>
          </c:spPr>
          <c:marker>
            <c:symbol val="circle"/>
            <c:size val="5"/>
            <c:spPr>
              <a:solidFill>
                <a:schemeClr val="accent2"/>
              </a:solidFill>
              <a:ln w="9525">
                <a:solidFill>
                  <a:schemeClr val="accent2"/>
                </a:solidFill>
              </a:ln>
              <a:effectLst/>
            </c:spPr>
          </c:marker>
          <c:xVal>
            <c:strRef>
              <c:f>Peers!$D$44</c:f>
              <c:strCache>
                <c:ptCount val="1"/>
                <c:pt idx="0">
                  <c:v>296,6%</c:v>
                </c:pt>
              </c:strCache>
            </c:strRef>
          </c:xVal>
          <c:yVal>
            <c:numRef>
              <c:f>Peers!$D$49</c:f>
              <c:numCache>
                <c:formatCode>0.00%</c:formatCode>
                <c:ptCount val="1"/>
                <c:pt idx="0">
                  <c:v>0</c:v>
                </c:pt>
              </c:numCache>
            </c:numRef>
          </c:yVal>
          <c:smooth val="0"/>
          <c:extLst>
            <c:ext xmlns:c16="http://schemas.microsoft.com/office/drawing/2014/chart" uri="{C3380CC4-5D6E-409C-BE32-E72D297353CC}">
              <c16:uniqueId val="{00000001-A0AB-4E28-9E73-D8DF3D5B0514}"/>
            </c:ext>
          </c:extLst>
        </c:ser>
        <c:ser>
          <c:idx val="2"/>
          <c:order val="2"/>
          <c:tx>
            <c:strRef>
              <c:f>Peers!$E$8</c:f>
              <c:strCache>
                <c:ptCount val="1"/>
                <c:pt idx="0">
                  <c:v>CROWDSTRIKE HOLDINGS, INC. (XNAS:CRWD)</c:v>
                </c:pt>
              </c:strCache>
            </c:strRef>
          </c:tx>
          <c:spPr>
            <a:ln w="25400" cap="rnd">
              <a:noFill/>
              <a:round/>
            </a:ln>
            <a:effectLst/>
          </c:spPr>
          <c:marker>
            <c:symbol val="circle"/>
            <c:size val="5"/>
            <c:spPr>
              <a:solidFill>
                <a:schemeClr val="accent3"/>
              </a:solidFill>
              <a:ln w="9525">
                <a:solidFill>
                  <a:schemeClr val="accent3"/>
                </a:solidFill>
              </a:ln>
              <a:effectLst/>
            </c:spPr>
          </c:marker>
          <c:xVal>
            <c:numRef>
              <c:f>Peers!$E$44</c:f>
              <c:numCache>
                <c:formatCode>0%</c:formatCode>
                <c:ptCount val="1"/>
                <c:pt idx="0">
                  <c:v>1.56</c:v>
                </c:pt>
              </c:numCache>
            </c:numRef>
          </c:xVal>
          <c:yVal>
            <c:numRef>
              <c:f>Peers!$E$49</c:f>
              <c:numCache>
                <c:formatCode>0.00%</c:formatCode>
                <c:ptCount val="1"/>
                <c:pt idx="0">
                  <c:v>0</c:v>
                </c:pt>
              </c:numCache>
            </c:numRef>
          </c:yVal>
          <c:smooth val="0"/>
          <c:extLst>
            <c:ext xmlns:c16="http://schemas.microsoft.com/office/drawing/2014/chart" uri="{C3380CC4-5D6E-409C-BE32-E72D297353CC}">
              <c16:uniqueId val="{00000002-A0AB-4E28-9E73-D8DF3D5B0514}"/>
            </c:ext>
          </c:extLst>
        </c:ser>
        <c:ser>
          <c:idx val="3"/>
          <c:order val="3"/>
          <c:tx>
            <c:strRef>
              <c:f>Peers!$F$8</c:f>
              <c:strCache>
                <c:ptCount val="1"/>
                <c:pt idx="0">
                  <c:v>CHECK POINT SOFTWARE TECHNOLOGIES LTD. (XNAS:CHKP)</c:v>
                </c:pt>
              </c:strCache>
            </c:strRef>
          </c:tx>
          <c:spPr>
            <a:ln w="25400" cap="rnd">
              <a:noFill/>
              <a:round/>
            </a:ln>
            <a:effectLst/>
          </c:spPr>
          <c:marker>
            <c:symbol val="circle"/>
            <c:size val="5"/>
            <c:spPr>
              <a:solidFill>
                <a:schemeClr val="accent4"/>
              </a:solidFill>
              <a:ln w="9525">
                <a:solidFill>
                  <a:schemeClr val="accent4"/>
                </a:solidFill>
              </a:ln>
              <a:effectLst/>
            </c:spPr>
          </c:marker>
          <c:xVal>
            <c:strRef>
              <c:f>Peers!$F$44</c:f>
              <c:strCache>
                <c:ptCount val="1"/>
                <c:pt idx="0">
                  <c:v>22,34%</c:v>
                </c:pt>
              </c:strCache>
            </c:strRef>
          </c:xVal>
          <c:yVal>
            <c:numRef>
              <c:f>Peers!$F$49</c:f>
              <c:numCache>
                <c:formatCode>0.00%</c:formatCode>
                <c:ptCount val="1"/>
                <c:pt idx="0">
                  <c:v>-0.09</c:v>
                </c:pt>
              </c:numCache>
            </c:numRef>
          </c:yVal>
          <c:smooth val="0"/>
          <c:extLst>
            <c:ext xmlns:c16="http://schemas.microsoft.com/office/drawing/2014/chart" uri="{C3380CC4-5D6E-409C-BE32-E72D297353CC}">
              <c16:uniqueId val="{00000003-A0AB-4E28-9E73-D8DF3D5B0514}"/>
            </c:ext>
          </c:extLst>
        </c:ser>
        <c:ser>
          <c:idx val="5"/>
          <c:order val="4"/>
          <c:tx>
            <c:strRef>
              <c:f>Peers!$G$8</c:f>
              <c:strCache>
                <c:ptCount val="1"/>
                <c:pt idx="0">
                  <c:v>CISCO SYSTEMS, INC. (XNAS:CSCO)</c:v>
                </c:pt>
              </c:strCache>
            </c:strRef>
          </c:tx>
          <c:spPr>
            <a:ln w="25400" cap="rnd">
              <a:noFill/>
              <a:round/>
            </a:ln>
            <a:effectLst/>
          </c:spPr>
          <c:marker>
            <c:symbol val="circle"/>
            <c:size val="5"/>
            <c:spPr>
              <a:solidFill>
                <a:schemeClr val="accent6"/>
              </a:solidFill>
              <a:ln w="9525">
                <a:solidFill>
                  <a:schemeClr val="accent6"/>
                </a:solidFill>
              </a:ln>
              <a:effectLst/>
            </c:spPr>
          </c:marker>
          <c:xVal>
            <c:numRef>
              <c:f>Peers!$G$44</c:f>
              <c:numCache>
                <c:formatCode>0%</c:formatCode>
                <c:ptCount val="1"/>
              </c:numCache>
            </c:numRef>
          </c:xVal>
          <c:yVal>
            <c:numRef>
              <c:f>Peers!$G$49</c:f>
              <c:numCache>
                <c:formatCode>0.00%</c:formatCode>
                <c:ptCount val="1"/>
              </c:numCache>
            </c:numRef>
          </c:yVal>
          <c:smooth val="0"/>
          <c:extLst>
            <c:ext xmlns:c16="http://schemas.microsoft.com/office/drawing/2014/chart" uri="{C3380CC4-5D6E-409C-BE32-E72D297353CC}">
              <c16:uniqueId val="{00000005-A0AB-4E28-9E73-D8DF3D5B0514}"/>
            </c:ext>
          </c:extLst>
        </c:ser>
        <c:ser>
          <c:idx val="6"/>
          <c:order val="5"/>
          <c:tx>
            <c:strRef>
              <c:f>Peers!$H$8</c:f>
              <c:strCache>
                <c:ptCount val="1"/>
                <c:pt idx="0">
                  <c:v>ZSCALER, INC. (XNAS:ZS)</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strRef>
              <c:f>Peers!$H$44</c:f>
              <c:strCache>
                <c:ptCount val="1"/>
                <c:pt idx="0">
                  <c:v>28,73%</c:v>
                </c:pt>
              </c:strCache>
            </c:strRef>
          </c:xVal>
          <c:yVal>
            <c:numRef>
              <c:f>Peers!$H$49</c:f>
              <c:numCache>
                <c:formatCode>0.00%</c:formatCode>
                <c:ptCount val="1"/>
                <c:pt idx="0">
                  <c:v>0</c:v>
                </c:pt>
              </c:numCache>
            </c:numRef>
          </c:yVal>
          <c:smooth val="0"/>
          <c:extLst>
            <c:ext xmlns:c16="http://schemas.microsoft.com/office/drawing/2014/chart" uri="{C3380CC4-5D6E-409C-BE32-E72D297353CC}">
              <c16:uniqueId val="{00000006-A0AB-4E28-9E73-D8DF3D5B0514}"/>
            </c:ext>
          </c:extLst>
        </c:ser>
        <c:dLbls>
          <c:showLegendKey val="0"/>
          <c:showVal val="0"/>
          <c:showCatName val="0"/>
          <c:showSerName val="0"/>
          <c:showPercent val="0"/>
          <c:showBubbleSize val="0"/>
        </c:dLbls>
        <c:axId val="581212960"/>
        <c:axId val="581217120"/>
      </c:scatterChart>
      <c:valAx>
        <c:axId val="581212960"/>
        <c:scaling>
          <c:orientation val="minMax"/>
          <c:max val="3"/>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3 YEAR STOCK PERFORMANCE</a:t>
                </a:r>
                <a:endParaRPr lang="en-US" sz="1200"/>
              </a:p>
            </c:rich>
          </c:tx>
          <c:layout>
            <c:manualLayout>
              <c:xMode val="edge"/>
              <c:yMode val="edge"/>
              <c:x val="0.24749537255061102"/>
              <c:y val="0.920823980715202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7120"/>
        <c:crosses val="autoZero"/>
        <c:crossBetween val="midCat"/>
      </c:valAx>
      <c:valAx>
        <c:axId val="581217120"/>
        <c:scaling>
          <c:orientation val="minMax"/>
          <c:max val="1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OPERATING CASH FLOW 3Y PERFORMANCE </a:t>
                </a:r>
                <a:endParaRPr lang="en-US" sz="1200"/>
              </a:p>
            </c:rich>
          </c:tx>
          <c:layout>
            <c:manualLayout>
              <c:xMode val="edge"/>
              <c:yMode val="edge"/>
              <c:x val="3.9522524081838629E-2"/>
              <c:y val="0.185829527768909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2960"/>
        <c:crosses val="autoZero"/>
        <c:crossBetween val="midCat"/>
      </c:valAx>
      <c:spPr>
        <a:noFill/>
        <a:ln>
          <a:solidFill>
            <a:schemeClr val="bg1"/>
          </a:solidFill>
        </a:ln>
        <a:effectLst/>
      </c:spPr>
    </c:plotArea>
    <c:legend>
      <c:legendPos val="r"/>
      <c:layout>
        <c:manualLayout>
          <c:xMode val="edge"/>
          <c:yMode val="edge"/>
          <c:x val="0.66338608609289218"/>
          <c:y val="0.17241199883672528"/>
          <c:w val="0.17018842544974519"/>
          <c:h val="0.43200295105462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Energy</a:t>
            </a:r>
            <a:r>
              <a:rPr lang="pt-PT" baseline="0"/>
              <a:t> Consumption (Gigajoules)</a:t>
            </a:r>
            <a:endParaRPr lang="pt-P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lineChart>
        <c:grouping val="standard"/>
        <c:varyColors val="0"/>
        <c:ser>
          <c:idx val="0"/>
          <c:order val="0"/>
          <c:tx>
            <c:strRef>
              <c:f>ESG!$L$4</c:f>
              <c:strCache>
                <c:ptCount val="1"/>
                <c:pt idx="0">
                  <c:v>FORTINET, INC. (XNAS:FTNT)</c:v>
                </c:pt>
              </c:strCache>
            </c:strRef>
          </c:tx>
          <c:spPr>
            <a:ln w="28575" cap="rnd">
              <a:solidFill>
                <a:schemeClr val="accent1"/>
              </a:solidFill>
              <a:round/>
            </a:ln>
            <a:effectLst/>
          </c:spPr>
          <c:marker>
            <c:symbol val="circle"/>
            <c:size val="15"/>
            <c:spPr>
              <a:solidFill>
                <a:schemeClr val="accent1"/>
              </a:solidFill>
              <a:ln w="9525">
                <a:solidFill>
                  <a:schemeClr val="accent1"/>
                </a:solidFill>
              </a:ln>
              <a:effectLst/>
            </c:spPr>
          </c:marker>
          <c:cat>
            <c:strRef>
              <c:f>ESG!$K$14</c:f>
              <c:strCache>
                <c:ptCount val="1"/>
                <c:pt idx="0">
                  <c:v>Energy Consumption Total (Gigajoules)</c:v>
                </c:pt>
              </c:strCache>
            </c:strRef>
          </c:cat>
          <c:val>
            <c:numRef>
              <c:f>ESG!$L$14</c:f>
              <c:numCache>
                <c:formatCode>#,##0</c:formatCode>
                <c:ptCount val="1"/>
                <c:pt idx="0">
                  <c:v>142316</c:v>
                </c:pt>
              </c:numCache>
            </c:numRef>
          </c:val>
          <c:smooth val="0"/>
          <c:extLst>
            <c:ext xmlns:c16="http://schemas.microsoft.com/office/drawing/2014/chart" uri="{C3380CC4-5D6E-409C-BE32-E72D297353CC}">
              <c16:uniqueId val="{0000000A-819A-426D-80CF-EC99CDC972EC}"/>
            </c:ext>
          </c:extLst>
        </c:ser>
        <c:ser>
          <c:idx val="1"/>
          <c:order val="1"/>
          <c:tx>
            <c:strRef>
              <c:f>ESG!$M$4</c:f>
              <c:strCache>
                <c:ptCount val="1"/>
                <c:pt idx="0">
                  <c:v>PALO ALTO NETWORKS, INC. (XNAS:PANW)</c:v>
                </c:pt>
              </c:strCache>
            </c:strRef>
          </c:tx>
          <c:spPr>
            <a:ln w="28575" cap="rnd">
              <a:solidFill>
                <a:schemeClr val="accent2"/>
              </a:solidFill>
              <a:round/>
            </a:ln>
            <a:effectLst/>
          </c:spPr>
          <c:marker>
            <c:symbol val="circle"/>
            <c:size val="15"/>
            <c:spPr>
              <a:solidFill>
                <a:schemeClr val="accent2"/>
              </a:solidFill>
              <a:ln w="9525">
                <a:solidFill>
                  <a:schemeClr val="accent2"/>
                </a:solidFill>
              </a:ln>
              <a:effectLst/>
            </c:spPr>
          </c:marker>
          <c:cat>
            <c:strRef>
              <c:f>ESG!$K$14</c:f>
              <c:strCache>
                <c:ptCount val="1"/>
                <c:pt idx="0">
                  <c:v>Energy Consumption Total (Gigajoules)</c:v>
                </c:pt>
              </c:strCache>
            </c:strRef>
          </c:cat>
          <c:val>
            <c:numRef>
              <c:f>ESG!$M$14</c:f>
              <c:numCache>
                <c:formatCode>#,##0</c:formatCode>
                <c:ptCount val="1"/>
                <c:pt idx="0">
                  <c:v>193190</c:v>
                </c:pt>
              </c:numCache>
            </c:numRef>
          </c:val>
          <c:smooth val="0"/>
          <c:extLst>
            <c:ext xmlns:c16="http://schemas.microsoft.com/office/drawing/2014/chart" uri="{C3380CC4-5D6E-409C-BE32-E72D297353CC}">
              <c16:uniqueId val="{0000000C-819A-426D-80CF-EC99CDC972EC}"/>
            </c:ext>
          </c:extLst>
        </c:ser>
        <c:ser>
          <c:idx val="2"/>
          <c:order val="2"/>
          <c:tx>
            <c:strRef>
              <c:f>ESG!$O$4</c:f>
              <c:strCache>
                <c:ptCount val="1"/>
                <c:pt idx="0">
                  <c:v>CHECK POINT SOFTWARE TECHNOLOGIES LTD. (XNAS:CHKP)</c:v>
                </c:pt>
              </c:strCache>
            </c:strRef>
          </c:tx>
          <c:spPr>
            <a:ln w="28575" cap="rnd">
              <a:solidFill>
                <a:schemeClr val="accent3"/>
              </a:solidFill>
              <a:round/>
            </a:ln>
            <a:effectLst/>
          </c:spPr>
          <c:marker>
            <c:symbol val="circle"/>
            <c:size val="15"/>
            <c:spPr>
              <a:solidFill>
                <a:schemeClr val="accent3"/>
              </a:solidFill>
              <a:ln w="9525">
                <a:solidFill>
                  <a:schemeClr val="accent3"/>
                </a:solidFill>
              </a:ln>
              <a:effectLst/>
            </c:spPr>
          </c:marker>
          <c:cat>
            <c:strRef>
              <c:f>ESG!$K$14</c:f>
              <c:strCache>
                <c:ptCount val="1"/>
                <c:pt idx="0">
                  <c:v>Energy Consumption Total (Gigajoules)</c:v>
                </c:pt>
              </c:strCache>
            </c:strRef>
          </c:cat>
          <c:val>
            <c:numRef>
              <c:f>ESG!$O$14</c:f>
              <c:numCache>
                <c:formatCode>#,##0</c:formatCode>
                <c:ptCount val="1"/>
                <c:pt idx="0">
                  <c:v>71987</c:v>
                </c:pt>
              </c:numCache>
            </c:numRef>
          </c:val>
          <c:smooth val="0"/>
          <c:extLst>
            <c:ext xmlns:c16="http://schemas.microsoft.com/office/drawing/2014/chart" uri="{C3380CC4-5D6E-409C-BE32-E72D297353CC}">
              <c16:uniqueId val="{0000000E-819A-426D-80CF-EC99CDC972EC}"/>
            </c:ext>
          </c:extLst>
        </c:ser>
        <c:ser>
          <c:idx val="3"/>
          <c:order val="3"/>
          <c:tx>
            <c:strRef>
              <c:f>ESG!$Q$4</c:f>
              <c:strCache>
                <c:ptCount val="1"/>
                <c:pt idx="0">
                  <c:v>ZSCALER, INC. (XNAS:ZS)</c:v>
                </c:pt>
              </c:strCache>
            </c:strRef>
          </c:tx>
          <c:spPr>
            <a:ln w="28575" cap="rnd">
              <a:solidFill>
                <a:schemeClr val="accent4"/>
              </a:solidFill>
              <a:round/>
            </a:ln>
            <a:effectLst/>
          </c:spPr>
          <c:marker>
            <c:symbol val="circle"/>
            <c:size val="15"/>
            <c:spPr>
              <a:solidFill>
                <a:schemeClr val="accent4"/>
              </a:solidFill>
              <a:ln w="9525">
                <a:solidFill>
                  <a:schemeClr val="accent4"/>
                </a:solidFill>
              </a:ln>
              <a:effectLst/>
            </c:spPr>
          </c:marker>
          <c:cat>
            <c:strRef>
              <c:f>ESG!$K$14</c:f>
              <c:strCache>
                <c:ptCount val="1"/>
                <c:pt idx="0">
                  <c:v>Energy Consumption Total (Gigajoules)</c:v>
                </c:pt>
              </c:strCache>
            </c:strRef>
          </c:cat>
          <c:val>
            <c:numRef>
              <c:f>ESG!$Q$14</c:f>
              <c:numCache>
                <c:formatCode>#,##0</c:formatCode>
                <c:ptCount val="1"/>
                <c:pt idx="0">
                  <c:v>61600</c:v>
                </c:pt>
              </c:numCache>
            </c:numRef>
          </c:val>
          <c:smooth val="0"/>
          <c:extLst>
            <c:ext xmlns:c16="http://schemas.microsoft.com/office/drawing/2014/chart" uri="{C3380CC4-5D6E-409C-BE32-E72D297353CC}">
              <c16:uniqueId val="{00000010-819A-426D-80CF-EC99CDC972EC}"/>
            </c:ext>
          </c:extLst>
        </c:ser>
        <c:dLbls>
          <c:showLegendKey val="0"/>
          <c:showVal val="0"/>
          <c:showCatName val="0"/>
          <c:showSerName val="0"/>
          <c:showPercent val="0"/>
          <c:showBubbleSize val="0"/>
        </c:dLbls>
        <c:marker val="1"/>
        <c:smooth val="0"/>
        <c:axId val="365935231"/>
        <c:axId val="365961631"/>
      </c:lineChart>
      <c:catAx>
        <c:axId val="36593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61631"/>
        <c:crosses val="autoZero"/>
        <c:auto val="1"/>
        <c:lblAlgn val="ctr"/>
        <c:lblOffset val="100"/>
        <c:noMultiLvlLbl val="0"/>
      </c:catAx>
      <c:valAx>
        <c:axId val="365961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35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Total Waste Production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ESG!$L$4</c:f>
              <c:strCache>
                <c:ptCount val="1"/>
                <c:pt idx="0">
                  <c:v>FORTINET, INC. (XNAS:FTNT)</c:v>
                </c:pt>
              </c:strCache>
            </c:strRef>
          </c:tx>
          <c:spPr>
            <a:ln w="28575" cap="rnd">
              <a:solidFill>
                <a:schemeClr val="accent1"/>
              </a:solidFill>
              <a:round/>
            </a:ln>
            <a:effectLst/>
          </c:spPr>
          <c:marker>
            <c:symbol val="circle"/>
            <c:size val="15"/>
            <c:spPr>
              <a:solidFill>
                <a:schemeClr val="accent1"/>
              </a:solidFill>
              <a:ln w="9525">
                <a:solidFill>
                  <a:schemeClr val="accent1"/>
                </a:solidFill>
              </a:ln>
              <a:effectLst/>
            </c:spPr>
          </c:marker>
          <c:cat>
            <c:strRef>
              <c:f>ESG!$K$15</c:f>
              <c:strCache>
                <c:ptCount val="1"/>
                <c:pt idx="0">
                  <c:v>Waste Production Total (Tonnes)</c:v>
                </c:pt>
              </c:strCache>
            </c:strRef>
          </c:cat>
          <c:val>
            <c:numRef>
              <c:f>ESG!$L$15</c:f>
              <c:numCache>
                <c:formatCode>General</c:formatCode>
                <c:ptCount val="1"/>
                <c:pt idx="0">
                  <c:v>67.099999999999994</c:v>
                </c:pt>
              </c:numCache>
            </c:numRef>
          </c:val>
          <c:smooth val="0"/>
          <c:extLst>
            <c:ext xmlns:c16="http://schemas.microsoft.com/office/drawing/2014/chart" uri="{C3380CC4-5D6E-409C-BE32-E72D297353CC}">
              <c16:uniqueId val="{0000000C-01AE-471D-ACC9-30651281A615}"/>
            </c:ext>
          </c:extLst>
        </c:ser>
        <c:ser>
          <c:idx val="1"/>
          <c:order val="1"/>
          <c:tx>
            <c:strRef>
              <c:f>ESG!$M$4</c:f>
              <c:strCache>
                <c:ptCount val="1"/>
                <c:pt idx="0">
                  <c:v>PALO ALTO NETWORKS, INC. (XNAS:PANW)</c:v>
                </c:pt>
              </c:strCache>
            </c:strRef>
          </c:tx>
          <c:spPr>
            <a:ln w="28575" cap="rnd">
              <a:solidFill>
                <a:schemeClr val="accent2"/>
              </a:solidFill>
              <a:round/>
            </a:ln>
            <a:effectLst/>
          </c:spPr>
          <c:marker>
            <c:symbol val="circle"/>
            <c:size val="15"/>
            <c:spPr>
              <a:solidFill>
                <a:schemeClr val="accent2"/>
              </a:solidFill>
              <a:ln w="9525">
                <a:solidFill>
                  <a:schemeClr val="accent2"/>
                </a:solidFill>
              </a:ln>
              <a:effectLst/>
            </c:spPr>
          </c:marker>
          <c:cat>
            <c:strRef>
              <c:f>ESG!$K$15</c:f>
              <c:strCache>
                <c:ptCount val="1"/>
                <c:pt idx="0">
                  <c:v>Waste Production Total (Tonnes)</c:v>
                </c:pt>
              </c:strCache>
            </c:strRef>
          </c:cat>
          <c:val>
            <c:numRef>
              <c:f>ESG!$M$15</c:f>
              <c:numCache>
                <c:formatCode>General</c:formatCode>
                <c:ptCount val="1"/>
                <c:pt idx="0">
                  <c:v>1139</c:v>
                </c:pt>
              </c:numCache>
            </c:numRef>
          </c:val>
          <c:smooth val="0"/>
          <c:extLst>
            <c:ext xmlns:c16="http://schemas.microsoft.com/office/drawing/2014/chart" uri="{C3380CC4-5D6E-409C-BE32-E72D297353CC}">
              <c16:uniqueId val="{0000000E-01AE-471D-ACC9-30651281A615}"/>
            </c:ext>
          </c:extLst>
        </c:ser>
        <c:dLbls>
          <c:showLegendKey val="0"/>
          <c:showVal val="0"/>
          <c:showCatName val="0"/>
          <c:showSerName val="0"/>
          <c:showPercent val="0"/>
          <c:showBubbleSize val="0"/>
        </c:dLbls>
        <c:marker val="1"/>
        <c:smooth val="0"/>
        <c:axId val="365962591"/>
        <c:axId val="365934271"/>
        <c:extLst/>
      </c:lineChart>
      <c:catAx>
        <c:axId val="36596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34271"/>
        <c:crosses val="autoZero"/>
        <c:auto val="1"/>
        <c:lblAlgn val="ctr"/>
        <c:lblOffset val="100"/>
        <c:noMultiLvlLbl val="0"/>
      </c:catAx>
      <c:valAx>
        <c:axId val="3659342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96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CO2 Emissions Total (Tonnes)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ESG!$L$4</c:f>
              <c:strCache>
                <c:ptCount val="1"/>
                <c:pt idx="0">
                  <c:v>FORTINET, INC. (XNAS:FTNT)</c:v>
                </c:pt>
              </c:strCache>
            </c:strRef>
          </c:tx>
          <c:spPr>
            <a:ln w="25400" cap="rnd">
              <a:noFill/>
              <a:round/>
            </a:ln>
            <a:effectLst/>
          </c:spPr>
          <c:marker>
            <c:symbol val="circle"/>
            <c:size val="15"/>
            <c:spPr>
              <a:solidFill>
                <a:schemeClr val="accent1"/>
              </a:solidFill>
              <a:ln w="9525">
                <a:solidFill>
                  <a:schemeClr val="accent1"/>
                </a:solidFill>
              </a:ln>
              <a:effectLst/>
            </c:spPr>
          </c:marker>
          <c:xVal>
            <c:multiLvlStrRef>
              <c:f>(ESG!$K$12,ESG!$L$12,ESG!$K$12,ESG!$L$12,ESG!$K$12)</c:f>
              <c:multiLvlStrCache>
                <c:ptCount val="1"/>
                <c:lvl>
                  <c:pt idx="0">
                    <c:v>1,205.60</c:v>
                  </c:pt>
                </c:lvl>
                <c:lvl>
                  <c:pt idx="0">
                    <c:v>CO2 Emissions Total (Tonnes)</c:v>
                  </c:pt>
                </c:lvl>
              </c:multiLvlStrCache>
            </c:multiLvlStrRef>
          </c:xVal>
          <c:yVal>
            <c:numRef>
              <c:f>ESG!$L$12</c:f>
              <c:numCache>
                <c:formatCode>#,##0.00</c:formatCode>
                <c:ptCount val="1"/>
                <c:pt idx="0">
                  <c:v>1205.5999999999999</c:v>
                </c:pt>
              </c:numCache>
            </c:numRef>
          </c:yVal>
          <c:smooth val="0"/>
          <c:extLst>
            <c:ext xmlns:c16="http://schemas.microsoft.com/office/drawing/2014/chart" uri="{C3380CC4-5D6E-409C-BE32-E72D297353CC}">
              <c16:uniqueId val="{00000021-BA9F-4A4F-A307-158F2C89AAFF}"/>
            </c:ext>
          </c:extLst>
        </c:ser>
        <c:ser>
          <c:idx val="1"/>
          <c:order val="1"/>
          <c:tx>
            <c:strRef>
              <c:f>ESG!$M$4</c:f>
              <c:strCache>
                <c:ptCount val="1"/>
                <c:pt idx="0">
                  <c:v>PALO ALTO NETWORKS, INC. (XNAS:PANW)</c:v>
                </c:pt>
              </c:strCache>
            </c:strRef>
          </c:tx>
          <c:spPr>
            <a:ln w="25400" cap="rnd">
              <a:noFill/>
              <a:round/>
            </a:ln>
            <a:effectLst/>
          </c:spPr>
          <c:marker>
            <c:symbol val="circle"/>
            <c:size val="15"/>
            <c:spPr>
              <a:solidFill>
                <a:schemeClr val="accent2"/>
              </a:solidFill>
              <a:ln w="9525">
                <a:solidFill>
                  <a:schemeClr val="accent2"/>
                </a:solidFill>
              </a:ln>
              <a:effectLst/>
            </c:spPr>
          </c:marker>
          <c:xVal>
            <c:multiLvlStrRef>
              <c:f>(ESG!$K$12,ESG!$L$12,ESG!$K$12,ESG!$L$12,ESG!$K$12)</c:f>
              <c:multiLvlStrCache>
                <c:ptCount val="1"/>
                <c:lvl>
                  <c:pt idx="0">
                    <c:v>1,205.60</c:v>
                  </c:pt>
                </c:lvl>
                <c:lvl>
                  <c:pt idx="0">
                    <c:v>CO2 Emissions Total (Tonnes)</c:v>
                  </c:pt>
                </c:lvl>
              </c:multiLvlStrCache>
            </c:multiLvlStrRef>
          </c:xVal>
          <c:yVal>
            <c:numRef>
              <c:f>ESG!$M$12</c:f>
              <c:numCache>
                <c:formatCode>#,##0.00</c:formatCode>
                <c:ptCount val="1"/>
                <c:pt idx="0">
                  <c:v>873.6</c:v>
                </c:pt>
              </c:numCache>
            </c:numRef>
          </c:yVal>
          <c:smooth val="0"/>
          <c:extLst>
            <c:ext xmlns:c16="http://schemas.microsoft.com/office/drawing/2014/chart" uri="{C3380CC4-5D6E-409C-BE32-E72D297353CC}">
              <c16:uniqueId val="{00000023-BA9F-4A4F-A307-158F2C89AAFF}"/>
            </c:ext>
          </c:extLst>
        </c:ser>
        <c:ser>
          <c:idx val="2"/>
          <c:order val="2"/>
          <c:tx>
            <c:strRef>
              <c:f>ESG!$O$4</c:f>
              <c:strCache>
                <c:ptCount val="1"/>
                <c:pt idx="0">
                  <c:v>CHECK POINT SOFTWARE TECHNOLOGIES LTD. (XNAS:CHKP)</c:v>
                </c:pt>
              </c:strCache>
            </c:strRef>
          </c:tx>
          <c:spPr>
            <a:ln w="19050" cap="rnd">
              <a:solidFill>
                <a:schemeClr val="accent3"/>
              </a:solidFill>
              <a:round/>
            </a:ln>
            <a:effectLst/>
          </c:spPr>
          <c:marker>
            <c:symbol val="circle"/>
            <c:size val="15"/>
            <c:spPr>
              <a:solidFill>
                <a:schemeClr val="accent3"/>
              </a:solidFill>
              <a:ln w="9525">
                <a:solidFill>
                  <a:schemeClr val="accent3"/>
                </a:solidFill>
              </a:ln>
              <a:effectLst/>
            </c:spPr>
          </c:marker>
          <c:xVal>
            <c:multiLvlStrRef>
              <c:f>(ESG!$K$12,ESG!$L$12,ESG!$K$12,ESG!$L$12,ESG!$K$12)</c:f>
              <c:multiLvlStrCache>
                <c:ptCount val="1"/>
                <c:lvl>
                  <c:pt idx="0">
                    <c:v>1,205.60</c:v>
                  </c:pt>
                </c:lvl>
                <c:lvl>
                  <c:pt idx="0">
                    <c:v>CO2 Emissions Total (Tonnes)</c:v>
                  </c:pt>
                </c:lvl>
              </c:multiLvlStrCache>
            </c:multiLvlStrRef>
          </c:xVal>
          <c:yVal>
            <c:numRef>
              <c:f>ESG!$O$12</c:f>
              <c:numCache>
                <c:formatCode>0.00</c:formatCode>
                <c:ptCount val="1"/>
                <c:pt idx="0">
                  <c:v>90</c:v>
                </c:pt>
              </c:numCache>
            </c:numRef>
          </c:yVal>
          <c:smooth val="0"/>
          <c:extLst>
            <c:ext xmlns:c16="http://schemas.microsoft.com/office/drawing/2014/chart" uri="{C3380CC4-5D6E-409C-BE32-E72D297353CC}">
              <c16:uniqueId val="{00000025-BA9F-4A4F-A307-158F2C89AAFF}"/>
            </c:ext>
          </c:extLst>
        </c:ser>
        <c:ser>
          <c:idx val="3"/>
          <c:order val="3"/>
          <c:tx>
            <c:strRef>
              <c:f>ESG!$Q$4</c:f>
              <c:strCache>
                <c:ptCount val="1"/>
                <c:pt idx="0">
                  <c:v>ZSCALER, INC. (XNAS:ZS)</c:v>
                </c:pt>
              </c:strCache>
            </c:strRef>
          </c:tx>
          <c:spPr>
            <a:ln w="25400" cap="rnd">
              <a:noFill/>
              <a:round/>
            </a:ln>
            <a:effectLst/>
          </c:spPr>
          <c:marker>
            <c:symbol val="circle"/>
            <c:size val="15"/>
            <c:spPr>
              <a:solidFill>
                <a:schemeClr val="accent4"/>
              </a:solidFill>
              <a:ln w="9525">
                <a:solidFill>
                  <a:schemeClr val="accent4"/>
                </a:solidFill>
              </a:ln>
              <a:effectLst/>
            </c:spPr>
          </c:marker>
          <c:xVal>
            <c:multiLvlStrRef>
              <c:f>(ESG!$K$12,ESG!$L$12,ESG!$K$12,ESG!$L$12,ESG!$K$12)</c:f>
              <c:multiLvlStrCache>
                <c:ptCount val="1"/>
                <c:lvl>
                  <c:pt idx="0">
                    <c:v>1,205.60</c:v>
                  </c:pt>
                </c:lvl>
                <c:lvl>
                  <c:pt idx="0">
                    <c:v>CO2 Emissions Total (Tonnes)</c:v>
                  </c:pt>
                </c:lvl>
              </c:multiLvlStrCache>
            </c:multiLvlStrRef>
          </c:xVal>
          <c:yVal>
            <c:numRef>
              <c:f>ESG!$Q$12</c:f>
              <c:numCache>
                <c:formatCode>0.00</c:formatCode>
                <c:ptCount val="1"/>
                <c:pt idx="0">
                  <c:v>277</c:v>
                </c:pt>
              </c:numCache>
            </c:numRef>
          </c:yVal>
          <c:smooth val="0"/>
          <c:extLst>
            <c:ext xmlns:c16="http://schemas.microsoft.com/office/drawing/2014/chart" uri="{C3380CC4-5D6E-409C-BE32-E72D297353CC}">
              <c16:uniqueId val="{00000027-BA9F-4A4F-A307-158F2C89AAFF}"/>
            </c:ext>
          </c:extLst>
        </c:ser>
        <c:dLbls>
          <c:showLegendKey val="0"/>
          <c:showVal val="0"/>
          <c:showCatName val="0"/>
          <c:showSerName val="0"/>
          <c:showPercent val="0"/>
          <c:showBubbleSize val="0"/>
        </c:dLbls>
        <c:axId val="811198471"/>
        <c:axId val="828546567"/>
      </c:scatterChart>
      <c:valAx>
        <c:axId val="811198471"/>
        <c:scaling>
          <c:orientation val="minMax"/>
          <c:max val="2"/>
        </c:scaling>
        <c:delete val="1"/>
        <c:axPos val="b"/>
        <c:majorGridlines>
          <c:spPr>
            <a:ln w="9525" cap="flat" cmpd="sng" algn="ctr">
              <a:solidFill>
                <a:schemeClr val="tx1">
                  <a:lumMod val="15000"/>
                  <a:lumOff val="85000"/>
                </a:schemeClr>
              </a:solidFill>
              <a:round/>
            </a:ln>
            <a:effectLst/>
          </c:spPr>
        </c:majorGridlines>
        <c:majorTickMark val="none"/>
        <c:minorTickMark val="none"/>
        <c:tickLblPos val="nextTo"/>
        <c:crossAx val="828546567"/>
        <c:crosses val="autoZero"/>
        <c:crossBetween val="midCat"/>
      </c:valAx>
      <c:valAx>
        <c:axId val="8285465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19847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15</xdr:row>
      <xdr:rowOff>0</xdr:rowOff>
    </xdr:from>
    <xdr:to>
      <xdr:col>13</xdr:col>
      <xdr:colOff>304800</xdr:colOff>
      <xdr:row>16</xdr:row>
      <xdr:rowOff>72080</xdr:rowOff>
    </xdr:to>
    <xdr:sp macro="" textlink="">
      <xdr:nvSpPr>
        <xdr:cNvPr id="2096" name="AutoShape 48" descr="Resultado de imagen para heidelbergcement">
          <a:extLst>
            <a:ext uri="{FF2B5EF4-FFF2-40B4-BE49-F238E27FC236}">
              <a16:creationId xmlns:a16="http://schemas.microsoft.com/office/drawing/2014/main" id="{EBAF9DAF-18D3-4875-8FFF-AEB741FF11AC}"/>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16</xdr:row>
      <xdr:rowOff>72080</xdr:rowOff>
    </xdr:to>
    <xdr:sp macro="" textlink="">
      <xdr:nvSpPr>
        <xdr:cNvPr id="2097" name="AutoShape 49" descr="Resultado de imagen para heidelbergcement">
          <a:extLst>
            <a:ext uri="{FF2B5EF4-FFF2-40B4-BE49-F238E27FC236}">
              <a16:creationId xmlns:a16="http://schemas.microsoft.com/office/drawing/2014/main" id="{1AED6D21-AC79-48CB-9928-5DBD43CA26F1}"/>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16</xdr:row>
      <xdr:rowOff>72080</xdr:rowOff>
    </xdr:to>
    <xdr:sp macro="" textlink="">
      <xdr:nvSpPr>
        <xdr:cNvPr id="9" name="AutoShape 48" descr="Resultado de imagen para heidelbergcement">
          <a:extLst>
            <a:ext uri="{FF2B5EF4-FFF2-40B4-BE49-F238E27FC236}">
              <a16:creationId xmlns:a16="http://schemas.microsoft.com/office/drawing/2014/main" id="{7A971572-AE46-4C4C-8556-A1DC5E24C990}"/>
            </a:ext>
          </a:extLst>
        </xdr:cNvPr>
        <xdr:cNvSpPr>
          <a:spLocks noChangeAspect="1" noChangeArrowheads="1"/>
        </xdr:cNvSpPr>
      </xdr:nvSpPr>
      <xdr:spPr bwMode="auto">
        <a:xfrm>
          <a:off x="18110200" y="135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1" name="AutoShape 51" descr="Resultado de imagen para heidelbergcement">
          <a:extLst>
            <a:ext uri="{FF2B5EF4-FFF2-40B4-BE49-F238E27FC236}">
              <a16:creationId xmlns:a16="http://schemas.microsoft.com/office/drawing/2014/main" id="{9C93AAA3-5F34-E84C-A119-511471E42284}"/>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2" name="AutoShape 52" descr="Resultado de imagen para heidelbergcement">
          <a:extLst>
            <a:ext uri="{FF2B5EF4-FFF2-40B4-BE49-F238E27FC236}">
              <a16:creationId xmlns:a16="http://schemas.microsoft.com/office/drawing/2014/main" id="{D38869C9-D998-A047-96C8-5B849EBEA94D}"/>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758431</xdr:colOff>
      <xdr:row>82</xdr:row>
      <xdr:rowOff>28864</xdr:rowOff>
    </xdr:from>
    <xdr:to>
      <xdr:col>12</xdr:col>
      <xdr:colOff>1529113</xdr:colOff>
      <xdr:row>105</xdr:row>
      <xdr:rowOff>553698</xdr:rowOff>
    </xdr:to>
    <xdr:pic>
      <xdr:nvPicPr>
        <xdr:cNvPr id="3" name="Obraz 2">
          <a:extLst>
            <a:ext uri="{FF2B5EF4-FFF2-40B4-BE49-F238E27FC236}">
              <a16:creationId xmlns:a16="http://schemas.microsoft.com/office/drawing/2014/main" id="{404EB3C4-1375-1561-04EC-C5C4040FAB4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545898" y="18977264"/>
          <a:ext cx="6921715" cy="44195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19050</xdr:colOff>
      <xdr:row>21</xdr:row>
      <xdr:rowOff>76200</xdr:rowOff>
    </xdr:from>
    <xdr:to>
      <xdr:col>11</xdr:col>
      <xdr:colOff>666750</xdr:colOff>
      <xdr:row>27</xdr:row>
      <xdr:rowOff>666750</xdr:rowOff>
    </xdr:to>
    <xdr:graphicFrame macro="">
      <xdr:nvGraphicFramePr>
        <xdr:cNvPr id="4" name="Chart 4">
          <a:extLst>
            <a:ext uri="{FF2B5EF4-FFF2-40B4-BE49-F238E27FC236}">
              <a16:creationId xmlns:a16="http://schemas.microsoft.com/office/drawing/2014/main" id="{9E23D189-C3B7-523A-69E6-128398296259}"/>
            </a:ext>
            <a:ext uri="{147F2762-F138-4A5C-976F-8EAC2B608ADB}">
              <a16:predDERef xmlns:a16="http://schemas.microsoft.com/office/drawing/2014/main" pred="{2D8AEC4D-5853-421C-8616-2A1885050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723900</xdr:colOff>
      <xdr:row>21</xdr:row>
      <xdr:rowOff>66675</xdr:rowOff>
    </xdr:from>
    <xdr:to>
      <xdr:col>15</xdr:col>
      <xdr:colOff>0</xdr:colOff>
      <xdr:row>27</xdr:row>
      <xdr:rowOff>685800</xdr:rowOff>
    </xdr:to>
    <xdr:graphicFrame macro="">
      <xdr:nvGraphicFramePr>
        <xdr:cNvPr id="3" name="Chart 5">
          <a:extLst>
            <a:ext uri="{FF2B5EF4-FFF2-40B4-BE49-F238E27FC236}">
              <a16:creationId xmlns:a16="http://schemas.microsoft.com/office/drawing/2014/main" id="{1471EB7D-83EE-43B1-6F3B-DAB93ADF05E3}"/>
            </a:ext>
            <a:ext uri="{147F2762-F138-4A5C-976F-8EAC2B608ADB}">
              <a16:predDERef xmlns:a16="http://schemas.microsoft.com/office/drawing/2014/main" pred="{9E23D189-C3B7-523A-69E6-128398296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704850</xdr:colOff>
      <xdr:row>20</xdr:row>
      <xdr:rowOff>247650</xdr:rowOff>
    </xdr:from>
    <xdr:to>
      <xdr:col>11</xdr:col>
      <xdr:colOff>714375</xdr:colOff>
      <xdr:row>28</xdr:row>
      <xdr:rowOff>0</xdr:rowOff>
    </xdr:to>
    <xdr:cxnSp macro="">
      <xdr:nvCxnSpPr>
        <xdr:cNvPr id="9" name="Straight Connector 1">
          <a:extLst>
            <a:ext uri="{FF2B5EF4-FFF2-40B4-BE49-F238E27FC236}">
              <a16:creationId xmlns:a16="http://schemas.microsoft.com/office/drawing/2014/main" id="{2D9F9EFF-8C8B-4839-A102-86B66E9BDF73}"/>
            </a:ext>
            <a:ext uri="{147F2762-F138-4A5C-976F-8EAC2B608ADB}">
              <a16:predDERef xmlns:a16="http://schemas.microsoft.com/office/drawing/2014/main" pred="{1471EB7D-83EE-43B1-6F3B-DAB93ADF05E3}"/>
            </a:ext>
          </a:extLst>
        </xdr:cNvPr>
        <xdr:cNvCxnSpPr>
          <a:cxnSpLocks/>
        </xdr:cNvCxnSpPr>
      </xdr:nvCxnSpPr>
      <xdr:spPr bwMode="auto">
        <a:xfrm>
          <a:off x="12144375" y="4324350"/>
          <a:ext cx="9525" cy="2886075"/>
        </a:xfrm>
        <a:prstGeom prst="line">
          <a:avLst/>
        </a:prstGeom>
        <a:ln w="12700">
          <a:solidFill>
            <a:srgbClr val="1F497D"/>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219075</xdr:colOff>
      <xdr:row>41</xdr:row>
      <xdr:rowOff>28575</xdr:rowOff>
    </xdr:from>
    <xdr:to>
      <xdr:col>15</xdr:col>
      <xdr:colOff>0</xdr:colOff>
      <xdr:row>43</xdr:row>
      <xdr:rowOff>114300</xdr:rowOff>
    </xdr:to>
    <xdr:sp macro="" textlink="">
      <xdr:nvSpPr>
        <xdr:cNvPr id="8" name="Rectangle 9">
          <a:extLst>
            <a:ext uri="{FF2B5EF4-FFF2-40B4-BE49-F238E27FC236}">
              <a16:creationId xmlns:a16="http://schemas.microsoft.com/office/drawing/2014/main" id="{9EA941B6-F7AA-AE8B-792C-EC306EB6FD73}"/>
            </a:ext>
            <a:ext uri="{147F2762-F138-4A5C-976F-8EAC2B608ADB}">
              <a16:predDERef xmlns:a16="http://schemas.microsoft.com/office/drawing/2014/main" pred="{2D9F9EFF-8C8B-4839-A102-86B66E9BDF73}"/>
            </a:ext>
          </a:extLst>
        </xdr:cNvPr>
        <xdr:cNvSpPr/>
      </xdr:nvSpPr>
      <xdr:spPr bwMode="auto">
        <a:xfrm>
          <a:off x="13944600" y="9248775"/>
          <a:ext cx="1285875" cy="409575"/>
        </a:xfrm>
        <a:prstGeom prst="rect">
          <a:avLst/>
        </a:prstGeom>
        <a:solidFill>
          <a:srgbClr val="FFFFFF"/>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xdr:from>
      <xdr:col>33</xdr:col>
      <xdr:colOff>19050</xdr:colOff>
      <xdr:row>53</xdr:row>
      <xdr:rowOff>47625</xdr:rowOff>
    </xdr:from>
    <xdr:to>
      <xdr:col>34</xdr:col>
      <xdr:colOff>209550</xdr:colOff>
      <xdr:row>59</xdr:row>
      <xdr:rowOff>28575</xdr:rowOff>
    </xdr:to>
    <xdr:sp macro="" textlink="">
      <xdr:nvSpPr>
        <xdr:cNvPr id="87" name="Rectangle 17">
          <a:extLst>
            <a:ext uri="{FF2B5EF4-FFF2-40B4-BE49-F238E27FC236}">
              <a16:creationId xmlns:a16="http://schemas.microsoft.com/office/drawing/2014/main" id="{373BA1AE-84F4-1EA4-7F90-6E6AE589AB0D}"/>
            </a:ext>
            <a:ext uri="{147F2762-F138-4A5C-976F-8EAC2B608ADB}">
              <a16:predDERef xmlns:a16="http://schemas.microsoft.com/office/drawing/2014/main" pred="{795168BE-2BCC-E14D-F42E-6CD34F49FE73}"/>
            </a:ext>
          </a:extLst>
        </xdr:cNvPr>
        <xdr:cNvSpPr/>
      </xdr:nvSpPr>
      <xdr:spPr bwMode="auto">
        <a:xfrm>
          <a:off x="29794200" y="10391775"/>
          <a:ext cx="952500" cy="952500"/>
        </a:xfrm>
        <a:prstGeom prst="rect">
          <a:avLst/>
        </a:prstGeom>
        <a:solidFill>
          <a:srgbClr val="FFFFFF"/>
        </a:solid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editAs="oneCell">
    <xdr:from>
      <xdr:col>15</xdr:col>
      <xdr:colOff>28575</xdr:colOff>
      <xdr:row>2</xdr:row>
      <xdr:rowOff>152400</xdr:rowOff>
    </xdr:from>
    <xdr:to>
      <xdr:col>21</xdr:col>
      <xdr:colOff>676275</xdr:colOff>
      <xdr:row>24</xdr:row>
      <xdr:rowOff>142875</xdr:rowOff>
    </xdr:to>
    <xdr:pic>
      <xdr:nvPicPr>
        <xdr:cNvPr id="5" name="Imagem 4">
          <a:extLst>
            <a:ext uri="{FF2B5EF4-FFF2-40B4-BE49-F238E27FC236}">
              <a16:creationId xmlns:a16="http://schemas.microsoft.com/office/drawing/2014/main" id="{C3C38FC2-1C7E-CE33-722E-9C1CA5C4A826}"/>
            </a:ext>
            <a:ext uri="{147F2762-F138-4A5C-976F-8EAC2B608ADB}">
              <a16:predDERef xmlns:a16="http://schemas.microsoft.com/office/drawing/2014/main" pred="{22A89DF7-4A26-141F-029E-CF8A2824D64A}"/>
            </a:ext>
          </a:extLst>
        </xdr:cNvPr>
        <xdr:cNvPicPr>
          <a:picLocks noChangeAspect="1"/>
        </xdr:cNvPicPr>
      </xdr:nvPicPr>
      <xdr:blipFill>
        <a:blip xmlns:r="http://schemas.openxmlformats.org/officeDocument/2006/relationships" r:embed="rId3"/>
        <a:stretch>
          <a:fillRect/>
        </a:stretch>
      </xdr:blipFill>
      <xdr:spPr>
        <a:xfrm>
          <a:off x="14982825" y="495300"/>
          <a:ext cx="7572375" cy="4305300"/>
        </a:xfrm>
        <a:prstGeom prst="rect">
          <a:avLst/>
        </a:prstGeom>
      </xdr:spPr>
    </xdr:pic>
    <xdr:clientData/>
  </xdr:twoCellAnchor>
  <xdr:twoCellAnchor>
    <xdr:from>
      <xdr:col>3</xdr:col>
      <xdr:colOff>66675</xdr:colOff>
      <xdr:row>30</xdr:row>
      <xdr:rowOff>104775</xdr:rowOff>
    </xdr:from>
    <xdr:to>
      <xdr:col>8</xdr:col>
      <xdr:colOff>819150</xdr:colOff>
      <xdr:row>30</xdr:row>
      <xdr:rowOff>866775</xdr:rowOff>
    </xdr:to>
    <xdr:sp macro="" textlink="">
      <xdr:nvSpPr>
        <xdr:cNvPr id="27" name="CaixaDeTexto 1">
          <a:extLst>
            <a:ext uri="{FF2B5EF4-FFF2-40B4-BE49-F238E27FC236}">
              <a16:creationId xmlns:a16="http://schemas.microsoft.com/office/drawing/2014/main" id="{7A69EF84-B022-5421-5D55-876AF3DF9729}"/>
            </a:ext>
            <a:ext uri="{147F2762-F138-4A5C-976F-8EAC2B608ADB}">
              <a16:predDERef xmlns:a16="http://schemas.microsoft.com/office/drawing/2014/main" pred="{C3C38FC2-1C7E-CE33-722E-9C1CA5C4A826}"/>
            </a:ext>
          </a:extLst>
        </xdr:cNvPr>
        <xdr:cNvSpPr txBox="1"/>
      </xdr:nvSpPr>
      <xdr:spPr>
        <a:xfrm>
          <a:off x="3810000" y="6810375"/>
          <a:ext cx="5895975" cy="762000"/>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In the realm of cybersecurity, microsegmentation hones precision, fortifying networks with surgical accuracy. Simultaneously, the fusion of edge and cloud networking expands security perimeters. These twin drivers herald a new era, where protection is proactive, adaptive, and finely tuned to the intricacies of a dynamic digital landscape.</a:t>
          </a:r>
        </a:p>
        <a:p>
          <a:pPr marL="0" indent="0" algn="l"/>
          <a:endParaRPr lang="en-US" sz="1100">
            <a:latin typeface="+mn-lt"/>
            <a:ea typeface="+mn-lt"/>
            <a:cs typeface="+mn-lt"/>
          </a:endParaRPr>
        </a:p>
        <a:p>
          <a:pPr marL="0" indent="0" algn="l"/>
          <a:endParaRPr lang="en-US" sz="1100">
            <a:latin typeface="+mn-lt"/>
            <a:ea typeface="+mn-lt"/>
            <a:cs typeface="+mn-lt"/>
          </a:endParaRPr>
        </a:p>
        <a:p>
          <a:pPr marL="0" indent="0" algn="l"/>
          <a:endParaRPr lang="en-US" sz="1100">
            <a:latin typeface="+mn-lt"/>
            <a:ea typeface="+mn-lt"/>
            <a:cs typeface="+mn-lt"/>
          </a:endParaRPr>
        </a:p>
        <a:p>
          <a:pPr marL="0" indent="0" algn="l"/>
          <a:endParaRPr lang="en-US" sz="1100">
            <a:latin typeface="+mn-lt"/>
            <a:ea typeface="+mn-lt"/>
            <a:cs typeface="+mn-lt"/>
          </a:endParaRPr>
        </a:p>
        <a:p>
          <a:pPr marL="0" indent="0" algn="l"/>
          <a:endParaRPr lang="en-US" sz="1100">
            <a:latin typeface="+mn-lt"/>
            <a:ea typeface="+mn-lt"/>
            <a:cs typeface="+mn-lt"/>
          </a:endParaRPr>
        </a:p>
        <a:p>
          <a:pPr marL="0" indent="0" algn="l"/>
          <a:endParaRPr lang="en-US" sz="1100">
            <a:latin typeface="+mn-lt"/>
            <a:ea typeface="+mn-lt"/>
            <a:cs typeface="+mn-lt"/>
          </a:endParaRPr>
        </a:p>
      </xdr:txBody>
    </xdr:sp>
    <xdr:clientData/>
  </xdr:twoCellAnchor>
  <xdr:twoCellAnchor>
    <xdr:from>
      <xdr:col>3</xdr:col>
      <xdr:colOff>66675</xdr:colOff>
      <xdr:row>32</xdr:row>
      <xdr:rowOff>28575</xdr:rowOff>
    </xdr:from>
    <xdr:to>
      <xdr:col>8</xdr:col>
      <xdr:colOff>885825</xdr:colOff>
      <xdr:row>32</xdr:row>
      <xdr:rowOff>676275</xdr:rowOff>
    </xdr:to>
    <xdr:sp macro="" textlink="">
      <xdr:nvSpPr>
        <xdr:cNvPr id="36" name="CaixaDeTexto 5">
          <a:extLst>
            <a:ext uri="{FF2B5EF4-FFF2-40B4-BE49-F238E27FC236}">
              <a16:creationId xmlns:a16="http://schemas.microsoft.com/office/drawing/2014/main" id="{621EE83F-BCAC-86C8-3FE6-7DAAFFC2708C}"/>
            </a:ext>
            <a:ext uri="{147F2762-F138-4A5C-976F-8EAC2B608ADB}">
              <a16:predDERef xmlns:a16="http://schemas.microsoft.com/office/drawing/2014/main" pred="{7A69EF84-B022-5421-5D55-876AF3DF9729}"/>
            </a:ext>
          </a:extLst>
        </xdr:cNvPr>
        <xdr:cNvSpPr txBox="1"/>
      </xdr:nvSpPr>
      <xdr:spPr>
        <a:xfrm>
          <a:off x="3810000" y="7724775"/>
          <a:ext cx="5962650" cy="647700"/>
        </a:xfrm>
        <a:prstGeom prst="rect">
          <a:avLst/>
        </a:prstGeom>
        <a:solidFill>
          <a:schemeClr val="lt1"/>
        </a:solidFill>
        <a:ln w="9525" cmpd="sng">
          <a:solidFill>
            <a:schemeClr val="bg1"/>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Increased sales, marketing, and channel investments support growth and R&amp;D development.</a:t>
          </a:r>
        </a:p>
      </xdr:txBody>
    </xdr:sp>
    <xdr:clientData/>
  </xdr:twoCellAnchor>
  <xdr:twoCellAnchor editAs="oneCell">
    <xdr:from>
      <xdr:col>9</xdr:col>
      <xdr:colOff>218098</xdr:colOff>
      <xdr:row>30</xdr:row>
      <xdr:rowOff>506534</xdr:rowOff>
    </xdr:from>
    <xdr:to>
      <xdr:col>15</xdr:col>
      <xdr:colOff>2951773</xdr:colOff>
      <xdr:row>45</xdr:row>
      <xdr:rowOff>108682</xdr:rowOff>
    </xdr:to>
    <xdr:pic>
      <xdr:nvPicPr>
        <xdr:cNvPr id="10" name="Obraz 6">
          <a:extLst>
            <a:ext uri="{FF2B5EF4-FFF2-40B4-BE49-F238E27FC236}">
              <a16:creationId xmlns:a16="http://schemas.microsoft.com/office/drawing/2014/main" id="{64891EDB-A41B-3508-4170-E7D8F22C78F8}"/>
            </a:ext>
            <a:ext uri="{147F2762-F138-4A5C-976F-8EAC2B608ADB}">
              <a16:predDERef xmlns:a16="http://schemas.microsoft.com/office/drawing/2014/main" pred="{621EE83F-BCAC-86C8-3FE6-7DAAFFC2708C}"/>
            </a:ext>
          </a:extLst>
        </xdr:cNvPr>
        <xdr:cNvPicPr>
          <a:picLocks noChangeAspect="1"/>
        </xdr:cNvPicPr>
      </xdr:nvPicPr>
      <xdr:blipFill>
        <a:blip xmlns:r="http://schemas.openxmlformats.org/officeDocument/2006/relationships" r:embed="rId4"/>
        <a:stretch>
          <a:fillRect/>
        </a:stretch>
      </xdr:blipFill>
      <xdr:spPr>
        <a:xfrm>
          <a:off x="10133623" y="7231184"/>
          <a:ext cx="7772400" cy="4421798"/>
        </a:xfrm>
        <a:prstGeom prst="rect">
          <a:avLst/>
        </a:prstGeom>
      </xdr:spPr>
    </xdr:pic>
    <xdr:clientData/>
  </xdr:twoCellAnchor>
  <xdr:twoCellAnchor>
    <xdr:from>
      <xdr:col>1</xdr:col>
      <xdr:colOff>228600</xdr:colOff>
      <xdr:row>43</xdr:row>
      <xdr:rowOff>57150</xdr:rowOff>
    </xdr:from>
    <xdr:to>
      <xdr:col>8</xdr:col>
      <xdr:colOff>447675</xdr:colOff>
      <xdr:row>57</xdr:row>
      <xdr:rowOff>752475</xdr:rowOff>
    </xdr:to>
    <xdr:sp macro="" textlink="">
      <xdr:nvSpPr>
        <xdr:cNvPr id="7" name="CaixaDeTexto 6">
          <a:extLst>
            <a:ext uri="{FF2B5EF4-FFF2-40B4-BE49-F238E27FC236}">
              <a16:creationId xmlns:a16="http://schemas.microsoft.com/office/drawing/2014/main" id="{F6FA6B6B-3717-7CD2-D49E-277CCDB273A4}"/>
            </a:ext>
            <a:ext uri="{147F2762-F138-4A5C-976F-8EAC2B608ADB}">
              <a16:predDERef xmlns:a16="http://schemas.microsoft.com/office/drawing/2014/main" pred="{CE5EFEA3-0006-00F7-4011-2FC2AB26B16C}"/>
            </a:ext>
          </a:extLst>
        </xdr:cNvPr>
        <xdr:cNvSpPr txBox="1"/>
      </xdr:nvSpPr>
      <xdr:spPr>
        <a:xfrm>
          <a:off x="371475" y="11277600"/>
          <a:ext cx="8963025" cy="2962275"/>
        </a:xfrm>
        <a:prstGeom prst="rect">
          <a:avLst/>
        </a:prstGeom>
        <a:solidFill>
          <a:schemeClr val="lt1"/>
        </a:solidFill>
        <a:ln w="9525" cmpd="sng">
          <a:solidFill>
            <a:schemeClr val="bg1"/>
          </a:solidFill>
        </a:ln>
      </xdr:spPr>
      <xdr:txBody>
        <a:bodyPr spcFirstLastPara="0" vertOverflow="clip" horzOverflow="clip" wrap="square" lIns="91440" tIns="45720" rIns="91440" bIns="45720" rtlCol="0" anchor="t">
          <a:noAutofit/>
        </a:bodyPr>
        <a:lstStyle/>
        <a:p>
          <a:pPr marL="0" indent="0" algn="l"/>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The company strategy focus mainly on four pilars: Innovation; Platform; Go-to-market; Costumers</a:t>
          </a:r>
        </a:p>
        <a:p>
          <a:pPr marL="0" indent="0" algn="l"/>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Fortinet uses a platform called "FortiOS", where the operations all converge in order to make operations between enterprise networking, cybersecurity and secure networking more efficient. </a:t>
          </a:r>
        </a:p>
        <a:p>
          <a:pPr marL="0" indent="0" algn="l"/>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Fortinet uses artificial intelegence as a Solution to Detect &amp; Disrupt, Investigate &amp; Remediate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cybersecurity issues.</a:t>
          </a:r>
        </a:p>
        <a:p>
          <a:pPr marL="0" indent="0" algn="l"/>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New products released: FortiOS 7.4; Hybrid mesh firewall; Updates to universal zero trust network access or ZTNA; Single-vendor secure access service edge or SASE for remote users and branch offices; Wireless local area network/local area network for branch offices and campus locations. </a:t>
          </a:r>
        </a:p>
        <a:p>
          <a:pPr marL="0" indent="0" algn="l"/>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"Effective today, the company’s research &amp; development (R&amp;D) and go-to-market (GTM) strategy will be organized around three markets: Secure Networking, Universal SASE, and Security Operations." 2 Nov, 2023, Fortinet. </a:t>
          </a:r>
        </a:p>
        <a:p>
          <a:pPr marL="0" indent="0" algn="l"/>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Also, rexccently, Fortinet made a deal with Google services in order to benefit from "google cloud", which is the one of the largest platforms of personal informations. </a:t>
          </a:r>
        </a:p>
      </xdr:txBody>
    </xdr:sp>
    <xdr:clientData/>
  </xdr:twoCellAnchor>
  <xdr:twoCellAnchor>
    <xdr:from>
      <xdr:col>3</xdr:col>
      <xdr:colOff>16934</xdr:colOff>
      <xdr:row>31</xdr:row>
      <xdr:rowOff>19049</xdr:rowOff>
    </xdr:from>
    <xdr:to>
      <xdr:col>8</xdr:col>
      <xdr:colOff>1151466</xdr:colOff>
      <xdr:row>31</xdr:row>
      <xdr:rowOff>999066</xdr:rowOff>
    </xdr:to>
    <xdr:sp macro="" textlink="">
      <xdr:nvSpPr>
        <xdr:cNvPr id="39" name="CaixaDeTexto 16">
          <a:extLst>
            <a:ext uri="{FF2B5EF4-FFF2-40B4-BE49-F238E27FC236}">
              <a16:creationId xmlns:a16="http://schemas.microsoft.com/office/drawing/2014/main" id="{EAC48997-5AD1-8DD9-D8A4-A096650E7A0B}"/>
            </a:ext>
            <a:ext uri="{147F2762-F138-4A5C-976F-8EAC2B608ADB}">
              <a16:predDERef xmlns:a16="http://schemas.microsoft.com/office/drawing/2014/main" pred="{F6FA6B6B-3717-7CD2-D49E-277CCDB273A4}"/>
            </a:ext>
          </a:extLst>
        </xdr:cNvPr>
        <xdr:cNvSpPr txBox="1"/>
      </xdr:nvSpPr>
      <xdr:spPr>
        <a:xfrm>
          <a:off x="4301067" y="7909982"/>
          <a:ext cx="7061199" cy="980017"/>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Due to ransomware and high profile atacks, hightened awareness becomes needed and with the option to work remotly.</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7</xdr:col>
      <xdr:colOff>0</xdr:colOff>
      <xdr:row>21</xdr:row>
      <xdr:rowOff>0</xdr:rowOff>
    </xdr:from>
    <xdr:ext cx="304800" cy="308437"/>
    <xdr:sp macro="" textlink="">
      <xdr:nvSpPr>
        <xdr:cNvPr id="19" name="AutoShape 231" descr="Resultado de imagen para beer consumption trend">
          <a:extLst>
            <a:ext uri="{FF2B5EF4-FFF2-40B4-BE49-F238E27FC236}">
              <a16:creationId xmlns:a16="http://schemas.microsoft.com/office/drawing/2014/main" id="{A23DF9CB-ABDC-4CBC-941E-C3A1E6B7BDD7}"/>
            </a:ext>
          </a:extLst>
        </xdr:cNvPr>
        <xdr:cNvSpPr>
          <a:spLocks noChangeAspect="1" noChangeArrowheads="1"/>
        </xdr:cNvSpPr>
      </xdr:nvSpPr>
      <xdr:spPr bwMode="auto">
        <a:xfrm>
          <a:off x="7829550" y="7143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8437"/>
    <xdr:sp macro="" textlink="">
      <xdr:nvSpPr>
        <xdr:cNvPr id="18" name="AutoShape 232" descr="Resultado de imagen para beer consumption trend">
          <a:extLst>
            <a:ext uri="{FF2B5EF4-FFF2-40B4-BE49-F238E27FC236}">
              <a16:creationId xmlns:a16="http://schemas.microsoft.com/office/drawing/2014/main" id="{290ADD27-FE0C-4C99-AF77-3098E89BD849}"/>
            </a:ext>
          </a:extLst>
        </xdr:cNvPr>
        <xdr:cNvSpPr>
          <a:spLocks noChangeAspect="1" noChangeArrowheads="1"/>
        </xdr:cNvSpPr>
      </xdr:nvSpPr>
      <xdr:spPr bwMode="auto">
        <a:xfrm>
          <a:off x="7829550" y="1200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35</xdr:row>
      <xdr:rowOff>0</xdr:rowOff>
    </xdr:from>
    <xdr:ext cx="304800" cy="306171"/>
    <xdr:sp macro="" textlink="">
      <xdr:nvSpPr>
        <xdr:cNvPr id="17" name="AutoShape 233" descr="Resultado de imagen para beer consumption trend">
          <a:extLst>
            <a:ext uri="{FF2B5EF4-FFF2-40B4-BE49-F238E27FC236}">
              <a16:creationId xmlns:a16="http://schemas.microsoft.com/office/drawing/2014/main" id="{76C615DC-9449-489C-838D-7501FF91B816}"/>
            </a:ext>
          </a:extLst>
        </xdr:cNvPr>
        <xdr:cNvSpPr>
          <a:spLocks noChangeAspect="1" noChangeArrowheads="1"/>
        </xdr:cNvSpPr>
      </xdr:nvSpPr>
      <xdr:spPr bwMode="auto">
        <a:xfrm>
          <a:off x="7067550" y="21812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21</xdr:row>
      <xdr:rowOff>0</xdr:rowOff>
    </xdr:from>
    <xdr:ext cx="304800" cy="305262"/>
    <xdr:sp macro="" textlink="">
      <xdr:nvSpPr>
        <xdr:cNvPr id="16" name="AutoShape 231" descr="Resultado de imagen para beer consumption trend">
          <a:extLst>
            <a:ext uri="{FF2B5EF4-FFF2-40B4-BE49-F238E27FC236}">
              <a16:creationId xmlns:a16="http://schemas.microsoft.com/office/drawing/2014/main" id="{3816F209-593F-4972-8238-056F7A06C2DB}"/>
            </a:ext>
          </a:extLst>
        </xdr:cNvPr>
        <xdr:cNvSpPr>
          <a:spLocks noChangeAspect="1" noChangeArrowheads="1"/>
        </xdr:cNvSpPr>
      </xdr:nvSpPr>
      <xdr:spPr bwMode="auto">
        <a:xfrm>
          <a:off x="10601325" y="923925"/>
          <a:ext cx="304800" cy="302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9071"/>
    <xdr:sp macro="" textlink="">
      <xdr:nvSpPr>
        <xdr:cNvPr id="15" name="AutoShape 232" descr="Resultado de imagen para beer consumption trend">
          <a:extLst>
            <a:ext uri="{FF2B5EF4-FFF2-40B4-BE49-F238E27FC236}">
              <a16:creationId xmlns:a16="http://schemas.microsoft.com/office/drawing/2014/main" id="{5D67A490-620E-4BB6-ACF8-2FBAECF65CB2}"/>
            </a:ext>
          </a:extLst>
        </xdr:cNvPr>
        <xdr:cNvSpPr>
          <a:spLocks noChangeAspect="1" noChangeArrowheads="1"/>
        </xdr:cNvSpPr>
      </xdr:nvSpPr>
      <xdr:spPr bwMode="auto">
        <a:xfrm>
          <a:off x="10601325" y="1781175"/>
          <a:ext cx="304800" cy="3086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6</xdr:col>
      <xdr:colOff>0</xdr:colOff>
      <xdr:row>35</xdr:row>
      <xdr:rowOff>0</xdr:rowOff>
    </xdr:from>
    <xdr:ext cx="304800" cy="301207"/>
    <xdr:sp macro="" textlink="">
      <xdr:nvSpPr>
        <xdr:cNvPr id="14" name="AutoShape 233" descr="Resultado de imagen para beer consumption trend">
          <a:extLst>
            <a:ext uri="{FF2B5EF4-FFF2-40B4-BE49-F238E27FC236}">
              <a16:creationId xmlns:a16="http://schemas.microsoft.com/office/drawing/2014/main" id="{71A499F7-7BCB-43D8-AAAA-8629B391E887}"/>
            </a:ext>
          </a:extLst>
        </xdr:cNvPr>
        <xdr:cNvSpPr>
          <a:spLocks noChangeAspect="1" noChangeArrowheads="1"/>
        </xdr:cNvSpPr>
      </xdr:nvSpPr>
      <xdr:spPr bwMode="auto">
        <a:xfrm>
          <a:off x="10601325" y="3152775"/>
          <a:ext cx="304800" cy="2852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10</xdr:col>
      <xdr:colOff>528777</xdr:colOff>
      <xdr:row>17</xdr:row>
      <xdr:rowOff>56029</xdr:rowOff>
    </xdr:from>
    <xdr:to>
      <xdr:col>18</xdr:col>
      <xdr:colOff>702468</xdr:colOff>
      <xdr:row>33</xdr:row>
      <xdr:rowOff>114301</xdr:rowOff>
    </xdr:to>
    <xdr:graphicFrame macro="">
      <xdr:nvGraphicFramePr>
        <xdr:cNvPr id="2" name="Chart 1">
          <a:extLst>
            <a:ext uri="{FF2B5EF4-FFF2-40B4-BE49-F238E27FC236}">
              <a16:creationId xmlns:a16="http://schemas.microsoft.com/office/drawing/2014/main" id="{F8B867AC-6A7A-4512-8C9D-97B8E534E8E4}"/>
            </a:ext>
            <a:ext uri="{147F2762-F138-4A5C-976F-8EAC2B608ADB}">
              <a16:predDERef xmlns:a16="http://schemas.microsoft.com/office/drawing/2014/main" pred="{71A499F7-7BCB-43D8-AAAA-8629B391E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107156</xdr:colOff>
      <xdr:row>33</xdr:row>
      <xdr:rowOff>142875</xdr:rowOff>
    </xdr:from>
    <xdr:to>
      <xdr:col>20</xdr:col>
      <xdr:colOff>273843</xdr:colOff>
      <xdr:row>50</xdr:row>
      <xdr:rowOff>142875</xdr:rowOff>
    </xdr:to>
    <xdr:graphicFrame macro="">
      <xdr:nvGraphicFramePr>
        <xdr:cNvPr id="3" name="Chart 2">
          <a:extLst>
            <a:ext uri="{FF2B5EF4-FFF2-40B4-BE49-F238E27FC236}">
              <a16:creationId xmlns:a16="http://schemas.microsoft.com/office/drawing/2014/main" id="{06EE3DBE-321E-4EF6-A0A4-D90C4883E80D}"/>
            </a:ext>
            <a:ext uri="{147F2762-F138-4A5C-976F-8EAC2B608ADB}">
              <a16:predDERef xmlns:a16="http://schemas.microsoft.com/office/drawing/2014/main" pred="{F8B867AC-6A7A-4512-8C9D-97B8E534E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152400</xdr:colOff>
      <xdr:row>2</xdr:row>
      <xdr:rowOff>409575</xdr:rowOff>
    </xdr:from>
    <xdr:to>
      <xdr:col>1</xdr:col>
      <xdr:colOff>1838325</xdr:colOff>
      <xdr:row>2</xdr:row>
      <xdr:rowOff>714375</xdr:rowOff>
    </xdr:to>
    <xdr:pic>
      <xdr:nvPicPr>
        <xdr:cNvPr id="7" name="Obraz 4" descr="CrowdStrike: Stop breaches. Drive business.">
          <a:extLst>
            <a:ext uri="{FF2B5EF4-FFF2-40B4-BE49-F238E27FC236}">
              <a16:creationId xmlns:a16="http://schemas.microsoft.com/office/drawing/2014/main" id="{394AD183-EEEC-67D6-1D8C-5E0E674F3291}"/>
            </a:ext>
            <a:ext uri="{147F2762-F138-4A5C-976F-8EAC2B608ADB}">
              <a16:predDERef xmlns:a16="http://schemas.microsoft.com/office/drawing/2014/main" pred="{D68E8795-4DA9-7D00-27CC-DEB6B8D580F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975" y="1619250"/>
          <a:ext cx="1685925"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76200</xdr:rowOff>
    </xdr:from>
    <xdr:to>
      <xdr:col>1</xdr:col>
      <xdr:colOff>1990725</xdr:colOff>
      <xdr:row>3</xdr:row>
      <xdr:rowOff>1040889</xdr:rowOff>
    </xdr:to>
    <xdr:pic>
      <xdr:nvPicPr>
        <xdr:cNvPr id="12" name="Imagem 5">
          <a:extLst>
            <a:ext uri="{FF2B5EF4-FFF2-40B4-BE49-F238E27FC236}">
              <a16:creationId xmlns:a16="http://schemas.microsoft.com/office/drawing/2014/main" id="{A08EFF01-E380-EF9B-5651-ACCD9F1DA3C2}"/>
            </a:ext>
            <a:ext uri="{147F2762-F138-4A5C-976F-8EAC2B608ADB}">
              <a16:predDERef xmlns:a16="http://schemas.microsoft.com/office/drawing/2014/main" pred="{394AD183-EEEC-67D6-1D8C-5E0E674F3291}"/>
            </a:ext>
          </a:extLst>
        </xdr:cNvPr>
        <xdr:cNvPicPr>
          <a:picLocks noChangeAspect="1"/>
        </xdr:cNvPicPr>
      </xdr:nvPicPr>
      <xdr:blipFill>
        <a:blip xmlns:r="http://schemas.openxmlformats.org/officeDocument/2006/relationships" r:embed="rId4"/>
        <a:stretch>
          <a:fillRect/>
        </a:stretch>
      </xdr:blipFill>
      <xdr:spPr>
        <a:xfrm>
          <a:off x="0" y="2324100"/>
          <a:ext cx="2028825" cy="971550"/>
        </a:xfrm>
        <a:prstGeom prst="rect">
          <a:avLst/>
        </a:prstGeom>
      </xdr:spPr>
    </xdr:pic>
    <xdr:clientData/>
  </xdr:twoCellAnchor>
  <xdr:twoCellAnchor editAs="oneCell">
    <xdr:from>
      <xdr:col>1</xdr:col>
      <xdr:colOff>304800</xdr:colOff>
      <xdr:row>1</xdr:row>
      <xdr:rowOff>0</xdr:rowOff>
    </xdr:from>
    <xdr:to>
      <xdr:col>1</xdr:col>
      <xdr:colOff>1771650</xdr:colOff>
      <xdr:row>1</xdr:row>
      <xdr:rowOff>952500</xdr:rowOff>
    </xdr:to>
    <xdr:pic>
      <xdr:nvPicPr>
        <xdr:cNvPr id="4" name="Imagem 9">
          <a:extLst>
            <a:ext uri="{FF2B5EF4-FFF2-40B4-BE49-F238E27FC236}">
              <a16:creationId xmlns:a16="http://schemas.microsoft.com/office/drawing/2014/main" id="{37E8F20F-5B27-7833-FAE6-B780D8C850C1}"/>
            </a:ext>
            <a:ext uri="{147F2762-F138-4A5C-976F-8EAC2B608ADB}">
              <a16:predDERef xmlns:a16="http://schemas.microsoft.com/office/drawing/2014/main" pred="{A08EFF01-E380-EF9B-5651-ACCD9F1DA3C2}"/>
            </a:ext>
          </a:extLst>
        </xdr:cNvPr>
        <xdr:cNvPicPr>
          <a:picLocks noChangeAspect="1"/>
        </xdr:cNvPicPr>
      </xdr:nvPicPr>
      <xdr:blipFill>
        <a:blip xmlns:r="http://schemas.openxmlformats.org/officeDocument/2006/relationships" r:embed="rId5"/>
        <a:stretch>
          <a:fillRect/>
        </a:stretch>
      </xdr:blipFill>
      <xdr:spPr>
        <a:xfrm>
          <a:off x="333375" y="171450"/>
          <a:ext cx="1466850" cy="952500"/>
        </a:xfrm>
        <a:prstGeom prst="rect">
          <a:avLst/>
        </a:prstGeom>
      </xdr:spPr>
    </xdr:pic>
    <xdr:clientData/>
  </xdr:twoCellAnchor>
  <xdr:twoCellAnchor editAs="oneCell">
    <xdr:from>
      <xdr:col>1</xdr:col>
      <xdr:colOff>218722</xdr:colOff>
      <xdr:row>4</xdr:row>
      <xdr:rowOff>202495</xdr:rowOff>
    </xdr:from>
    <xdr:to>
      <xdr:col>1</xdr:col>
      <xdr:colOff>2018947</xdr:colOff>
      <xdr:row>4</xdr:row>
      <xdr:rowOff>1145470</xdr:rowOff>
    </xdr:to>
    <xdr:pic>
      <xdr:nvPicPr>
        <xdr:cNvPr id="36" name="Imagem 10">
          <a:extLst>
            <a:ext uri="{FF2B5EF4-FFF2-40B4-BE49-F238E27FC236}">
              <a16:creationId xmlns:a16="http://schemas.microsoft.com/office/drawing/2014/main" id="{CE3F88BF-CE2E-B91A-D4CB-65F6E4BC4EEC}"/>
            </a:ext>
            <a:ext uri="{147F2762-F138-4A5C-976F-8EAC2B608ADB}">
              <a16:predDERef xmlns:a16="http://schemas.microsoft.com/office/drawing/2014/main" pred="{37E8F20F-5B27-7833-FAE6-B780D8C850C1}"/>
            </a:ext>
          </a:extLst>
        </xdr:cNvPr>
        <xdr:cNvPicPr>
          <a:picLocks noChangeAspect="1"/>
        </xdr:cNvPicPr>
      </xdr:nvPicPr>
      <xdr:blipFill>
        <a:blip xmlns:r="http://schemas.openxmlformats.org/officeDocument/2006/relationships" r:embed="rId6"/>
        <a:stretch>
          <a:fillRect/>
        </a:stretch>
      </xdr:blipFill>
      <xdr:spPr>
        <a:xfrm>
          <a:off x="254000" y="3652662"/>
          <a:ext cx="1800225" cy="942975"/>
        </a:xfrm>
        <a:prstGeom prst="rect">
          <a:avLst/>
        </a:prstGeom>
      </xdr:spPr>
    </xdr:pic>
    <xdr:clientData/>
  </xdr:twoCellAnchor>
  <xdr:twoCellAnchor editAs="oneCell">
    <xdr:from>
      <xdr:col>1</xdr:col>
      <xdr:colOff>250825</xdr:colOff>
      <xdr:row>5</xdr:row>
      <xdr:rowOff>380646</xdr:rowOff>
    </xdr:from>
    <xdr:to>
      <xdr:col>1</xdr:col>
      <xdr:colOff>2022475</xdr:colOff>
      <xdr:row>5</xdr:row>
      <xdr:rowOff>797277</xdr:rowOff>
    </xdr:to>
    <xdr:pic>
      <xdr:nvPicPr>
        <xdr:cNvPr id="39" name="Imagem 11">
          <a:extLst>
            <a:ext uri="{FF2B5EF4-FFF2-40B4-BE49-F238E27FC236}">
              <a16:creationId xmlns:a16="http://schemas.microsoft.com/office/drawing/2014/main" id="{E5B72CAA-393F-8750-CDAE-CAD780656467}"/>
            </a:ext>
            <a:ext uri="{147F2762-F138-4A5C-976F-8EAC2B608ADB}">
              <a16:predDERef xmlns:a16="http://schemas.microsoft.com/office/drawing/2014/main" pred="{CE3F88BF-CE2E-B91A-D4CB-65F6E4BC4EEC}"/>
            </a:ext>
          </a:extLst>
        </xdr:cNvPr>
        <xdr:cNvPicPr>
          <a:picLocks noChangeAspect="1"/>
        </xdr:cNvPicPr>
      </xdr:nvPicPr>
      <xdr:blipFill>
        <a:blip xmlns:r="http://schemas.openxmlformats.org/officeDocument/2006/relationships" r:embed="rId7"/>
        <a:stretch>
          <a:fillRect/>
        </a:stretch>
      </xdr:blipFill>
      <xdr:spPr>
        <a:xfrm>
          <a:off x="286103" y="5185479"/>
          <a:ext cx="1771650" cy="4166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29</xdr:col>
      <xdr:colOff>76200</xdr:colOff>
      <xdr:row>1</xdr:row>
      <xdr:rowOff>133350</xdr:rowOff>
    </xdr:from>
    <xdr:to>
      <xdr:col>41</xdr:col>
      <xdr:colOff>371475</xdr:colOff>
      <xdr:row>14</xdr:row>
      <xdr:rowOff>114300</xdr:rowOff>
    </xdr:to>
    <xdr:graphicFrame macro="">
      <xdr:nvGraphicFramePr>
        <xdr:cNvPr id="284" name="Gráfico 10">
          <a:extLst>
            <a:ext uri="{FF2B5EF4-FFF2-40B4-BE49-F238E27FC236}">
              <a16:creationId xmlns:a16="http://schemas.microsoft.com/office/drawing/2014/main" id="{E53AAB4F-BCF1-AFDB-6C67-D6DB06F29436}"/>
            </a:ext>
            <a:ext uri="{147F2762-F138-4A5C-976F-8EAC2B608ADB}">
              <a16:predDERef xmlns:a16="http://schemas.microsoft.com/office/drawing/2014/main" pred="{CF12CB32-795F-7528-355F-ABE1EF8A5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550069</xdr:colOff>
      <xdr:row>15</xdr:row>
      <xdr:rowOff>175609</xdr:rowOff>
    </xdr:from>
    <xdr:to>
      <xdr:col>25</xdr:col>
      <xdr:colOff>367695</xdr:colOff>
      <xdr:row>24</xdr:row>
      <xdr:rowOff>322188</xdr:rowOff>
    </xdr:to>
    <xdr:graphicFrame macro="">
      <xdr:nvGraphicFramePr>
        <xdr:cNvPr id="15" name="Gráfico 11">
          <a:extLst>
            <a:ext uri="{FF2B5EF4-FFF2-40B4-BE49-F238E27FC236}">
              <a16:creationId xmlns:a16="http://schemas.microsoft.com/office/drawing/2014/main" id="{278A061F-1821-F77F-C4FB-83DCDAE4858D}"/>
            </a:ext>
            <a:ext uri="{147F2762-F138-4A5C-976F-8EAC2B608ADB}">
              <a16:predDERef xmlns:a16="http://schemas.microsoft.com/office/drawing/2014/main" pred="{E53AAB4F-BCF1-AFDB-6C67-D6DB06F29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2314575</xdr:colOff>
      <xdr:row>1</xdr:row>
      <xdr:rowOff>161925</xdr:rowOff>
    </xdr:from>
    <xdr:to>
      <xdr:col>28</xdr:col>
      <xdr:colOff>514350</xdr:colOff>
      <xdr:row>13</xdr:row>
      <xdr:rowOff>314325</xdr:rowOff>
    </xdr:to>
    <xdr:graphicFrame macro="">
      <xdr:nvGraphicFramePr>
        <xdr:cNvPr id="2" name="Chart 7">
          <a:extLst>
            <a:ext uri="{FF2B5EF4-FFF2-40B4-BE49-F238E27FC236}">
              <a16:creationId xmlns:a16="http://schemas.microsoft.com/office/drawing/2014/main" id="{2B32C686-ED3E-55A4-5FBE-D2BC18AE7F39}"/>
            </a:ext>
            <a:ext uri="{147F2762-F138-4A5C-976F-8EAC2B608ADB}">
              <a16:predDERef xmlns:a16="http://schemas.microsoft.com/office/drawing/2014/main" pred="{278A061F-1821-F77F-C4FB-83DCDAE48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1913467</xdr:colOff>
      <xdr:row>61</xdr:row>
      <xdr:rowOff>33867</xdr:rowOff>
    </xdr:from>
    <xdr:to>
      <xdr:col>22</xdr:col>
      <xdr:colOff>508000</xdr:colOff>
      <xdr:row>68</xdr:row>
      <xdr:rowOff>33866</xdr:rowOff>
    </xdr:to>
    <xdr:sp macro="" textlink="">
      <xdr:nvSpPr>
        <xdr:cNvPr id="2" name="pole tekstowe 1">
          <a:extLst>
            <a:ext uri="{FF2B5EF4-FFF2-40B4-BE49-F238E27FC236}">
              <a16:creationId xmlns:a16="http://schemas.microsoft.com/office/drawing/2014/main" id="{2CA038E8-8269-8241-4CEF-9518B644F6EB}"/>
            </a:ext>
          </a:extLst>
        </xdr:cNvPr>
        <xdr:cNvSpPr txBox="1"/>
      </xdr:nvSpPr>
      <xdr:spPr>
        <a:xfrm>
          <a:off x="23960667" y="10668000"/>
          <a:ext cx="8348133" cy="1185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100"/>
            <a:t>Key assumptions</a:t>
          </a:r>
          <a:r>
            <a:rPr lang="pl-PL" sz="1100" baseline="0"/>
            <a:t> for revenue forecast:</a:t>
          </a:r>
          <a:endParaRPr lang="pl-PL" sz="1100"/>
        </a:p>
        <a:p>
          <a:r>
            <a:rPr lang="pl-PL" sz="1100"/>
            <a:t>- there will be a slight slow down in revenues in 2023 (from 32% to 20%</a:t>
          </a:r>
          <a:r>
            <a:rPr lang="pl-PL" sz="1100" baseline="0"/>
            <a:t> growth)</a:t>
          </a:r>
          <a:r>
            <a:rPr lang="pl-PL" sz="1100"/>
            <a:t> because of slower growth of secure networking, but Fortinet is putting more attention to SASE and Security Operations, with much higher growth</a:t>
          </a:r>
        </a:p>
        <a:p>
          <a:r>
            <a:rPr lang="pl-PL" sz="1100"/>
            <a:t>- current market share of 6,7% could grow, as industry is highly fragmented and Fortinet is planning to consolidate it by acquisitions</a:t>
          </a:r>
        </a:p>
        <a:p>
          <a:r>
            <a:rPr lang="pl-PL" sz="1100"/>
            <a:t>- company is incorporating highly lucrative</a:t>
          </a:r>
          <a:r>
            <a:rPr lang="pl-PL" sz="1100" baseline="0"/>
            <a:t> AI solutions in it's products </a:t>
          </a:r>
        </a:p>
        <a:p>
          <a:r>
            <a:rPr lang="pl-PL" sz="1100" baseline="0"/>
            <a:t>- 75% cients seek integrated cybersecurity solution with single operating system - and Fortinet is aiming to develop that</a:t>
          </a:r>
        </a:p>
        <a:p>
          <a:endParaRPr lang="pl-PL" sz="1100"/>
        </a:p>
      </xdr:txBody>
    </xdr:sp>
    <xdr:clientData/>
  </xdr:twoCellAnchor>
  <xdr:twoCellAnchor>
    <xdr:from>
      <xdr:col>17</xdr:col>
      <xdr:colOff>22949</xdr:colOff>
      <xdr:row>99</xdr:row>
      <xdr:rowOff>80280</xdr:rowOff>
    </xdr:from>
    <xdr:to>
      <xdr:col>20</xdr:col>
      <xdr:colOff>1342159</xdr:colOff>
      <xdr:row>110</xdr:row>
      <xdr:rowOff>85617</xdr:rowOff>
    </xdr:to>
    <xdr:sp macro="" textlink="">
      <xdr:nvSpPr>
        <xdr:cNvPr id="3" name="pole tekstowe 2">
          <a:extLst>
            <a:ext uri="{FF2B5EF4-FFF2-40B4-BE49-F238E27FC236}">
              <a16:creationId xmlns:a16="http://schemas.microsoft.com/office/drawing/2014/main" id="{8F66AA29-421B-204B-990C-DDBF0BE9BD4E}"/>
            </a:ext>
          </a:extLst>
        </xdr:cNvPr>
        <xdr:cNvSpPr txBox="1"/>
      </xdr:nvSpPr>
      <xdr:spPr>
        <a:xfrm>
          <a:off x="23965335" y="16792325"/>
          <a:ext cx="5605460" cy="17515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100"/>
            <a:t>Relevant for operating</a:t>
          </a:r>
          <a:r>
            <a:rPr lang="pl-PL" sz="1100" baseline="0"/>
            <a:t> margin forecat:</a:t>
          </a:r>
        </a:p>
        <a:p>
          <a:r>
            <a:rPr lang="pl-PL" sz="1100"/>
            <a:t>- Rule of 40 measures a company's combined growth and profit margin. Many venture capital and growth equity investors believe this ratio - Fortinet keeps it constantly</a:t>
          </a:r>
          <a:r>
            <a:rPr lang="pl-PL" sz="1100" baseline="0"/>
            <a:t> in non-GAAP basis.</a:t>
          </a:r>
        </a:p>
        <a:p>
          <a:r>
            <a:rPr lang="pl-PL" sz="1100" baseline="0"/>
            <a:t>C</a:t>
          </a:r>
          <a:r>
            <a:rPr lang="pl-PL" sz="1100"/>
            <a:t>ompany</a:t>
          </a:r>
          <a:r>
            <a:rPr lang="pl-PL" sz="1100" baseline="0"/>
            <a:t> expects NON- GAAP operating margin of 25,25% -26,25% for 2023 and intends to increase it. Nevertheless, he company will have more operating costs in the future, because of its expansion of office space and increasing number of employees to boost sales and marketing. Also, the revenues will not increase as projected and the rate of growth will thus stabilize over the years. Althought firm has been increasing its profit margin at a stable rate over the years, it might lightly fall in light of economic slowdown due to recession theat.</a:t>
          </a:r>
          <a:endParaRPr lang="pl-PL" sz="1100"/>
        </a:p>
      </xdr:txBody>
    </xdr:sp>
    <xdr:clientData/>
  </xdr:twoCellAnchor>
  <xdr:twoCellAnchor>
    <xdr:from>
      <xdr:col>16</xdr:col>
      <xdr:colOff>1910042</xdr:colOff>
      <xdr:row>69</xdr:row>
      <xdr:rowOff>9726</xdr:rowOff>
    </xdr:from>
    <xdr:to>
      <xdr:col>22</xdr:col>
      <xdr:colOff>507999</xdr:colOff>
      <xdr:row>72</xdr:row>
      <xdr:rowOff>33867</xdr:rowOff>
    </xdr:to>
    <xdr:sp macro="" textlink="">
      <xdr:nvSpPr>
        <xdr:cNvPr id="4" name="pole tekstowe 3">
          <a:extLst>
            <a:ext uri="{FF2B5EF4-FFF2-40B4-BE49-F238E27FC236}">
              <a16:creationId xmlns:a16="http://schemas.microsoft.com/office/drawing/2014/main" id="{B4DBF0E0-D703-1562-0489-F7FB424A791F}"/>
            </a:ext>
          </a:extLst>
        </xdr:cNvPr>
        <xdr:cNvSpPr txBox="1"/>
      </xdr:nvSpPr>
      <xdr:spPr>
        <a:xfrm>
          <a:off x="23957242" y="11998526"/>
          <a:ext cx="8351557" cy="6845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pl-PL" sz="1100"/>
            <a:t>based on the assumptions indicating</a:t>
          </a:r>
          <a:r>
            <a:rPr lang="pl-PL" sz="1100" baseline="0"/>
            <a:t> growth, we assume that the revenue projections in long term will be higher than calculated 12%. We incorporated this value with calculation that includes strong past performance, as it wouldn't be a good sign for the company if the pace of growth was significantly and inexplicably slower than in the past. .</a:t>
          </a:r>
          <a:endParaRPr lang="pl-PL" sz="1100"/>
        </a:p>
        <a:p>
          <a:endParaRPr lang="pl-PL" sz="1100"/>
        </a:p>
      </xdr:txBody>
    </xdr:sp>
    <xdr:clientData/>
  </xdr:twoCellAnchor>
  <xdr:twoCellAnchor>
    <xdr:from>
      <xdr:col>1</xdr:col>
      <xdr:colOff>37475</xdr:colOff>
      <xdr:row>94</xdr:row>
      <xdr:rowOff>5755</xdr:rowOff>
    </xdr:from>
    <xdr:to>
      <xdr:col>6</xdr:col>
      <xdr:colOff>441721</xdr:colOff>
      <xdr:row>96</xdr:row>
      <xdr:rowOff>219071</xdr:rowOff>
    </xdr:to>
    <xdr:sp macro="" textlink="">
      <xdr:nvSpPr>
        <xdr:cNvPr id="5" name="pole tekstowe 4">
          <a:extLst>
            <a:ext uri="{FF2B5EF4-FFF2-40B4-BE49-F238E27FC236}">
              <a16:creationId xmlns:a16="http://schemas.microsoft.com/office/drawing/2014/main" id="{DC3694A7-4DA3-DEE9-C24E-91A3A56C9AF1}"/>
            </a:ext>
          </a:extLst>
        </xdr:cNvPr>
        <xdr:cNvSpPr txBox="1"/>
      </xdr:nvSpPr>
      <xdr:spPr>
        <a:xfrm>
          <a:off x="739317" y="16593737"/>
          <a:ext cx="9639597" cy="7480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"As of December 31, 2022, $529.6 million remained available for future share repurchases under the Repurchase Program, that lasts until 29.02.2024.",</a:t>
          </a:r>
        </a:p>
        <a:p>
          <a:pPr marL="0" marR="0" lvl="0" indent="0" defTabSz="914400" eaLnBrk="1" fontAlgn="auto" latinLnBrk="0" hangingPunct="1">
            <a:lnSpc>
              <a:spcPct val="100000"/>
            </a:lnSpc>
            <a:spcBef>
              <a:spcPts val="0"/>
            </a:spcBef>
            <a:spcAft>
              <a:spcPts val="0"/>
            </a:spcAft>
            <a:buClrTx/>
            <a:buSzTx/>
            <a:buFontTx/>
            <a:buNone/>
            <a:tabLst/>
            <a:defRPr/>
          </a:pPr>
          <a:r>
            <a:rPr lang="pl-PL" sz="1100" b="0" i="0" u="none" strike="noStrike">
              <a:solidFill>
                <a:schemeClr val="dk1"/>
              </a:solidFill>
              <a:effectLst/>
              <a:latin typeface="+mn-lt"/>
              <a:ea typeface="+mn-ea"/>
              <a:cs typeface="+mn-cs"/>
            </a:rPr>
            <a:t>April 2023</a:t>
          </a:r>
          <a:r>
            <a:rPr lang="pl-PL" sz="1100" b="0" i="0" u="none" strike="noStrike" baseline="0">
              <a:solidFill>
                <a:schemeClr val="dk1"/>
              </a:solidFill>
              <a:effectLst/>
              <a:latin typeface="+mn-lt"/>
              <a:ea typeface="+mn-ea"/>
              <a:cs typeface="+mn-cs"/>
            </a:rPr>
            <a:t> </a:t>
          </a:r>
          <a:r>
            <a:rPr lang="pl-PL" sz="1100" b="0" i="0" u="none" strike="noStrike">
              <a:solidFill>
                <a:schemeClr val="dk1"/>
              </a:solidFill>
              <a:effectLst/>
              <a:latin typeface="+mn-lt"/>
              <a:ea typeface="+mn-ea"/>
              <a:cs typeface="+mn-cs"/>
            </a:rPr>
            <a:t>company increased its authorization by an additional amount of $1,000 million. - 1530 million</a:t>
          </a:r>
          <a:r>
            <a:rPr lang="pl-PL" sz="1100" b="0" i="0" u="none" strike="noStrike" baseline="0">
              <a:solidFill>
                <a:schemeClr val="dk1"/>
              </a:solidFill>
              <a:effectLst/>
              <a:latin typeface="+mn-lt"/>
              <a:ea typeface="+mn-ea"/>
              <a:cs typeface="+mn-cs"/>
            </a:rPr>
            <a:t> avail</a:t>
          </a:r>
          <a:endParaRPr lang="pl-PL" sz="1100">
            <a:solidFill>
              <a:schemeClr val="dk1"/>
            </a:solidFill>
            <a:effectLst/>
            <a:latin typeface="+mn-lt"/>
            <a:ea typeface="+mn-ea"/>
            <a:cs typeface="+mn-cs"/>
          </a:endParaRPr>
        </a:p>
        <a:p>
          <a:endParaRPr lang="pl-PL" sz="1100"/>
        </a:p>
      </xdr:txBody>
    </xdr:sp>
    <xdr:clientData/>
  </xdr:twoCellAnchor>
  <xdr:twoCellAnchor>
    <xdr:from>
      <xdr:col>20</xdr:col>
      <xdr:colOff>1428750</xdr:colOff>
      <xdr:row>104</xdr:row>
      <xdr:rowOff>14432</xdr:rowOff>
    </xdr:from>
    <xdr:to>
      <xdr:col>23</xdr:col>
      <xdr:colOff>1140114</xdr:colOff>
      <xdr:row>110</xdr:row>
      <xdr:rowOff>86592</xdr:rowOff>
    </xdr:to>
    <xdr:sp macro="" textlink="">
      <xdr:nvSpPr>
        <xdr:cNvPr id="6" name="pole tekstowe 5">
          <a:extLst>
            <a:ext uri="{FF2B5EF4-FFF2-40B4-BE49-F238E27FC236}">
              <a16:creationId xmlns:a16="http://schemas.microsoft.com/office/drawing/2014/main" id="{D858C778-B51D-938C-5B79-790CFCB06AEE}"/>
            </a:ext>
          </a:extLst>
        </xdr:cNvPr>
        <xdr:cNvSpPr txBox="1"/>
      </xdr:nvSpPr>
      <xdr:spPr>
        <a:xfrm>
          <a:off x="29657386" y="17520227"/>
          <a:ext cx="3939887" cy="1024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100" b="0" i="0" u="none" strike="noStrike">
              <a:solidFill>
                <a:schemeClr val="dk1"/>
              </a:solidFill>
              <a:effectLst/>
              <a:latin typeface="+mn-lt"/>
              <a:ea typeface="+mn-ea"/>
              <a:cs typeface="+mn-cs"/>
            </a:rPr>
            <a:t>GAAP operating income was $303.2 million for the third quarter of 2023, representing a GAAP operating margin of 22.7%. GAAP operating income was $265.5 million for the same quarter of 2022, representing a GAAP operating margin of 23.1%.</a:t>
          </a:r>
          <a:endParaRPr lang="pl-PL"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abri\Desktop\ISEG\Lisbon%20Investment%20Society\Head%20ER\Assumptions%20sheet-%20Dami&#227;o.xlsx" TargetMode="External"/><Relationship Id="rId1" Type="http://schemas.openxmlformats.org/officeDocument/2006/relationships/externalLinkPath" Target="file:///C:\Users\gabri\Desktop\ISEG\Lisbon%20Investment%20Society\Head%20ER\Assumptions%20sheet-%20Dami&#227;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
      <sheetName val="Segments"/>
      <sheetName val="Acuerdo"/>
      <sheetName val="Peers"/>
      <sheetName val="ESG"/>
      <sheetName val="DCF"/>
      <sheetName val="Assum."/>
      <sheetName val="Fin. Data"/>
      <sheetName val="Fin. Data (Common Size)"/>
      <sheetName val="Inputs"/>
      <sheetName val="Sector Imp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Set>
  </externalBook>
</externalLink>
</file>

<file path=xl/persons/person.xml><?xml version="1.0" encoding="utf-8"?>
<personList xmlns="http://schemas.microsoft.com/office/spreadsheetml/2018/threadedcomments" xmlns:x="http://schemas.openxmlformats.org/spreadsheetml/2006/main">
  <person displayName="DAVID FILIPE DE SOUSA TITA" id="{6D2C5BD9-1C3E-4972-9F97-1CA81A3CC14E}" userId="S::david.tita@aln.iseg.ulisboa.pt::2b554b1a-dfdf-4fc2-8414-05963e9f059c"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1">
  <rv s="0">
    <v>https://www.bing.com/financeapi/forcetrigger?t=a1tg3m&amp;q=XNAS%3aFTNT&amp;form=skydnc</v>
    <v>Learn more on Bing</v>
  </rv>
  <rv s="1">
    <v>en</v>
    <v>a1tg3m</v>
    <v>268435456</v>
    <v>1</v>
    <v>Powered by Refinitiv</v>
    <v>0</v>
    <v>FORTINET, INC. (XNAS:FTNT)</v>
    <v>2</v>
    <v>3</v>
    <v>Finance</v>
    <v>4</v>
    <v>78.08</v>
    <v>44.12</v>
    <v>0.99890000000000001</v>
    <v>0.56999999999999995</v>
    <v>7.4929999999999997E-3</v>
    <v>USD</v>
    <v>Fortinet, Inc. provides an integrated platform, the Fortinet Security Fabric, that spans networking, unified Secure Access Service Edge (SASE) and AI-driven security operations to deliver cybersecurity where customers need it. It offers solutions to enterprises, such as in the financial services, retail and operational technology market verticals, communication and security service providers, government organizations and small and medium-sized businesses. Its Secure Networking solutions focuses on the convergence of networking and security via its network firewall and its switches, access points and other secure connectivity solutions. Its Unified SASE solution is a single-vendor SASE solution that includes Firewall, SD-WAN, Secure Web Gateway, Cloud Access Services Broker, and Data Loss Prevention, Zero Trust Network Access and cloud security. Its Security Operations solutions are delivered as a platform that automates detection and response to accelerate discovery and remediation.</v>
    <v>13527</v>
    <v>Nasdaq Stock Market</v>
    <v>XNAS</v>
    <v>XNAS</v>
    <v>909 Kifer Road, SUNNYVALE, CA, 94086 US</v>
    <v>76.84</v>
    <v>Software &amp; IT Services</v>
    <v>Stock</v>
    <v>45546.98277778906</v>
    <v>0</v>
    <v>74.709999999999994</v>
    <v>58622549120</v>
    <v>FORTINET, INC.</v>
    <v>FORTINET, INC.</v>
    <v>75.78</v>
    <v>45.283999999999999</v>
    <v>76.069999999999993</v>
    <v>76.64</v>
    <v>764908000</v>
    <v>FTNT</v>
    <v>FORTINET, INC. (XNAS:FTNT)</v>
    <v>981</v>
    <v>5490683</v>
    <v>2000</v>
  </rv>
  <rv s="2">
    <v>1</v>
  </rv>
  <rv s="3">
    <v>0</v>
    <v>5</v>
  </rv>
  <rv s="0">
    <v>https://www.bing.com/financeapi/forcetrigger?t=a1zgm7&amp;q=XNAS%3aPANW&amp;form=skydnc</v>
    <v>Learn more on Bing</v>
  </rv>
  <rv s="1">
    <v>en</v>
    <v>a1zgm7</v>
    <v>268435456</v>
    <v>1</v>
    <v>Powered by Refinitiv</v>
    <v>0</v>
    <v>PALO ALTO NETWORKS, INC. (XNAS:PANW)</v>
    <v>2</v>
    <v>3</v>
    <v>Finance</v>
    <v>4</v>
    <v>380.84</v>
    <v>224.64</v>
    <v>1.1400999999999999</v>
    <v>-5.81</v>
    <v>-1.6715999999999998E-2</v>
    <v>USD</v>
    <v>Palo Alto Networks, Inc. is a global cybersecurity provider. The Company's cybersecurity platforms and services help secure enterprise users, networks, clouds and endpoints by delivering cybersecurity backed by artificial intelligence and automation. It focuses on delivering value in four areas: Network Security, Cloud Security, Security Operations and Threat Intelligence and Security Consulting. Its network security platform delivers complete zero trust solutions to its customers. It enables cloud-native security through its Prisma Cloud platform. Its Cloud Native Application Protection Platform (CNAPP), Prisma Cloud, secures multi-and hybrid-cloud environments for applications, data and the entire cloud native technology stack across the full development lifecycle, from code to runtime. It delivers security automation, security analytics, endpoint security and attack surface management solutions through its Cortex portfolio. It also provides data security posture management (DSPM).</v>
    <v>15289</v>
    <v>Nasdaq Stock Market</v>
    <v>XNAS</v>
    <v>XNAS</v>
    <v>3000 Tannery Way, SANTA CLARA, CA, 95054 US</v>
    <v>346.47500000000002</v>
    <v>Software &amp; IT Services</v>
    <v>Stock</v>
    <v>45546.999592603905</v>
    <v>4</v>
    <v>332.7</v>
    <v>113172000000</v>
    <v>PALO ALTO NETWORKS, INC.</v>
    <v>PALO ALTO NETWORKS, INC.</v>
    <v>346.47500000000002</v>
    <v>47.216999999999999</v>
    <v>347.58</v>
    <v>341.77</v>
    <v>325600000</v>
    <v>PANW</v>
    <v>PALO ALTO NETWORKS, INC. (XNAS:PANW)</v>
    <v>2168</v>
    <v>3507871</v>
    <v>2005</v>
  </rv>
  <rv s="2">
    <v>5</v>
  </rv>
  <rv s="0">
    <v>https://www.bing.com/financeapi/forcetrigger?t=bq8rqh&amp;q=XNAS%3aCRWD&amp;form=skydnc</v>
    <v>Learn more on Bing</v>
  </rv>
  <rv s="1">
    <v>en</v>
    <v>bq8rqh</v>
    <v>268435456</v>
    <v>1</v>
    <v>Powered by Refinitiv</v>
    <v>0</v>
    <v>CROWDSTRIKE HOLDINGS, INC. (XNAS:CRWD)</v>
    <v>2</v>
    <v>3</v>
    <v>Finance</v>
    <v>4</v>
    <v>398.32709999999997</v>
    <v>157.59</v>
    <v>1.1241000000000001</v>
    <v>5.79</v>
    <v>2.3370999999999999E-2</v>
    <v>USD</v>
    <v>CrowdStrike Holdings, Inc. is a global cybersecurity company that provides cloud-delivered protection of endpoints, cloud workloads, identity and data. The Company’s Falcon platform is designed for cybersecurity consolidation, purpose-built to stop breaches. The platforms collect and integrates data from across the enterprise, including endpoints, cloud workloads, identities, and third-party sources. The Company's Falcon platform leverages a single lightweight-agent architecture with integrated cloud modules spanning multiple security markets, including corporate workload security, managed security services, security and vulnerability management, information technology (IT) operations management, threat intelligence services, identity protection and log management. The Company offers 27 cloud modules on its Falcon platform via a software-as-a-service (SaaS) subscription-based model that spans multiple large markets, including corporate endpoint and cloud workload security, and more.</v>
    <v>9219</v>
    <v>Nasdaq Stock Market</v>
    <v>XNAS</v>
    <v>XNAS</v>
    <v>206 E. 9TH STREET, SUITE 1400, AUSTIN, TX, 78701 US</v>
    <v>254.58</v>
    <v>Software &amp; IT Services</v>
    <v>Stock</v>
    <v>45546.999998541403</v>
    <v>7</v>
    <v>242.25</v>
    <v>62146896192</v>
    <v>CROWDSTRIKE HOLDINGS, INC.</v>
    <v>CROWDSTRIKE HOLDINGS, INC.</v>
    <v>247.73</v>
    <v>370.53870000000001</v>
    <v>247.74</v>
    <v>253.53</v>
    <v>245126400</v>
    <v>CRWD</v>
    <v>CROWDSTRIKE HOLDINGS, INC. (XNAS:CRWD)</v>
    <v>15413</v>
    <v>5136777</v>
    <v>2011</v>
  </rv>
  <rv s="2">
    <v>8</v>
  </rv>
  <rv s="0">
    <v>https://www.bing.com/financeapi/forcetrigger?t=a1pmur&amp;q=XNAS%3aCHKP&amp;form=skydnc</v>
    <v>Learn more on Bing</v>
  </rv>
  <rv s="1">
    <v>en</v>
    <v>a1pmur</v>
    <v>268435456</v>
    <v>1</v>
    <v>Powered by Refinitiv</v>
    <v>0</v>
    <v>CHECK POINT SOFTWARE TECHNOLOGIES LTD. (XNAS:CHKP)</v>
    <v>2</v>
    <v>3</v>
    <v>Finance</v>
    <v>5</v>
    <v>193.27</v>
    <v>126.57</v>
    <v>0.62139999999999995</v>
    <v>0.05</v>
    <v>2.6340000000000001E-4</v>
    <v>USD</v>
    <v>Check Point Software Technologies Ltd. (Check point) develops, markets and supports a range of products and services for information technology (IT) security. The Company's products and services are sold to enterprises, service providers, small and medium sized businesses and consumers. It offers enterprises a platform to deploy independent, modular and interoperable security applications (Software Blades), such as firewall, virtual private network (VPN), intrusion prevention system (IPS), Application Control, Anti-Bot, antivirus, data loss prevention (DLP), policy management, event analysis or multi-domain management. The Company offers Software Blades grouped into functional packages to address specific security issues. It has product offerings under these packages, which include Next Generation Firewall, Next Generation Threat Prevention, Next Generation Secure Web Gateway and Next Generation Data Protection.</v>
    <v>6450</v>
    <v>Nasdaq Stock Market</v>
    <v>XNAS</v>
    <v>XNAS</v>
    <v>5 Shlomo Kaplan Street, TEL AVIV-YAFO, 67897 IL</v>
    <v>190.26</v>
    <v>Software &amp; IT Services</v>
    <v>Stock</v>
    <v>45546.939205555471</v>
    <v>10</v>
    <v>185.51</v>
    <v>21435290000</v>
    <v>CHECK POINT SOFTWARE TECHNOLOGIES LTD.</v>
    <v>CHECK POINT SOFTWARE TECHNOLOGIES LTD.</v>
    <v>189.3</v>
    <v>26.2516</v>
    <v>189.85</v>
    <v>189.9</v>
    <v>112906400</v>
    <v>CHKP</v>
    <v>CHECK POINT SOFTWARE TECHNOLOGIES LTD. (XNAS:CHKP)</v>
    <v>193</v>
    <v>521361</v>
    <v>1993</v>
  </rv>
  <rv s="2">
    <v>11</v>
  </rv>
  <rv s="0">
    <v>https://www.bing.com/financeapi/forcetrigger?t=a1qe5r&amp;q=XNAS%3aCSCO&amp;form=skydnc</v>
    <v>Learn more on Bing</v>
  </rv>
  <rv s="1">
    <v>en</v>
    <v>a1qe5r</v>
    <v>268435456</v>
    <v>1</v>
    <v>Powered by Refinitiv</v>
    <v>0</v>
    <v>CISCO SYSTEMS, INC. (XNAS:CSCO)</v>
    <v>2</v>
    <v>3</v>
    <v>Finance</v>
    <v>4</v>
    <v>56.86</v>
    <v>44.5</v>
    <v>0.82110000000000005</v>
    <v>0.32</v>
    <v>6.5590000000000006E-3</v>
    <v>USD</v>
    <v>Cisco Systems, Inc. designs and sells a range of technologies that power the Internet. The Company is integrating its product portfolios across networking, security, collaboration, applications and cloud. The Company's segments include the Americas; Europe, Middle East, and Africa (EMEA), and Asia Pacific, Japan, and China (APJC). Its Networking product category represents its core networking technologies of switching, routing, wireless, fifth generation (5G), silicon, optics solutions and compute products. Its Security product category consists of its cloud and application security, industrial security, network security, and user and device security offerings. Its Collaboration product category consists of its meetings, collaboration devices, calling, contact center and platform as a service (CPaaS) offering. Its Observability product category consists of its full stack observability offerings.</v>
    <v>90400</v>
    <v>Nasdaq Stock Market</v>
    <v>XNAS</v>
    <v>XNAS</v>
    <v>170 West Tasman Dr, SAN JOSE, CA, 95134-1706 US</v>
    <v>49.21</v>
    <v>Communications &amp; Networking</v>
    <v>Stock</v>
    <v>45546.998550173441</v>
    <v>13</v>
    <v>47.850099999999998</v>
    <v>195984995850</v>
    <v>CISCO SYSTEMS, INC.</v>
    <v>CISCO SYSTEMS, INC.</v>
    <v>48.75</v>
    <v>19.356100000000001</v>
    <v>48.79</v>
    <v>49.11</v>
    <v>3990735000</v>
    <v>CSCO</v>
    <v>CISCO SYSTEMS, INC. (XNAS:CSCO)</v>
    <v>8773</v>
    <v>19126144</v>
    <v>2021</v>
  </rv>
  <rv s="2">
    <v>14</v>
  </rv>
  <rv s="0">
    <v>https://www.bing.com/financeapi/forcetrigger?t=azbtyc&amp;q=XNAS%3aZS&amp;form=skydnc</v>
    <v>Learn more on Bing</v>
  </rv>
  <rv s="1">
    <v>en</v>
    <v>azbtyc</v>
    <v>268435456</v>
    <v>1</v>
    <v>Powered by Refinitiv</v>
    <v>0</v>
    <v>ZSCALER, INC. (XNAS:ZS)</v>
    <v>2</v>
    <v>3</v>
    <v>Finance</v>
    <v>4</v>
    <v>259.61</v>
    <v>146.59</v>
    <v>0.87670000000000003</v>
    <v>5.81</v>
    <v>3.7267000000000002E-2</v>
    <v>USD</v>
    <v>Zscaler, Inc. is a cloud security company, which has developed a platform incorporating core security functionalities needed to enable access to cloud resources based on identity, context and organization’s policies. The Company’s solution is a purpose-built, multi-tenant, distributed cloud platform that incorporates the security functionality needed to enable users, applications and devices to utilize authorized applications and services based on an organization’s business policies. The Company delivers its solutions using a software-as-a-service (SaaS) business model and sells subscriptions to customers to access its cloud platform, together with related support services. The Company’s cloud-native platform, the Zscaler Zero Trust Exchange, enables customers to secure and connect users, workloads and Internet of things (IoT)/ operational technology (OT) devices across three core products, Zscaler for Users, Zscaler for Workloads and Zscaler for IoT/OT.</v>
    <v>5962</v>
    <v>Nasdaq Stock Market</v>
    <v>XNAS</v>
    <v>XNAS</v>
    <v>120 Holger Way, SAN JOSE, CA, 95134 US</v>
    <v>162.22999999999999</v>
    <v>Software &amp; IT Services</v>
    <v>Stock</v>
    <v>45546.997159594532</v>
    <v>16</v>
    <v>154.66499999999999</v>
    <v>24442320961</v>
    <v>ZSCALER, INC.</v>
    <v>ZSCALER, INC.</v>
    <v>155.71</v>
    <v>0</v>
    <v>155.9</v>
    <v>161.71</v>
    <v>151149100</v>
    <v>ZS</v>
    <v>ZSCALER, INC. (XNAS:ZS)</v>
    <v>10084</v>
    <v>2152171</v>
    <v>2007</v>
  </rv>
  <rv s="2">
    <v>17</v>
  </rv>
  <rv s="4">
    <v>0</v>
    <v>8</v>
    <v>43</v>
    <v>6</v>
  </rv>
  <rv s="5">
    <v>8</v>
    <v>1</v>
  </rv>
</rvData>
</file>

<file path=xl/richData/rdrichvaluestructure.xml><?xml version="1.0" encoding="utf-8"?>
<rvStructures xmlns="http://schemas.microsoft.com/office/spreadsheetml/2017/richdata" count="6">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ocalImage">
    <k n="_rvRel:LocalImageIdentifier" t="i"/>
    <k n="CalcOrigin" t="i"/>
  </s>
  <s t="_error">
    <k n="colOffset" t="i"/>
    <k n="errorType" t="i"/>
    <k n="rwOffset" t="i"/>
    <k n="subType" t="i"/>
  </s>
  <s t="_error">
    <k n="errorType" t="i"/>
    <k n="propagated" t="b"/>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6">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4">
      <v>Delayed 15 minutes</v>
      <v>from previous close</v>
      <v>from previous close</v>
      <v>Source: Nasdaq</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4" formatCode="#,##0.00"/>
    </x:dxf>
    <x:dxf>
      <x:numFmt numFmtId="3" formatCode="#,##0"/>
    </x:dxf>
    <x:dxf>
      <x:numFmt numFmtId="14" formatCode="0.00%"/>
    </x:dxf>
    <x:dxf>
      <x:numFmt numFmtId="2" formatCode="0.00"/>
    </x:dxf>
    <x:dxf>
      <x:numFmt numFmtId="1" formatCode="0"/>
    </x:dxf>
    <x:dxf>
      <x:numFmt numFmtId="27" formatCode="yyyy/m/d\ h:mm"/>
    </x:dxf>
    <x:dxf>
      <x:numFmt numFmtId="0" formatCode="General"/>
    </x:dxf>
  </dxfs>
  <richProperties>
    <rPr n="NumberFormat" t="s"/>
    <rPr n="IsTitleField" t="b"/>
  </richProperties>
  <richStyles>
    <rSty dxfid="6">
      <rpv i="0">_([$$-en-US]* #,##0.00_);_([$$-en-US]* (#,##0.00);_([$$-en-US]* "-"??_);_(@_)</rpv>
    </rSty>
    <rSty dxfid="0">
      <rpv i="0">#,##0.00</rpv>
    </rSty>
    <rSty>
      <rpv i="1">1</rpv>
    </rSty>
    <rSty dxfid="1">
      <rpv i="0">#,##0</rpv>
    </rSty>
    <rSty dxfid="2"/>
    <rSty dxfid="6">
      <rpv i="0">_([$$-en-US]* #,##0_);_([$$-en-US]* (#,##0);_([$$-en-US]* "-"_);_(@_)</rpv>
    </rSty>
    <rSty dxfid="5"/>
    <rSty dxfid="4">
      <rpv i="0">0</rpv>
    </rSty>
    <rSty dxfid="3">
      <rpv i="0">0.00</rpv>
    </rSty>
  </richStyles>
</richStyleSheet>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3-03-05T23:56:38.75" personId="{6D2C5BD9-1C3E-4972-9F97-1CA81A3CC14E}" id="{B8360AB7-5DB1-45D3-ABF9-3AFEF51621D6}">
    <text>Date of last update of the report</text>
  </threadedComment>
  <threadedComment ref="D2" dT="2023-03-05T23:56:06.54" personId="{6D2C5BD9-1C3E-4972-9F97-1CA81A3CC14E}" id="{D17B5162-9C54-4F03-8882-3A424C1A2E60}">
    <text>Insert the date when the company will issue their next quarter/annual report</text>
  </threadedComment>
  <threadedComment ref="L2" dT="2023-03-05T23:56:59.28" personId="{6D2C5BD9-1C3E-4972-9F97-1CA81A3CC14E}" id="{74106D0B-4568-4C95-B1A7-D780E3BD20D3}">
    <text>In what exchange the company is listed in (Input the main exchange)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vault.com/industries/financial-technology/industry-outlook" TargetMode="External"/><Relationship Id="rId2" Type="http://schemas.openxmlformats.org/officeDocument/2006/relationships/hyperlink" Target="https://www.businessresearchinsights.com/market-reports/cybersecurity-red-teaming-and-penetration-testing-market-105241" TargetMode="External"/><Relationship Id="rId1" Type="http://schemas.openxmlformats.org/officeDocument/2006/relationships/hyperlink" Target="https://www.mordorintelligence.com/industry-reports/wearable-technology-market"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www.statista.com/outlook/tmo/it-services/worldwid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8" Type="http://schemas.openxmlformats.org/officeDocument/2006/relationships/hyperlink" Target="https://medium.com/@watsonmac944/security-operation-center-soc-as-a-service-market-2030-market-trends-status-discover-the-share-ae7dbb5a5146" TargetMode="External"/><Relationship Id="rId13" Type="http://schemas.openxmlformats.org/officeDocument/2006/relationships/printerSettings" Target="../printerSettings/printerSettings7.bin"/><Relationship Id="rId3" Type="http://schemas.openxmlformats.org/officeDocument/2006/relationships/hyperlink" Target="https://www.gminsights.com/industry-analysis/secure-access-service-edge-market" TargetMode="External"/><Relationship Id="rId7" Type="http://schemas.openxmlformats.org/officeDocument/2006/relationships/hyperlink" Target="https://uk.finance.yahoo.com/news/worldwide-security-operations-center-industry-084300931.html" TargetMode="External"/><Relationship Id="rId12" Type="http://schemas.openxmlformats.org/officeDocument/2006/relationships/hyperlink" Target="https://www.acumenresearchandconsulting.com/network-security-market" TargetMode="External"/><Relationship Id="rId2" Type="http://schemas.openxmlformats.org/officeDocument/2006/relationships/hyperlink" Target="https://pages.stern.nyu.edu/~adamodar/New_Home_Page/datafile/histgr.html" TargetMode="External"/><Relationship Id="rId1" Type="http://schemas.openxmlformats.org/officeDocument/2006/relationships/hyperlink" Target="https://investor.fortinet.com/static-files/2d21430a-2c22-4b9d-b7f5-3f4bdaa420b6" TargetMode="External"/><Relationship Id="rId6" Type="http://schemas.openxmlformats.org/officeDocument/2006/relationships/hyperlink" Target="https://www.linkedin.com/pulse/sase-secure-access-service-edge-market-3f/" TargetMode="External"/><Relationship Id="rId11" Type="http://schemas.openxmlformats.org/officeDocument/2006/relationships/hyperlink" Target="https://www.fortunebusinessinsights.com/industry-reports/network-security-market-100339" TargetMode="External"/><Relationship Id="rId5" Type="http://schemas.openxmlformats.org/officeDocument/2006/relationships/hyperlink" Target="https://reports.valuates.com/reports/QYRE-Auto-16W5806/global-sase-secure-access-service-edge" TargetMode="External"/><Relationship Id="rId10" Type="http://schemas.openxmlformats.org/officeDocument/2006/relationships/hyperlink" Target="https://www.psmarketresearch.com/market-analysis/soc-as-a-service-market" TargetMode="External"/><Relationship Id="rId4" Type="http://schemas.openxmlformats.org/officeDocument/2006/relationships/hyperlink" Target="https://www.verifiedmarketresearch.com/product/secure-access-service-edge-sase-market/" TargetMode="External"/><Relationship Id="rId9" Type="http://schemas.openxmlformats.org/officeDocument/2006/relationships/hyperlink" Target="https://www.globenewswire.com/en/news-release/2023/05/24/2675417/0/en/Security-Operations-Center-Market-worth-USD-69-52-Billion-growing-at-a-8-1-CAGR-by-2030-Report-by-Market-Research-Future-MRFR.html" TargetMode="External"/><Relationship Id="rId14"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pageSetUpPr fitToPage="1"/>
  </sheetPr>
  <dimension ref="A1:S107"/>
  <sheetViews>
    <sheetView showGridLines="0" tabSelected="1" topLeftCell="A6" zoomScaleNormal="134" workbookViewId="0">
      <selection activeCell="B3" sqref="B3"/>
    </sheetView>
  </sheetViews>
  <sheetFormatPr defaultColWidth="11.42578125" defaultRowHeight="12.95"/>
  <cols>
    <col min="1" max="1" width="0.42578125" customWidth="1"/>
    <col min="2" max="2" width="21.140625" bestFit="1" customWidth="1"/>
    <col min="3" max="3" width="23.42578125" customWidth="1"/>
    <col min="4" max="4" width="32" customWidth="1"/>
    <col min="5" max="5" width="20.42578125" bestFit="1" customWidth="1"/>
    <col min="6" max="6" width="17" bestFit="1" customWidth="1"/>
    <col min="7" max="7" width="13.7109375" customWidth="1"/>
    <col min="8" max="8" width="21.140625" customWidth="1"/>
    <col min="9" max="9" width="14.85546875" customWidth="1"/>
    <col min="10" max="10" width="12.7109375" customWidth="1"/>
    <col min="11" max="11" width="12.140625" customWidth="1"/>
    <col min="12" max="12" width="19.85546875" customWidth="1"/>
    <col min="13" max="13" width="44.28515625" customWidth="1"/>
  </cols>
  <sheetData>
    <row r="1" spans="2:14" ht="3.75" customHeight="1" thickBot="1"/>
    <row r="2" spans="2:14" ht="22.5" customHeight="1">
      <c r="B2" s="378">
        <v>45270</v>
      </c>
      <c r="C2" s="272" t="s">
        <v>0</v>
      </c>
      <c r="D2" s="379"/>
      <c r="E2" s="982" t="e" vm="1">
        <f>Inputs!I3</f>
        <v>#VALUE!</v>
      </c>
      <c r="F2" s="983"/>
      <c r="G2" s="983"/>
      <c r="H2" s="983"/>
      <c r="I2" s="983"/>
      <c r="J2" s="983"/>
      <c r="K2" s="984"/>
      <c r="L2" s="273" t="s">
        <v>1</v>
      </c>
      <c r="M2" s="795" t="s">
        <v>2</v>
      </c>
    </row>
    <row r="3" spans="2:14" ht="26.25" customHeight="1">
      <c r="B3" s="1014" t="e" vm="2">
        <v>#VALUE!</v>
      </c>
      <c r="C3" s="1015"/>
      <c r="D3" s="1004" t="s">
        <v>3</v>
      </c>
      <c r="E3" s="1004"/>
      <c r="F3" s="1004"/>
      <c r="G3" s="1004"/>
      <c r="H3" s="1004" t="s">
        <v>4</v>
      </c>
      <c r="I3" s="1004"/>
      <c r="J3" s="1004"/>
      <c r="K3" s="1004"/>
      <c r="L3" s="1004"/>
      <c r="M3" s="1005"/>
    </row>
    <row r="4" spans="2:14" ht="14.1" customHeight="1">
      <c r="B4" s="1016"/>
      <c r="C4" s="1017"/>
      <c r="D4" s="995" t="str" cm="1">
        <f t="array" aca="1" ref="D4" ca="1">_FV(Inputs!I3,"Description")</f>
        <v>Fortinet, Inc. provides an integrated platform, the Fortinet Security Fabric, that spans networking, unified Secure Access Service Edge (SASE) and AI-driven security operations to deliver cybersecurity where customers need it. It offers solutions to enterprises, such as in the financial services, retail and operational technology market verticals, communication and security service providers, government organizations and small and medium-sized businesses. Its Secure Networking solutions focuses on the convergence of networking and security via its network firewall and its switches, access points and other secure connectivity solutions. Its Unified SASE solution is a single-vendor SASE solution that includes Firewall, SD-WAN, Secure Web Gateway, Cloud Access Services Broker, and Data Loss Prevention, Zero Trust Network Access and cloud security. Its Security Operations solutions are delivered as a platform that automates detection and response to accelerate discovery and remediation.</v>
      </c>
      <c r="E4" s="996"/>
      <c r="F4" s="996"/>
      <c r="G4" s="997"/>
      <c r="H4" s="106" t="s">
        <v>5</v>
      </c>
      <c r="I4" s="107" t="s">
        <v>6</v>
      </c>
      <c r="J4" s="107" t="s">
        <v>7</v>
      </c>
      <c r="K4" s="1032" t="s">
        <v>8</v>
      </c>
      <c r="L4" s="1033"/>
      <c r="M4" s="1034"/>
    </row>
    <row r="5" spans="2:14" ht="45" customHeight="1">
      <c r="B5" s="1016"/>
      <c r="C5" s="1017"/>
      <c r="D5" s="998"/>
      <c r="E5" s="999"/>
      <c r="F5" s="999"/>
      <c r="G5" s="1000"/>
      <c r="H5" s="746" t="s">
        <v>9</v>
      </c>
      <c r="I5" s="365">
        <v>10.8</v>
      </c>
      <c r="J5" s="365" t="s">
        <v>10</v>
      </c>
      <c r="K5" s="1029" t="s">
        <v>11</v>
      </c>
      <c r="L5" s="1030"/>
      <c r="M5" s="1031"/>
      <c r="N5" s="380"/>
    </row>
    <row r="6" spans="2:14" ht="53.1" customHeight="1">
      <c r="B6" s="1016"/>
      <c r="C6" s="1017"/>
      <c r="D6" s="998"/>
      <c r="E6" s="999"/>
      <c r="F6" s="999"/>
      <c r="G6" s="1000"/>
      <c r="H6" s="747" t="s">
        <v>12</v>
      </c>
      <c r="I6" s="365">
        <v>22.8</v>
      </c>
      <c r="J6" s="365" t="s">
        <v>13</v>
      </c>
      <c r="K6" s="1029" t="s">
        <v>14</v>
      </c>
      <c r="L6" s="1030"/>
      <c r="M6" s="1031"/>
    </row>
    <row r="7" spans="2:14" ht="84" customHeight="1">
      <c r="B7" s="1016"/>
      <c r="C7" s="1017"/>
      <c r="D7" s="998"/>
      <c r="E7" s="999"/>
      <c r="F7" s="999"/>
      <c r="G7" s="1000"/>
      <c r="H7" s="748" t="s">
        <v>15</v>
      </c>
      <c r="I7" s="365">
        <v>5.6</v>
      </c>
      <c r="J7" s="365" t="s">
        <v>16</v>
      </c>
      <c r="K7" s="1029" t="s">
        <v>17</v>
      </c>
      <c r="L7" s="1030"/>
      <c r="M7" s="1031"/>
    </row>
    <row r="8" spans="2:14" ht="51.95" customHeight="1">
      <c r="B8" s="1016"/>
      <c r="C8" s="1017"/>
      <c r="D8" s="998"/>
      <c r="E8" s="999"/>
      <c r="F8" s="999"/>
      <c r="G8" s="1000"/>
      <c r="H8" s="365" t="s">
        <v>18</v>
      </c>
      <c r="I8" s="365">
        <v>10.6</v>
      </c>
      <c r="J8" s="365" t="s">
        <v>19</v>
      </c>
      <c r="K8" s="1029" t="s">
        <v>20</v>
      </c>
      <c r="L8" s="1030"/>
      <c r="M8" s="1031"/>
    </row>
    <row r="9" spans="2:14" ht="38.1" customHeight="1">
      <c r="B9" s="1016"/>
      <c r="C9" s="1017"/>
      <c r="D9" s="998"/>
      <c r="E9" s="999"/>
      <c r="F9" s="999"/>
      <c r="G9" s="1000"/>
      <c r="H9" s="365" t="s">
        <v>21</v>
      </c>
      <c r="I9" s="365">
        <v>8.4</v>
      </c>
      <c r="J9" s="365" t="s">
        <v>19</v>
      </c>
      <c r="K9" s="1029" t="s">
        <v>22</v>
      </c>
      <c r="L9" s="1030"/>
      <c r="M9" s="1031"/>
    </row>
    <row r="10" spans="2:14" ht="68.099999999999994" customHeight="1">
      <c r="B10" s="1016"/>
      <c r="C10" s="1017"/>
      <c r="D10" s="998"/>
      <c r="E10" s="999"/>
      <c r="F10" s="999"/>
      <c r="G10" s="1000"/>
      <c r="H10" s="365" t="s">
        <v>23</v>
      </c>
      <c r="I10" s="365">
        <v>4.0999999999999996</v>
      </c>
      <c r="J10" s="365" t="s">
        <v>19</v>
      </c>
      <c r="K10" s="1029" t="s">
        <v>24</v>
      </c>
      <c r="L10" s="1030"/>
      <c r="M10" s="1031"/>
      <c r="N10" s="745"/>
    </row>
    <row r="11" spans="2:14" ht="68.099999999999994" customHeight="1">
      <c r="B11" s="1016"/>
      <c r="C11" s="1017"/>
      <c r="D11" s="998"/>
      <c r="E11" s="999"/>
      <c r="F11" s="999"/>
      <c r="G11" s="1000"/>
      <c r="H11" s="365" t="s">
        <v>25</v>
      </c>
      <c r="I11" s="365">
        <v>3.1</v>
      </c>
      <c r="J11" s="365" t="s">
        <v>19</v>
      </c>
      <c r="K11" s="1029" t="s">
        <v>26</v>
      </c>
      <c r="L11" s="1030"/>
      <c r="M11" s="1031"/>
      <c r="N11" s="745" t="s">
        <v>27</v>
      </c>
    </row>
    <row r="12" spans="2:14" ht="0.95" customHeight="1">
      <c r="B12" s="1016"/>
      <c r="C12" s="1017"/>
      <c r="D12" s="998"/>
      <c r="E12" s="999"/>
      <c r="F12" s="999"/>
      <c r="G12" s="1000"/>
      <c r="H12" s="1009" t="s">
        <v>28</v>
      </c>
      <c r="I12" s="1009">
        <v>2.1</v>
      </c>
      <c r="J12" s="1009" t="s">
        <v>19</v>
      </c>
      <c r="K12" s="1035" t="s">
        <v>29</v>
      </c>
      <c r="L12" s="1036"/>
      <c r="M12" s="1037"/>
    </row>
    <row r="13" spans="2:14" ht="12.95" hidden="1" customHeight="1">
      <c r="B13" s="1016"/>
      <c r="C13" s="1017"/>
      <c r="D13" s="998"/>
      <c r="E13" s="999"/>
      <c r="F13" s="999"/>
      <c r="G13" s="1000"/>
      <c r="H13" s="1010"/>
      <c r="I13" s="1010"/>
      <c r="J13" s="1010"/>
      <c r="K13" s="1038"/>
      <c r="L13" s="1039"/>
      <c r="M13" s="1040"/>
    </row>
    <row r="14" spans="2:14" ht="6" hidden="1" customHeight="1">
      <c r="B14" s="1016"/>
      <c r="C14" s="1017"/>
      <c r="D14" s="998"/>
      <c r="E14" s="999"/>
      <c r="F14" s="999"/>
      <c r="G14" s="1000"/>
      <c r="H14" s="1010"/>
      <c r="I14" s="1010"/>
      <c r="J14" s="1010"/>
      <c r="K14" s="1038"/>
      <c r="L14" s="1039"/>
      <c r="M14" s="1040"/>
    </row>
    <row r="15" spans="2:14" ht="12.95" hidden="1" customHeight="1">
      <c r="B15" s="1016"/>
      <c r="C15" s="1017"/>
      <c r="D15" s="998"/>
      <c r="E15" s="999"/>
      <c r="F15" s="999"/>
      <c r="G15" s="1000"/>
      <c r="H15" s="1010"/>
      <c r="I15" s="1010"/>
      <c r="J15" s="1010"/>
      <c r="K15" s="1038"/>
      <c r="L15" s="1039"/>
      <c r="M15" s="1040"/>
    </row>
    <row r="16" spans="2:14" ht="18.95" customHeight="1">
      <c r="B16" s="1018"/>
      <c r="C16" s="1019"/>
      <c r="D16" s="998"/>
      <c r="E16" s="999"/>
      <c r="F16" s="999"/>
      <c r="G16" s="1000"/>
      <c r="H16" s="1010"/>
      <c r="I16" s="1010"/>
      <c r="J16" s="1010"/>
      <c r="K16" s="1038"/>
      <c r="L16" s="1039"/>
      <c r="M16" s="1040"/>
    </row>
    <row r="17" spans="2:14" ht="32.1" customHeight="1">
      <c r="B17" s="1012" t="s">
        <v>30</v>
      </c>
      <c r="C17" s="1013"/>
      <c r="D17" s="1001"/>
      <c r="E17" s="1002"/>
      <c r="F17" s="1002"/>
      <c r="G17" s="1003"/>
      <c r="H17" s="1011"/>
      <c r="I17" s="1011"/>
      <c r="J17" s="1011"/>
      <c r="K17" s="1041"/>
      <c r="L17" s="1042"/>
      <c r="M17" s="1043"/>
    </row>
    <row r="18" spans="2:14" ht="18">
      <c r="B18" s="1025" t="s">
        <v>31</v>
      </c>
      <c r="C18" s="1026"/>
      <c r="D18" s="1026"/>
      <c r="E18" s="1026"/>
      <c r="F18" s="1026"/>
      <c r="G18" s="1026"/>
      <c r="H18" s="1026"/>
      <c r="I18" s="1026"/>
      <c r="J18" s="1026"/>
      <c r="K18" s="1026"/>
      <c r="L18" s="1026"/>
      <c r="M18" s="1027"/>
    </row>
    <row r="19" spans="2:14" ht="15.95">
      <c r="B19" s="1022" t="s">
        <v>32</v>
      </c>
      <c r="C19" s="1023"/>
      <c r="D19" s="1020" t="s">
        <v>33</v>
      </c>
      <c r="E19" s="1024"/>
      <c r="F19" s="1006" t="s">
        <v>34</v>
      </c>
      <c r="G19" s="1007"/>
      <c r="H19" s="1008"/>
      <c r="I19" s="1020" t="s">
        <v>35</v>
      </c>
      <c r="J19" s="1028"/>
      <c r="K19" s="1024"/>
      <c r="L19" s="1020" t="s">
        <v>36</v>
      </c>
      <c r="M19" s="1021"/>
    </row>
    <row r="20" spans="2:14">
      <c r="B20" s="457" t="s">
        <v>37</v>
      </c>
      <c r="C20" s="119" cm="1">
        <f t="array" aca="1" ref="C20" ca="1">_FV(E2,"Price")</f>
        <v>76.64</v>
      </c>
      <c r="D20" s="11" t="s">
        <v>38</v>
      </c>
      <c r="E20" s="117">
        <f>_xlfn.XLOOKUP(D20,'Fin. Data'!A:A,'Fin. Data'!B:B,,0)</f>
        <v>7479.3</v>
      </c>
      <c r="F20" s="985" t="s">
        <v>39</v>
      </c>
      <c r="G20" s="986"/>
      <c r="H20" s="100" t="s">
        <v>40</v>
      </c>
      <c r="I20" t="s">
        <v>41</v>
      </c>
      <c r="J20" s="1044">
        <v>2023</v>
      </c>
      <c r="K20" s="1045"/>
      <c r="L20" s="10" t="s">
        <v>42</v>
      </c>
      <c r="M20" s="702">
        <v>0.84199999999999997</v>
      </c>
      <c r="N20" s="9"/>
    </row>
    <row r="21" spans="2:14" ht="12.75" customHeight="1">
      <c r="B21" s="457" t="s">
        <v>43</v>
      </c>
      <c r="C21" s="307" cm="1">
        <f t="array" aca="1" ref="C21" ca="1">_FV(E2,"Shares outstanding",TRUE)</f>
        <v>764908000</v>
      </c>
      <c r="D21" s="10" t="s">
        <v>44</v>
      </c>
      <c r="E21" s="117">
        <f>_xlfn.XLOOKUP(D21,'Fin. Data'!A:A,'Fin. Data'!B:B,,0)</f>
        <v>7405.2</v>
      </c>
      <c r="F21" s="987" t="str">
        <f>Segments!C5</f>
        <v>United States</v>
      </c>
      <c r="G21" s="988"/>
      <c r="H21" s="15">
        <f>Segments!B5</f>
        <v>0.30386451949658783</v>
      </c>
      <c r="I21" s="10" t="s">
        <v>45</v>
      </c>
      <c r="J21" s="991" t="s">
        <v>46</v>
      </c>
      <c r="K21" s="992"/>
      <c r="L21" s="10" t="s">
        <v>47</v>
      </c>
      <c r="M21" s="455">
        <v>0.1741</v>
      </c>
      <c r="N21" s="9"/>
    </row>
    <row r="22" spans="2:14" ht="12.75" customHeight="1">
      <c r="B22" s="457" t="s">
        <v>48</v>
      </c>
      <c r="C22" s="51">
        <f ca="1">C20*C21/1000000</f>
        <v>58622.549120000003</v>
      </c>
      <c r="D22" s="10" t="s">
        <v>49</v>
      </c>
      <c r="E22" s="360">
        <f ca="1">_xlfn.XLOOKUP("Cash &amp; Eq.",'Fin. Data'!A:A,'Fin. Data'!B:B,,0)*1000000/C21</f>
        <v>2.8589059076385657</v>
      </c>
      <c r="F22" s="987" t="str">
        <f>Segments!C6</f>
        <v>Other Americas</v>
      </c>
      <c r="G22" s="988"/>
      <c r="H22" s="15">
        <f>Segments!B6</f>
        <v>0.10739072437991763</v>
      </c>
      <c r="I22" s="993" t="s">
        <v>50</v>
      </c>
      <c r="J22" s="993"/>
      <c r="K22" s="117">
        <f>_xlfn.XLOOKUP(I22,'Fin. Data'!A:A,'Fin. Data'!B:B,,0)</f>
        <v>1407.2</v>
      </c>
      <c r="L22" s="6" t="s">
        <v>51</v>
      </c>
      <c r="M22" s="456">
        <v>1.1399999999999999</v>
      </c>
      <c r="N22" s="9"/>
    </row>
    <row r="23" spans="2:14" ht="12.75" customHeight="1">
      <c r="B23" s="454" t="s">
        <v>52</v>
      </c>
      <c r="C23" s="51">
        <f>'Fin. Data'!C58</f>
        <v>1086.0999999999999</v>
      </c>
      <c r="D23" s="10" t="s">
        <v>53</v>
      </c>
      <c r="E23" s="360">
        <f>_xlfn.XLOOKUP("EBITDA",'Fin. Data'!A:A,'Fin. Data'!B:B,,0)/_xlfn.XLOOKUP("Net Financial Cost",'Fin. Data'!A:A,'Fin. Data'!B:B,,0)</f>
        <v>17.994884910485933</v>
      </c>
      <c r="F23" s="987" t="str">
        <f>Segments!C7</f>
        <v>Europe, Middle East and Africa (EMEA)</v>
      </c>
      <c r="G23" s="988"/>
      <c r="H23" s="15">
        <f>Segments!B7</f>
        <v>0.38807585980242421</v>
      </c>
      <c r="I23" s="994" t="s">
        <v>54</v>
      </c>
      <c r="J23" s="994"/>
      <c r="K23" s="117">
        <f>_xlfn.XLOOKUP(I23,'Fin. Data'!A:A,'Fin. Data'!B:B,,0)</f>
        <v>110.5</v>
      </c>
      <c r="L23" s="10" t="s">
        <v>55</v>
      </c>
      <c r="M23" s="703" t="s">
        <v>56</v>
      </c>
    </row>
    <row r="24" spans="2:14" ht="12.75" customHeight="1">
      <c r="B24" s="454" t="s">
        <v>57</v>
      </c>
      <c r="C24" s="51">
        <f>'Fin. Data'!C39</f>
        <v>1682.9</v>
      </c>
      <c r="D24" s="10" t="s">
        <v>58</v>
      </c>
      <c r="E24" s="360">
        <f>_xlfn.XLOOKUP("Total Debt",'Fin. Data'!A:A,'Fin. Data'!B:B,,0)/_xlfn.XLOOKUP("EBITDA",'Fin. Data'!A:A,'Fin. Data'!B:B,,0)</f>
        <v>0.74921830585559968</v>
      </c>
      <c r="F24" s="987" t="str">
        <f>Segments!C8</f>
        <v>Asia Pacific (APAC)</v>
      </c>
      <c r="G24" s="988"/>
      <c r="H24" s="40">
        <f>Segments!B8</f>
        <v>0.20066889632107021</v>
      </c>
      <c r="I24" s="994" t="s">
        <v>59</v>
      </c>
      <c r="J24" s="994"/>
      <c r="K24" s="117">
        <f>_xlfn.XLOOKUP(I24,'Fin. Data'!A:A,'Fin. Data'!B:B,,0)</f>
        <v>1296.7</v>
      </c>
      <c r="L24" s="10" t="s">
        <v>60</v>
      </c>
      <c r="M24" s="453">
        <f ca="1">IFERROR((C20*C21/(E20-E21))/1000000,"")</f>
        <v>791.1275184885252</v>
      </c>
    </row>
    <row r="25" spans="2:14" ht="12.75" customHeight="1">
      <c r="B25" s="454" t="s">
        <v>61</v>
      </c>
      <c r="C25" s="51">
        <f ca="1">C22+C23-C24</f>
        <v>58025.74912</v>
      </c>
      <c r="D25" s="10" t="s">
        <v>62</v>
      </c>
      <c r="E25" s="360">
        <f>_xlfn.XLOOKUP("Other Assets",'Fin. Data'!A:A,'Fin. Data'!B:B,,0)/_xlfn.XLOOKUP("Total Assets",'Fin. Data'!A:A,'Fin. Data'!B:B,,0)</f>
        <v>0.32882756407685204</v>
      </c>
      <c r="F25" s="1046"/>
      <c r="G25" s="1047"/>
      <c r="H25" s="820"/>
      <c r="I25" s="993" t="s">
        <v>63</v>
      </c>
      <c r="J25" s="993"/>
      <c r="K25" s="117">
        <f>_xlfn.XLOOKUP(I25,'Fin. Data'!A:A,'Fin. Data'!B:B,,0)</f>
        <v>1150.7</v>
      </c>
      <c r="L25" s="10" t="s">
        <v>64</v>
      </c>
      <c r="M25" s="452">
        <f>IFERROR(K31/E20,"")</f>
        <v>0.11653496985011966</v>
      </c>
    </row>
    <row r="26" spans="2:14" ht="12.75" customHeight="1">
      <c r="B26" s="454" t="s">
        <v>65</v>
      </c>
      <c r="C26" s="120" t="s">
        <v>66</v>
      </c>
      <c r="D26" s="10" t="s">
        <v>67</v>
      </c>
      <c r="E26" s="360">
        <f>_xlfn.XLOOKUP(D26,'Fin. Data'!A:A,'Fin. Data'!B:B,,0)</f>
        <v>0.14096238952843179</v>
      </c>
      <c r="F26" s="989" t="s">
        <v>68</v>
      </c>
      <c r="G26" s="990"/>
      <c r="H26" s="101" t="s">
        <v>40</v>
      </c>
      <c r="I26" s="993" t="s">
        <v>69</v>
      </c>
      <c r="J26" s="993"/>
      <c r="K26" s="67">
        <f ca="1">1000000*K25/C21</f>
        <v>1.5043639235045261</v>
      </c>
      <c r="L26" s="10" t="s">
        <v>70</v>
      </c>
      <c r="M26" s="451">
        <f ca="1">IFERROR(C22/K30,"")</f>
        <v>67.258546489215234</v>
      </c>
    </row>
    <row r="27" spans="2:14" ht="12.75" customHeight="1">
      <c r="B27" s="457" t="s">
        <v>71</v>
      </c>
      <c r="C27" s="121" t="s">
        <v>66</v>
      </c>
      <c r="D27" s="10" t="s">
        <v>72</v>
      </c>
      <c r="E27" s="118">
        <f>AVERAGE(_xlfn.XLOOKUP("EBITDA Margin",'Fin. Data'!A:A,'Fin. Data'!B:D,,0))</f>
        <v>0.25184651079061499</v>
      </c>
      <c r="F27" s="987" t="str">
        <f>Segments!C16</f>
        <v>Products</v>
      </c>
      <c r="G27" s="988"/>
      <c r="H27" s="15">
        <f>Segments!B16</f>
        <v>0.38269695505074913</v>
      </c>
      <c r="I27" s="993" t="s">
        <v>73</v>
      </c>
      <c r="J27" s="993"/>
      <c r="K27" s="68">
        <f>K25/E20</f>
        <v>0.15385129624430094</v>
      </c>
      <c r="L27" s="10" t="s">
        <v>74</v>
      </c>
      <c r="M27" s="450">
        <f ca="1">IFERROR(C25/E20,"")</f>
        <v>7.7581791237147861</v>
      </c>
    </row>
    <row r="28" spans="2:14" ht="12.75" customHeight="1">
      <c r="B28" s="457" t="s">
        <v>75</v>
      </c>
      <c r="C28" s="16">
        <v>1.8100000000000002E-2</v>
      </c>
      <c r="D28" s="10" t="s">
        <v>76</v>
      </c>
      <c r="E28" s="118">
        <f>AVERAGE(_xlfn.XLOOKUP("Operating Margin",'Fin. Data'!A:A,'Fin. Data'!B:D,,0))</f>
        <v>0.21623166920250178</v>
      </c>
      <c r="F28" s="987" t="str">
        <f>Segments!C18</f>
        <v>Technical support and other</v>
      </c>
      <c r="G28" s="988"/>
      <c r="H28" s="15">
        <f>Segments!B18</f>
        <v>0.27356210729821168</v>
      </c>
      <c r="I28" s="993" t="s">
        <v>77</v>
      </c>
      <c r="J28" s="993"/>
      <c r="K28" s="68">
        <f>K25/(E20-(E21-C23))</f>
        <v>0.99181175659369092</v>
      </c>
      <c r="L28" s="10" t="s">
        <v>78</v>
      </c>
      <c r="M28" s="450">
        <f ca="1">IFERROR(C25/K29,"")</f>
        <v>52.701173854863612</v>
      </c>
    </row>
    <row r="29" spans="2:14" ht="15.95">
      <c r="B29" s="1022" t="s">
        <v>79</v>
      </c>
      <c r="C29" s="1023"/>
      <c r="D29" s="10" t="s">
        <v>80</v>
      </c>
      <c r="E29" s="118">
        <f>AVERAGE(_xlfn.XLOOKUP("Net Income Margin",'Fin. Data'!A:A,'Fin. Data'!B:D,,0))</f>
        <v>0.19936228416777471</v>
      </c>
      <c r="F29" s="987" t="str">
        <f>Segments!C17</f>
        <v>Security subscription</v>
      </c>
      <c r="G29" s="988"/>
      <c r="H29" s="15">
        <f>Segments!B17</f>
        <v>0.34374093765103914</v>
      </c>
      <c r="I29" s="993" t="s">
        <v>81</v>
      </c>
      <c r="J29" s="993"/>
      <c r="K29" s="117">
        <f>AVERAGE(_xlfn.XLOOKUP("EBITDA",'Fin. Data'!A:A,'Fin. Data'!B:D,,0))</f>
        <v>1101.0333333333333</v>
      </c>
      <c r="L29" s="10" t="s">
        <v>82</v>
      </c>
      <c r="M29" s="451">
        <f ca="1">IFERROR(C22/K31,"")</f>
        <v>67.258546489215234</v>
      </c>
    </row>
    <row r="30" spans="2:14" ht="12.75" customHeight="1">
      <c r="B30" s="7" t="s">
        <v>83</v>
      </c>
      <c r="C30" s="912"/>
      <c r="D30" s="633"/>
      <c r="E30" s="126"/>
      <c r="F30" s="1046"/>
      <c r="G30" s="1047"/>
      <c r="H30" s="126"/>
      <c r="I30" s="993" t="s">
        <v>84</v>
      </c>
      <c r="J30" s="993"/>
      <c r="K30" s="117">
        <f>AVERAGE(_xlfn.XLOOKUP("Net Income",'Fin. Data'!A:A,'Fin. Data'!B:D,,0))</f>
        <v>871.6</v>
      </c>
      <c r="L30" s="10" t="s">
        <v>85</v>
      </c>
      <c r="M30" s="449" t="s">
        <v>66</v>
      </c>
    </row>
    <row r="31" spans="2:14" ht="12.75" customHeight="1">
      <c r="B31" s="7" t="s">
        <v>86</v>
      </c>
      <c r="C31" s="912"/>
      <c r="D31" s="10" t="s">
        <v>87</v>
      </c>
      <c r="E31" s="497">
        <f>-_xlfn.XLOOKUP("Net Financial Cost",'Fin. Data'!A:A,'Fin. Data'!B:B,,0)/AVERAGE(_xlfn.XLOOKUP("Net Debt",'Fin. Data'!A:A,'Fin. Data'!B:D,,0))</f>
        <v>0.11770018061408787</v>
      </c>
      <c r="F31" s="1046"/>
      <c r="G31" s="1047"/>
      <c r="H31" s="126"/>
      <c r="I31" s="993" t="s">
        <v>88</v>
      </c>
      <c r="J31" s="993"/>
      <c r="K31" s="117">
        <f>AVERAGE(_xlfn.XLOOKUP("Net Income",'Fin. Data'!A:A,'Fin. Data'!B:D,,0))</f>
        <v>871.6</v>
      </c>
      <c r="L31" s="10" t="s">
        <v>89</v>
      </c>
      <c r="M31" s="448">
        <f ca="1">-IFERROR(SUM(E52:E54)/(3*C22),"")</f>
        <v>1.8976201991083484E-2</v>
      </c>
    </row>
    <row r="32" spans="2:14" ht="12.6" customHeight="1">
      <c r="B32" s="7" t="s">
        <v>90</v>
      </c>
      <c r="C32" s="912"/>
      <c r="D32" s="123"/>
      <c r="E32" s="125"/>
      <c r="F32" s="1046"/>
      <c r="G32" s="1047"/>
      <c r="H32" s="126"/>
      <c r="I32" s="123"/>
      <c r="J32" s="124"/>
      <c r="K32" s="124"/>
      <c r="L32" s="10" t="s">
        <v>91</v>
      </c>
      <c r="M32" s="447">
        <f ca="1">-IFERROR(L53/C22,"")</f>
        <v>0</v>
      </c>
    </row>
    <row r="33" spans="1:19" ht="18.95" thickBot="1">
      <c r="B33" s="1095" t="s">
        <v>92</v>
      </c>
      <c r="C33" s="1096"/>
      <c r="D33" s="1096"/>
      <c r="E33" s="1096"/>
      <c r="F33" s="1096"/>
      <c r="G33" s="1096"/>
      <c r="H33" s="1096"/>
      <c r="I33" s="1096"/>
      <c r="J33" s="1096"/>
      <c r="K33" s="1096"/>
      <c r="L33" s="1096"/>
      <c r="M33" s="1097"/>
    </row>
    <row r="34" spans="1:19" ht="17.100000000000001" thickBot="1">
      <c r="B34" s="1051" t="s">
        <v>93</v>
      </c>
      <c r="C34" s="1052"/>
      <c r="D34" s="1052"/>
      <c r="E34" s="1052"/>
      <c r="F34" s="1052"/>
      <c r="G34" s="1053"/>
      <c r="H34" s="501" t="s">
        <v>94</v>
      </c>
      <c r="I34" s="1048" t="s">
        <v>95</v>
      </c>
      <c r="J34" s="1049"/>
      <c r="K34" s="1049"/>
      <c r="L34" s="1049"/>
      <c r="M34" s="1050"/>
      <c r="N34" s="9"/>
    </row>
    <row r="35" spans="1:19" ht="13.35" customHeight="1" thickBot="1">
      <c r="A35" s="9"/>
      <c r="B35" s="502" t="s">
        <v>96</v>
      </c>
      <c r="C35" s="1054" t="s">
        <v>97</v>
      </c>
      <c r="D35" s="1055"/>
      <c r="E35" s="1055"/>
      <c r="F35" s="1055"/>
      <c r="G35" s="1056"/>
      <c r="H35" s="1079" t="s">
        <v>98</v>
      </c>
      <c r="I35" s="1084" t="s">
        <v>99</v>
      </c>
      <c r="J35" s="1085"/>
      <c r="K35" s="1085"/>
      <c r="L35" s="1085"/>
      <c r="M35" s="1086"/>
    </row>
    <row r="36" spans="1:19" ht="38.1" customHeight="1">
      <c r="A36" s="9"/>
      <c r="B36" s="1067" t="s">
        <v>100</v>
      </c>
      <c r="C36" s="1070" t="s">
        <v>101</v>
      </c>
      <c r="D36" s="1071"/>
      <c r="E36" s="1071"/>
      <c r="F36" s="1071"/>
      <c r="G36" s="1072"/>
      <c r="H36" s="1079"/>
      <c r="I36" s="1087"/>
      <c r="J36" s="1088"/>
      <c r="K36" s="1088"/>
      <c r="L36" s="1088"/>
      <c r="M36" s="1089"/>
    </row>
    <row r="37" spans="1:19" ht="44.1" customHeight="1">
      <c r="A37" s="9"/>
      <c r="B37" s="1068"/>
      <c r="C37" s="1073"/>
      <c r="D37" s="1074"/>
      <c r="E37" s="1074"/>
      <c r="F37" s="1074"/>
      <c r="G37" s="1075"/>
      <c r="H37" s="1079"/>
      <c r="I37" s="1087"/>
      <c r="J37" s="1088"/>
      <c r="K37" s="1088"/>
      <c r="L37" s="1088"/>
      <c r="M37" s="1089"/>
    </row>
    <row r="38" spans="1:19" ht="27" customHeight="1" thickBot="1">
      <c r="B38" s="1069"/>
      <c r="C38" s="1076"/>
      <c r="D38" s="1077"/>
      <c r="E38" s="1077"/>
      <c r="F38" s="1077"/>
      <c r="G38" s="1078"/>
      <c r="H38" s="1080"/>
      <c r="I38" s="1090"/>
      <c r="J38" s="1091"/>
      <c r="K38" s="1091"/>
      <c r="L38" s="1091"/>
      <c r="M38" s="1092"/>
      <c r="P38" s="9"/>
    </row>
    <row r="39" spans="1:19" ht="17.100000000000001" thickBot="1">
      <c r="B39" s="1051" t="s">
        <v>102</v>
      </c>
      <c r="C39" s="1052"/>
      <c r="D39" s="1052"/>
      <c r="E39" s="1052"/>
      <c r="F39" s="1052"/>
      <c r="G39" s="1053"/>
      <c r="H39" s="503" t="s">
        <v>103</v>
      </c>
      <c r="I39" s="1093" t="s">
        <v>104</v>
      </c>
      <c r="J39" s="1093"/>
      <c r="K39" s="1093"/>
      <c r="L39" s="1093"/>
      <c r="M39" s="1094"/>
    </row>
    <row r="40" spans="1:19" ht="13.35" customHeight="1" thickBot="1">
      <c r="B40" s="504" t="s">
        <v>105</v>
      </c>
      <c r="C40" s="1054" t="s">
        <v>97</v>
      </c>
      <c r="D40" s="1055"/>
      <c r="E40" s="1055"/>
      <c r="F40" s="1055"/>
      <c r="G40" s="1056"/>
      <c r="H40" s="1109">
        <f ca="1">DCF!D76</f>
        <v>35.199604103275057</v>
      </c>
      <c r="I40" s="1057" t="s">
        <v>106</v>
      </c>
      <c r="J40" s="1059">
        <f>DCF!F50</f>
        <v>0.112543</v>
      </c>
      <c r="K40" s="1060"/>
      <c r="L40" s="1063" t="s">
        <v>107</v>
      </c>
      <c r="M40" s="1065" t="e">
        <f ca="1">SARD!AJ14</f>
        <v>#NUM!</v>
      </c>
    </row>
    <row r="41" spans="1:19" ht="42" customHeight="1" thickBot="1">
      <c r="B41" s="827" t="s">
        <v>108</v>
      </c>
      <c r="C41" s="1081" t="s">
        <v>109</v>
      </c>
      <c r="D41" s="1082"/>
      <c r="E41" s="1082"/>
      <c r="F41" s="1082"/>
      <c r="G41" s="1083"/>
      <c r="H41" s="1110"/>
      <c r="I41" s="1058"/>
      <c r="J41" s="1061"/>
      <c r="K41" s="1062"/>
      <c r="L41" s="1064"/>
      <c r="M41" s="1066"/>
    </row>
    <row r="42" spans="1:19" ht="42" customHeight="1" thickBot="1">
      <c r="B42" s="828" t="s">
        <v>110</v>
      </c>
      <c r="C42" s="1081" t="s">
        <v>111</v>
      </c>
      <c r="D42" s="1082"/>
      <c r="E42" s="1082"/>
      <c r="F42" s="1082"/>
      <c r="G42" s="1083"/>
      <c r="H42" s="1110"/>
      <c r="I42" s="1057" t="s">
        <v>112</v>
      </c>
      <c r="J42" s="1100">
        <f ca="1">DCF!D75</f>
        <v>-0.54071497777563859</v>
      </c>
      <c r="K42" s="1101"/>
      <c r="L42" s="1102" t="s">
        <v>113</v>
      </c>
      <c r="M42" s="1104" t="e">
        <f ca="1">SARD!AM14</f>
        <v>#NUM!</v>
      </c>
    </row>
    <row r="43" spans="1:19" ht="32.1" customHeight="1" thickBot="1">
      <c r="B43" s="829" t="s">
        <v>114</v>
      </c>
      <c r="C43" s="1081" t="s">
        <v>115</v>
      </c>
      <c r="D43" s="1098"/>
      <c r="E43" s="1098"/>
      <c r="F43" s="1098"/>
      <c r="G43" s="1099"/>
      <c r="H43" s="1111"/>
      <c r="I43" s="1058"/>
      <c r="J43" s="1061"/>
      <c r="K43" s="1062"/>
      <c r="L43" s="1103"/>
      <c r="M43" s="1066"/>
    </row>
    <row r="44" spans="1:19" ht="18">
      <c r="B44" s="1115" t="s">
        <v>116</v>
      </c>
      <c r="C44" s="1116"/>
      <c r="D44" s="1116"/>
      <c r="E44" s="1116"/>
      <c r="F44" s="1116"/>
      <c r="G44" s="1116"/>
      <c r="H44" s="1116"/>
      <c r="I44" s="1116"/>
      <c r="J44" s="1116"/>
      <c r="K44" s="1116"/>
      <c r="L44" s="1116"/>
      <c r="M44" s="1117"/>
    </row>
    <row r="45" spans="1:19">
      <c r="B45" s="634" t="s">
        <v>117</v>
      </c>
      <c r="C45" s="108" t="s">
        <v>118</v>
      </c>
      <c r="D45" s="108" t="s">
        <v>119</v>
      </c>
      <c r="E45" s="130" t="s">
        <v>120</v>
      </c>
      <c r="F45" s="108" t="s">
        <v>121</v>
      </c>
      <c r="G45" s="108" t="s">
        <v>67</v>
      </c>
      <c r="H45" s="129" t="s">
        <v>54</v>
      </c>
      <c r="I45" s="129" t="s">
        <v>122</v>
      </c>
      <c r="J45" s="976" t="s">
        <v>123</v>
      </c>
      <c r="K45" s="976"/>
      <c r="L45" s="976"/>
      <c r="M45" s="1114"/>
    </row>
    <row r="46" spans="1:19">
      <c r="B46" s="635">
        <f t="shared" ref="B46:B52" si="0">B47-1</f>
        <v>2015</v>
      </c>
      <c r="C46" s="128" cm="1">
        <f t="array" ref="C46:C54">_xlfn.SORTBY(TRANSPOSE(_xlfn.XLOOKUP(C$45,'Fin. Data'!$A:$A,'Fin. Data'!$B:$J,,0)),$B$46:$B$54,-1)</f>
        <v>1009.3</v>
      </c>
      <c r="D46" s="103" cm="1">
        <f t="array" ref="D46:D54">_xlfn.SORTBY(TRANSPOSE(_xlfn.XLOOKUP(D$45,'Fin. Data'!$A:$A,'Fin. Data'!$B:$J,,0)),$B$46:$B$54,-1)</f>
        <v>1.4762706826513426E-2</v>
      </c>
      <c r="E46" s="128" cm="1">
        <f t="array" ref="E46:E54">_xlfn.SORTBY(TRANSPOSE(_xlfn.XLOOKUP(E$45,'Fin. Data'!$A:$A,'Fin. Data'!$B:$J,,0)),$B$46:$B$54,-1)</f>
        <v>-60</v>
      </c>
      <c r="F46" s="127">
        <f>Inputs!K77</f>
        <v>167.29999999999998</v>
      </c>
      <c r="G46" s="103" cm="1">
        <f t="array" ref="G46:G54">_xlfn.SORTBY(TRANSPOSE(_xlfn.XLOOKUP(G$45,'Fin. Data'!$A:$A,'Fin. Data'!$B:$J,,0)),$B$46:$B$54,-1)</f>
        <v>0</v>
      </c>
      <c r="H46" s="128" cm="1">
        <f t="array" ref="H46:H54">_xlfn.SORTBY(TRANSPOSE(_xlfn.XLOOKUP(H$45,'Fin. Data'!$A:$A,'Fin. Data'!$B:$J,,0)),$B$46:$B$54,-1)</f>
        <v>31.6</v>
      </c>
      <c r="I46" s="128" cm="1">
        <f t="array" ref="I46:I54">_xlfn.SORTBY(TRANSPOSE(_xlfn.XLOOKUP(I$45,'Fin. Data'!$A:$A,'Fin. Data'!$B:$J,,0)),$B$46:$B$54,-1)</f>
        <v>-1</v>
      </c>
      <c r="J46" s="383"/>
      <c r="K46" s="123"/>
      <c r="L46" s="104">
        <f>J20</f>
        <v>2023</v>
      </c>
      <c r="M46" s="385">
        <f>L46-1</f>
        <v>2022</v>
      </c>
    </row>
    <row r="47" spans="1:19">
      <c r="B47" s="635">
        <f t="shared" si="0"/>
        <v>2016</v>
      </c>
      <c r="C47" s="128">
        <v>1275.4000000000001</v>
      </c>
      <c r="D47" s="102">
        <v>3.363650619413517E-2</v>
      </c>
      <c r="E47" s="128">
        <v>-110.8</v>
      </c>
      <c r="F47" s="127">
        <f>Inputs!J77</f>
        <v>259.89999999999998</v>
      </c>
      <c r="G47" s="103">
        <v>0</v>
      </c>
      <c r="H47" s="128">
        <v>48.5</v>
      </c>
      <c r="I47" s="128">
        <v>-74.100000000000009</v>
      </c>
      <c r="J47" s="1107" t="s">
        <v>63</v>
      </c>
      <c r="K47" s="1108"/>
      <c r="L47" s="51">
        <f>_xlfn.XLOOKUP($J47,'Fin. Data'!$A:$A,'Fin. Data'!B:B,,0)</f>
        <v>1150.7</v>
      </c>
      <c r="M47" s="446">
        <f>_xlfn.XLOOKUP($J47,'Fin. Data'!$A:$A,'Fin. Data'!C:C,,0)</f>
        <v>857.3</v>
      </c>
      <c r="N47" s="19">
        <f t="shared" ref="N47:N53" si="1">(C47/C46)-1</f>
        <v>0.26364807292182713</v>
      </c>
      <c r="O47" s="19">
        <f t="shared" ref="O47:O53" si="2">(D47/D46)-1</f>
        <v>1.2784782350161494</v>
      </c>
      <c r="P47" s="18"/>
      <c r="Q47" s="17"/>
      <c r="R47" s="17"/>
      <c r="S47" s="17"/>
    </row>
    <row r="48" spans="1:19">
      <c r="B48" s="635">
        <f t="shared" si="0"/>
        <v>2017</v>
      </c>
      <c r="C48" s="128">
        <v>1494.9</v>
      </c>
      <c r="D48" s="102">
        <v>7.344972907886814E-2</v>
      </c>
      <c r="E48" s="128">
        <v>-446.3</v>
      </c>
      <c r="F48" s="127">
        <f>Inputs!I77</f>
        <v>165.70000000000002</v>
      </c>
      <c r="G48" s="103">
        <v>0</v>
      </c>
      <c r="H48" s="128">
        <v>55.5</v>
      </c>
      <c r="I48" s="128">
        <v>-76.800000000000011</v>
      </c>
      <c r="J48" s="1107" t="s">
        <v>124</v>
      </c>
      <c r="K48" s="1108"/>
      <c r="L48" s="51">
        <f>_xlfn.XLOOKUP($J48,'Fin. Data'!$A:$A,'Fin. Data'!B:B,,0)</f>
        <v>2271.9</v>
      </c>
      <c r="M48" s="446">
        <f>_xlfn.XLOOKUP($J48,'Fin. Data'!$A:$A,'Fin. Data'!C:C,,0)</f>
        <v>1730.6</v>
      </c>
      <c r="N48" s="19">
        <f t="shared" si="1"/>
        <v>0.17210286968794097</v>
      </c>
      <c r="O48" s="19">
        <f t="shared" si="2"/>
        <v>1.1836313395615021</v>
      </c>
      <c r="P48" s="18"/>
      <c r="Q48" s="17">
        <f t="shared" ref="Q48:Q54" si="3">F48/F47-1</f>
        <v>-0.36244709503655237</v>
      </c>
      <c r="R48" s="17">
        <f t="shared" ref="R48:R54" si="4">H48/H47-1</f>
        <v>0.14432989690721643</v>
      </c>
      <c r="S48" s="17">
        <f t="shared" ref="S48:S53" si="5">I48/I47-1</f>
        <v>3.6437246963562764E-2</v>
      </c>
    </row>
    <row r="49" spans="2:19">
      <c r="B49" s="635">
        <f t="shared" si="0"/>
        <v>2018</v>
      </c>
      <c r="C49" s="128">
        <v>1801.2</v>
      </c>
      <c r="D49" s="102">
        <v>0.12824783477681545</v>
      </c>
      <c r="E49" s="128">
        <v>-211.8</v>
      </c>
      <c r="F49" s="127">
        <f>Inputs!H77</f>
        <v>102</v>
      </c>
      <c r="G49" s="103">
        <v>0</v>
      </c>
      <c r="H49" s="128">
        <v>55.7</v>
      </c>
      <c r="I49" s="128">
        <v>-134.9</v>
      </c>
      <c r="J49" s="1107" t="s">
        <v>125</v>
      </c>
      <c r="K49" s="1108"/>
      <c r="L49" s="51">
        <f>_xlfn.XLOOKUP($J49,'Fin. Data'!$A:$A,'Fin. Data'!B:B,,0)</f>
        <v>-360.3</v>
      </c>
      <c r="M49" s="446">
        <f>_xlfn.XLOOKUP($J49,'Fin. Data'!$A:$A,'Fin. Data'!C:C,,0)</f>
        <v>763.9</v>
      </c>
      <c r="N49" s="19">
        <f t="shared" si="1"/>
        <v>0.20489664860525791</v>
      </c>
      <c r="O49" s="19">
        <f t="shared" si="2"/>
        <v>0.74606273413352864</v>
      </c>
      <c r="P49" s="18"/>
      <c r="Q49" s="17">
        <f t="shared" si="3"/>
        <v>-0.38442969221484613</v>
      </c>
      <c r="R49" s="17">
        <f t="shared" si="4"/>
        <v>3.6036036036035668E-3</v>
      </c>
      <c r="S49" s="17">
        <f t="shared" si="5"/>
        <v>0.75651041666666652</v>
      </c>
    </row>
    <row r="50" spans="2:19">
      <c r="B50" s="635">
        <f t="shared" si="0"/>
        <v>2019</v>
      </c>
      <c r="C50" s="128">
        <v>2163</v>
      </c>
      <c r="D50" s="102">
        <v>0.16051779935275082</v>
      </c>
      <c r="E50" s="128">
        <v>-145.1</v>
      </c>
      <c r="F50" s="127">
        <f>Inputs!G77</f>
        <v>301.39999999999998</v>
      </c>
      <c r="G50" s="103">
        <v>1.1864624887401878E-2</v>
      </c>
      <c r="H50" s="128">
        <v>61.6</v>
      </c>
      <c r="I50" s="128">
        <v>-502.3</v>
      </c>
      <c r="J50" s="1105" t="s">
        <v>126</v>
      </c>
      <c r="K50" s="1106"/>
      <c r="L50" s="51">
        <f>_xlfn.XLOOKUP($J50,'Fin. Data'!$A:$A,'Fin. Data'!B:B,,0)</f>
        <v>-208.1</v>
      </c>
      <c r="M50" s="446">
        <f>_xlfn.XLOOKUP($J50,'Fin. Data'!$A:$A,'Fin. Data'!C:C,,0)</f>
        <v>-281.2</v>
      </c>
      <c r="N50" s="19" t="s">
        <v>127</v>
      </c>
      <c r="O50" s="19">
        <f t="shared" si="2"/>
        <v>0.25162190560248821</v>
      </c>
      <c r="P50" s="18"/>
      <c r="Q50" s="17">
        <f t="shared" si="3"/>
        <v>1.9549019607843134</v>
      </c>
      <c r="R50" s="17">
        <f t="shared" si="4"/>
        <v>0.10592459605026927</v>
      </c>
      <c r="S50" s="17">
        <f t="shared" si="5"/>
        <v>2.7234988880652335</v>
      </c>
    </row>
    <row r="51" spans="2:19">
      <c r="B51" s="635">
        <f t="shared" si="0"/>
        <v>2020</v>
      </c>
      <c r="C51" s="128">
        <v>2594.4</v>
      </c>
      <c r="D51" s="102">
        <v>0.20332254085723095</v>
      </c>
      <c r="E51" s="128">
        <v>-1080.0999999999999</v>
      </c>
      <c r="F51" s="127">
        <f>Inputs!F77</f>
        <v>110.1</v>
      </c>
      <c r="G51" s="103">
        <v>1.3128940536531093E-2</v>
      </c>
      <c r="H51" s="128">
        <v>68.8</v>
      </c>
      <c r="I51" s="128">
        <v>-72.800000000000011</v>
      </c>
      <c r="J51" s="1105" t="s">
        <v>128</v>
      </c>
      <c r="K51" s="1106"/>
      <c r="L51" s="51">
        <f>_xlfn.XLOOKUP($J51,'Fin. Data'!$A:$A,'Fin. Data'!B:B,,0)</f>
        <v>152.19999999999999</v>
      </c>
      <c r="M51" s="446">
        <f>_xlfn.XLOOKUP($J51,'Fin. Data'!$A:$A,'Fin. Data'!C:C,,0)</f>
        <v>1045.0999999999999</v>
      </c>
      <c r="N51" s="19">
        <f t="shared" si="1"/>
        <v>0.19944521497919565</v>
      </c>
      <c r="O51" s="19">
        <f t="shared" si="2"/>
        <v>0.26666663558234593</v>
      </c>
      <c r="P51" s="18"/>
      <c r="Q51" s="17">
        <f t="shared" si="3"/>
        <v>-0.63470471134704709</v>
      </c>
      <c r="R51" s="17">
        <f t="shared" si="4"/>
        <v>0.11688311688311681</v>
      </c>
      <c r="S51" s="17">
        <f t="shared" si="5"/>
        <v>-0.8550666932112283</v>
      </c>
    </row>
    <row r="52" spans="2:19">
      <c r="B52" s="635">
        <f t="shared" si="0"/>
        <v>2021</v>
      </c>
      <c r="C52" s="128">
        <v>3342.2</v>
      </c>
      <c r="D52" s="102">
        <v>0.19460235772844234</v>
      </c>
      <c r="E52" s="128">
        <v>-741.8</v>
      </c>
      <c r="F52" s="127">
        <f>Inputs!E77</f>
        <v>-160.69999999999982</v>
      </c>
      <c r="G52" s="103">
        <v>0.17827034515382401</v>
      </c>
      <c r="H52" s="128">
        <v>84.4</v>
      </c>
      <c r="I52" s="128">
        <v>-1325.1</v>
      </c>
      <c r="J52" s="1107" t="s">
        <v>129</v>
      </c>
      <c r="K52" s="1108"/>
      <c r="L52" s="51">
        <f>_xlfn.XLOOKUP($J52,'Fin. Data'!$A:$A,'Fin. Data'!B:B,,0)</f>
        <v>-687.7</v>
      </c>
      <c r="M52" s="446">
        <f>_xlfn.XLOOKUP($J52,'Fin. Data'!$A:$A,'Fin. Data'!C:C,,0)</f>
        <v>-2130.3000000000002</v>
      </c>
      <c r="N52" s="19">
        <f t="shared" si="1"/>
        <v>0.28823620104841186</v>
      </c>
      <c r="O52" s="19">
        <f t="shared" si="2"/>
        <v>-4.2888422956074312E-2</v>
      </c>
      <c r="P52" s="18"/>
      <c r="Q52" s="17">
        <f t="shared" si="3"/>
        <v>-2.4595821980018151</v>
      </c>
      <c r="R52" s="17">
        <f t="shared" si="4"/>
        <v>0.22674418604651181</v>
      </c>
      <c r="S52" s="17">
        <f t="shared" si="5"/>
        <v>17.201923076923073</v>
      </c>
    </row>
    <row r="53" spans="2:19">
      <c r="B53" s="635">
        <f>B54-1</f>
        <v>2022</v>
      </c>
      <c r="C53" s="128">
        <v>4417.3999999999996</v>
      </c>
      <c r="D53" s="102">
        <v>0.21949563091411239</v>
      </c>
      <c r="E53" s="128">
        <v>-1991.2</v>
      </c>
      <c r="F53" s="127">
        <f>Inputs!D$77</f>
        <v>257.30000000000013</v>
      </c>
      <c r="G53" s="103">
        <v>0.17438985228002568</v>
      </c>
      <c r="H53" s="128">
        <v>104.3</v>
      </c>
      <c r="I53" s="128">
        <v>763.89999999999986</v>
      </c>
      <c r="J53" s="1105" t="s">
        <v>130</v>
      </c>
      <c r="K53" s="1106"/>
      <c r="L53" s="51">
        <f>_xlfn.XLOOKUP($J53,'Fin. Data'!$A:$A,'Fin. Data'!B:B,,0)</f>
        <v>0</v>
      </c>
      <c r="M53" s="446">
        <f>_xlfn.XLOOKUP($J53,'Fin. Data'!$A:$A,'Fin. Data'!C:C,,0)</f>
        <v>0</v>
      </c>
      <c r="N53" s="19">
        <f t="shared" si="1"/>
        <v>0.32170426665070906</v>
      </c>
      <c r="O53" s="19">
        <f t="shared" si="2"/>
        <v>0.12791866180988087</v>
      </c>
      <c r="P53" s="18"/>
      <c r="Q53" s="17">
        <f t="shared" si="3"/>
        <v>-2.6011200995644082</v>
      </c>
      <c r="R53" s="17">
        <f t="shared" si="4"/>
        <v>0.23578199052132698</v>
      </c>
      <c r="S53" s="17">
        <f t="shared" si="5"/>
        <v>-1.5764847936004829</v>
      </c>
    </row>
    <row r="54" spans="2:19">
      <c r="B54" s="635">
        <f>J20</f>
        <v>2023</v>
      </c>
      <c r="C54" s="128">
        <v>5172.7</v>
      </c>
      <c r="D54" s="102">
        <v>0.23459701896495061</v>
      </c>
      <c r="E54" s="128">
        <v>-604.29999999999995</v>
      </c>
      <c r="F54" s="127">
        <f>Inputs!C77</f>
        <v>363.79999999999984</v>
      </c>
      <c r="G54" s="103">
        <v>0.14096238952843179</v>
      </c>
      <c r="H54" s="128">
        <v>110.5</v>
      </c>
      <c r="I54" s="128">
        <v>-55.900000000000006</v>
      </c>
      <c r="J54" s="1105" t="s">
        <v>131</v>
      </c>
      <c r="K54" s="1106"/>
      <c r="L54" s="51">
        <f>_xlfn.XLOOKUP($J54,'Fin. Data'!$A:$A,'Fin. Data'!B:B,,0)</f>
        <v>-604.29999999999995</v>
      </c>
      <c r="M54" s="446">
        <f>_xlfn.XLOOKUP($J54,'Fin. Data'!$A:$A,'Fin. Data'!C:C,,0)</f>
        <v>-1991.2</v>
      </c>
      <c r="N54" s="19">
        <f>(C54/C53)-1</f>
        <v>0.1709829311359623</v>
      </c>
      <c r="O54" s="19">
        <f>(D54/D53)-1</f>
        <v>6.8800403852900871E-2</v>
      </c>
      <c r="P54" s="18"/>
      <c r="Q54" s="17">
        <f t="shared" si="3"/>
        <v>0.41391371939370258</v>
      </c>
      <c r="R54" s="17">
        <f t="shared" si="4"/>
        <v>5.9443911792905091E-2</v>
      </c>
      <c r="S54" s="17">
        <f>I54/I53-1</f>
        <v>-1.0731771174237466</v>
      </c>
    </row>
    <row r="55" spans="2:19">
      <c r="B55" s="636" t="s">
        <v>132</v>
      </c>
      <c r="C55" s="105">
        <f>IFERROR((C54/C46)^(1/8)-1,"")</f>
        <v>0.22662589088172247</v>
      </c>
      <c r="D55" s="105">
        <f>IFERROR((D54/D46)^(1/8)-1,"")</f>
        <v>0.41300780825012717</v>
      </c>
      <c r="E55" s="122"/>
      <c r="F55" s="105">
        <f>IFERROR((F54/F46)^(1/8)-1,"")</f>
        <v>0.10197272201442598</v>
      </c>
      <c r="G55" s="122"/>
      <c r="H55" s="105">
        <f>IFERROR((H54/H46)^(1/8)-1,"")</f>
        <v>0.16939006398507606</v>
      </c>
      <c r="I55" s="122"/>
      <c r="J55" s="1107" t="s">
        <v>133</v>
      </c>
      <c r="K55" s="1108"/>
      <c r="L55" s="51">
        <f>_xlfn.XLOOKUP($J55,'Fin. Data'!$A:$A,'Fin. Data'!B:B,,0)</f>
        <v>-0.7</v>
      </c>
      <c r="M55" s="446">
        <f>_xlfn.XLOOKUP($J55,'Fin. Data'!$A:$A,'Fin. Data'!C:C,,0)</f>
        <v>-0.4</v>
      </c>
      <c r="N55" s="19">
        <f>(C55/C54)-1</f>
        <v>-0.99995618808535547</v>
      </c>
      <c r="O55" s="19">
        <f>(D55/D54)-1</f>
        <v>0.76049896146306772</v>
      </c>
      <c r="P55" s="18"/>
      <c r="Q55" s="17"/>
      <c r="R55" s="17"/>
      <c r="S55" s="17"/>
    </row>
    <row r="56" spans="2:19">
      <c r="B56" s="636" t="s">
        <v>134</v>
      </c>
      <c r="C56" s="105">
        <f>IFERROR(AVERAGE(N47:N54),"")</f>
        <v>0.23157374357561497</v>
      </c>
      <c r="D56" s="105">
        <f>IFERROR(AVERAGE(O47:O54),"")</f>
        <v>0.48503643657534024</v>
      </c>
      <c r="E56" s="122"/>
      <c r="F56" s="105">
        <f>IFERROR(AVERAGE(Q47:Q54),"")</f>
        <v>-0.58192401656952186</v>
      </c>
      <c r="G56" s="122"/>
      <c r="H56" s="105">
        <f>IFERROR(AVERAGE(S47:S54),"")</f>
        <v>2.4590915749118687</v>
      </c>
      <c r="I56" s="122"/>
      <c r="J56" s="1112" t="s">
        <v>135</v>
      </c>
      <c r="K56" s="1113"/>
      <c r="L56" s="131">
        <f>L48-L49+L52-L53-L54</f>
        <v>2548.8000000000002</v>
      </c>
      <c r="M56" s="386">
        <f>M48-M49+M52-M53-M54</f>
        <v>827.59999999999968</v>
      </c>
    </row>
    <row r="57" spans="2:19">
      <c r="B57" s="636" t="s">
        <v>136</v>
      </c>
      <c r="C57" s="105">
        <f>IFERROR(STDEV(C47:C54)/AVERAGE(C47:C54),"")</f>
        <v>0.508417703567693</v>
      </c>
      <c r="D57" s="105">
        <f>IFERROR(STDEV(D46:D54)/AVERAGE(D46:D54),"")</f>
        <v>0.58694461964401945</v>
      </c>
      <c r="E57" s="122"/>
      <c r="F57" s="105">
        <f>IFERROR(STDEV(F46:F54)/AVERAGE(F46:F54),"")</f>
        <v>0.88051528234890886</v>
      </c>
      <c r="G57" s="122"/>
      <c r="H57" s="105">
        <f>IFERROR(STDEV(H46:H54)/AVERAGE(H46:H54),"")</f>
        <v>0.37793175286564712</v>
      </c>
      <c r="I57" s="122"/>
      <c r="J57" s="954" t="s">
        <v>137</v>
      </c>
      <c r="K57" s="955"/>
      <c r="L57" s="381">
        <f>IFERROR(SUM(I51:I54)/(C54-C50),"")</f>
        <v>-0.22922550420307672</v>
      </c>
      <c r="M57" s="445">
        <f>IFERROR((SUM(I51:I54)-SUM(H51:H54))/(C54-C50),"")</f>
        <v>-0.35149682692627177</v>
      </c>
    </row>
    <row r="58" spans="2:19">
      <c r="B58" s="636" t="s">
        <v>138</v>
      </c>
      <c r="C58" s="105">
        <f>IFERROR(C54/C53-1,"")</f>
        <v>0.1709829311359623</v>
      </c>
      <c r="D58" s="105">
        <f>IFERROR(D54/D53-1,"")</f>
        <v>6.8800403852900871E-2</v>
      </c>
      <c r="E58" s="122"/>
      <c r="F58" s="105">
        <f>IFERROR(1-(F54/F53),"")</f>
        <v>-0.41391371939370258</v>
      </c>
      <c r="G58" s="122"/>
      <c r="H58" s="105">
        <f>IFERROR(1-(H54/H53),"")</f>
        <v>-5.9443911792905091E-2</v>
      </c>
      <c r="I58" s="122"/>
      <c r="J58" s="956" t="s">
        <v>139</v>
      </c>
      <c r="K58" s="957"/>
      <c r="L58" s="382">
        <f>IFERROR(L57/E27,"")</f>
        <v>-0.91017939253347302</v>
      </c>
      <c r="M58" s="387">
        <f>IFERROR(M57/E27,"")</f>
        <v>-1.395678764112424</v>
      </c>
    </row>
    <row r="59" spans="2:19" ht="18">
      <c r="B59" s="979" t="s">
        <v>140</v>
      </c>
      <c r="C59" s="980"/>
      <c r="D59" s="980"/>
      <c r="E59" s="980"/>
      <c r="F59" s="980"/>
      <c r="G59" s="980"/>
      <c r="H59" s="980"/>
      <c r="I59" s="980"/>
      <c r="J59" s="980"/>
      <c r="K59" s="980"/>
      <c r="L59" s="980"/>
      <c r="M59" s="981"/>
    </row>
    <row r="60" spans="2:19" ht="15.95">
      <c r="B60" s="958" t="s">
        <v>141</v>
      </c>
      <c r="C60" s="959"/>
      <c r="D60" s="959"/>
      <c r="E60" s="959"/>
      <c r="F60" s="959"/>
      <c r="G60" s="959"/>
      <c r="H60" s="959"/>
      <c r="I60" s="960"/>
      <c r="J60" s="977" t="s">
        <v>142</v>
      </c>
      <c r="K60" s="977"/>
      <c r="L60" s="977"/>
      <c r="M60" s="978"/>
    </row>
    <row r="61" spans="2:19">
      <c r="B61" s="975" t="s">
        <v>143</v>
      </c>
      <c r="C61" s="976"/>
      <c r="D61" s="976"/>
      <c r="E61" s="972" t="s">
        <v>144</v>
      </c>
      <c r="F61" s="973"/>
      <c r="G61" s="973"/>
      <c r="H61" s="973"/>
      <c r="I61" s="974"/>
      <c r="J61" s="976" t="s">
        <v>145</v>
      </c>
      <c r="K61" s="976"/>
      <c r="L61" s="976"/>
      <c r="M61" s="384" t="s">
        <v>146</v>
      </c>
    </row>
    <row r="62" spans="2:19" ht="15" customHeight="1">
      <c r="B62" s="1142" t="s">
        <v>147</v>
      </c>
      <c r="C62" s="1143"/>
      <c r="D62" s="1144"/>
      <c r="E62" s="1133" t="s">
        <v>148</v>
      </c>
      <c r="F62" s="1134"/>
      <c r="G62" s="1134"/>
      <c r="H62" s="1134"/>
      <c r="I62" s="1135"/>
      <c r="J62" s="970" t="s">
        <v>149</v>
      </c>
      <c r="K62" s="971"/>
      <c r="L62" s="971"/>
      <c r="M62" s="388">
        <v>9.0800000000000006E-2</v>
      </c>
      <c r="O62" s="289"/>
    </row>
    <row r="63" spans="2:19" ht="15" customHeight="1">
      <c r="B63" s="1145"/>
      <c r="C63" s="1146"/>
      <c r="D63" s="1147"/>
      <c r="E63" s="1136"/>
      <c r="F63" s="1137"/>
      <c r="G63" s="1137"/>
      <c r="H63" s="1137"/>
      <c r="I63" s="1138"/>
      <c r="J63" s="970" t="s">
        <v>150</v>
      </c>
      <c r="K63" s="971"/>
      <c r="L63" s="971"/>
      <c r="M63" s="388">
        <v>8.7999999999999995E-2</v>
      </c>
    </row>
    <row r="64" spans="2:19" ht="15" customHeight="1">
      <c r="B64" s="1145"/>
      <c r="C64" s="1146"/>
      <c r="D64" s="1147"/>
      <c r="E64" s="1136"/>
      <c r="F64" s="1137"/>
      <c r="G64" s="1137"/>
      <c r="H64" s="1137"/>
      <c r="I64" s="1138"/>
      <c r="J64" s="970" t="s">
        <v>151</v>
      </c>
      <c r="K64" s="971"/>
      <c r="L64" s="971"/>
      <c r="M64" s="388">
        <v>8.2500000000000004E-2</v>
      </c>
    </row>
    <row r="65" spans="2:13" ht="15" customHeight="1">
      <c r="B65" s="1145"/>
      <c r="C65" s="1146"/>
      <c r="D65" s="1147"/>
      <c r="E65" s="1136"/>
      <c r="F65" s="1137"/>
      <c r="G65" s="1137"/>
      <c r="H65" s="1137"/>
      <c r="I65" s="1138"/>
      <c r="J65" s="970" t="s">
        <v>152</v>
      </c>
      <c r="K65" s="971"/>
      <c r="L65" s="971"/>
      <c r="M65" s="388">
        <v>4.2299999999999997E-2</v>
      </c>
    </row>
    <row r="66" spans="2:13">
      <c r="B66" s="1145"/>
      <c r="C66" s="1146"/>
      <c r="D66" s="1147"/>
      <c r="E66" s="1136"/>
      <c r="F66" s="1137"/>
      <c r="G66" s="1137"/>
      <c r="H66" s="1137"/>
      <c r="I66" s="1138"/>
      <c r="J66" s="970" t="s">
        <v>153</v>
      </c>
      <c r="K66" s="971"/>
      <c r="L66" s="971"/>
      <c r="M66" s="388">
        <v>3.7900000000000003E-2</v>
      </c>
    </row>
    <row r="67" spans="2:13">
      <c r="B67" s="1145"/>
      <c r="C67" s="1146"/>
      <c r="D67" s="1147"/>
      <c r="E67" s="1136"/>
      <c r="F67" s="1137"/>
      <c r="G67" s="1137"/>
      <c r="H67" s="1137"/>
      <c r="I67" s="1138"/>
      <c r="J67" s="970" t="s">
        <v>154</v>
      </c>
      <c r="K67" s="971"/>
      <c r="L67" s="971"/>
      <c r="M67" s="388">
        <v>3.3300000000000003E-2</v>
      </c>
    </row>
    <row r="68" spans="2:13">
      <c r="B68" s="1145"/>
      <c r="C68" s="1146"/>
      <c r="D68" s="1147"/>
      <c r="E68" s="1136"/>
      <c r="F68" s="1137"/>
      <c r="G68" s="1137"/>
      <c r="H68" s="1137"/>
      <c r="I68" s="1138"/>
      <c r="J68" s="970" t="s">
        <v>155</v>
      </c>
      <c r="K68" s="971"/>
      <c r="L68" s="971"/>
      <c r="M68" s="388">
        <v>1.84E-2</v>
      </c>
    </row>
    <row r="69" spans="2:13">
      <c r="B69" s="1145"/>
      <c r="C69" s="1146"/>
      <c r="D69" s="1147"/>
      <c r="E69" s="1136"/>
      <c r="F69" s="1137"/>
      <c r="G69" s="1137"/>
      <c r="H69" s="1137"/>
      <c r="I69" s="1138"/>
      <c r="J69" s="970" t="s">
        <v>156</v>
      </c>
      <c r="K69" s="971"/>
      <c r="L69" s="971"/>
      <c r="M69" s="388">
        <v>1.7600000000000001E-2</v>
      </c>
    </row>
    <row r="70" spans="2:13">
      <c r="B70" s="1145"/>
      <c r="C70" s="1146"/>
      <c r="D70" s="1147"/>
      <c r="E70" s="1136"/>
      <c r="F70" s="1137"/>
      <c r="G70" s="1137"/>
      <c r="H70" s="1137"/>
      <c r="I70" s="1138"/>
      <c r="J70" s="970" t="s">
        <v>157</v>
      </c>
      <c r="K70" s="971"/>
      <c r="L70" s="971"/>
      <c r="M70" s="388">
        <v>1.4E-2</v>
      </c>
    </row>
    <row r="71" spans="2:13">
      <c r="B71" s="1148"/>
      <c r="C71" s="1149"/>
      <c r="D71" s="1150"/>
      <c r="E71" s="1139"/>
      <c r="F71" s="1140"/>
      <c r="G71" s="1140"/>
      <c r="H71" s="1140"/>
      <c r="I71" s="1141"/>
      <c r="J71" s="970" t="s">
        <v>158</v>
      </c>
      <c r="K71" s="971"/>
      <c r="L71" s="971"/>
      <c r="M71" s="388">
        <v>1.23E-2</v>
      </c>
    </row>
    <row r="72" spans="2:13">
      <c r="B72" s="975" t="s">
        <v>159</v>
      </c>
      <c r="C72" s="976"/>
      <c r="D72" s="976"/>
      <c r="E72" s="972" t="s">
        <v>160</v>
      </c>
      <c r="F72" s="973"/>
      <c r="G72" s="973"/>
      <c r="H72" s="973"/>
      <c r="I72" s="974"/>
      <c r="J72" s="970" t="s">
        <v>161</v>
      </c>
      <c r="K72" s="971"/>
      <c r="L72" s="971"/>
      <c r="M72" s="388">
        <v>1.14E-2</v>
      </c>
    </row>
    <row r="73" spans="2:13" ht="15" customHeight="1">
      <c r="B73" s="961" t="s">
        <v>162</v>
      </c>
      <c r="C73" s="962"/>
      <c r="D73" s="963"/>
      <c r="E73" s="1133" t="s">
        <v>163</v>
      </c>
      <c r="F73" s="1134"/>
      <c r="G73" s="1134"/>
      <c r="H73" s="1134"/>
      <c r="I73" s="1135"/>
      <c r="J73" s="970" t="s">
        <v>164</v>
      </c>
      <c r="K73" s="971"/>
      <c r="L73" s="971"/>
      <c r="M73" s="388">
        <v>1.0999999999999999E-2</v>
      </c>
    </row>
    <row r="74" spans="2:13" ht="15" customHeight="1">
      <c r="B74" s="964"/>
      <c r="C74" s="965"/>
      <c r="D74" s="966"/>
      <c r="E74" s="1136"/>
      <c r="F74" s="1137"/>
      <c r="G74" s="1137"/>
      <c r="H74" s="1137"/>
      <c r="I74" s="1138"/>
      <c r="J74" s="970" t="s">
        <v>165</v>
      </c>
      <c r="K74" s="971"/>
      <c r="L74" s="971"/>
      <c r="M74" s="388">
        <v>0.01</v>
      </c>
    </row>
    <row r="75" spans="2:13" ht="15" customHeight="1">
      <c r="B75" s="964"/>
      <c r="C75" s="965"/>
      <c r="D75" s="966"/>
      <c r="E75" s="1136"/>
      <c r="F75" s="1137"/>
      <c r="G75" s="1137"/>
      <c r="H75" s="1137"/>
      <c r="I75" s="1138"/>
      <c r="J75" s="970" t="s">
        <v>166</v>
      </c>
      <c r="K75" s="971"/>
      <c r="L75" s="971"/>
      <c r="M75" s="388">
        <v>0.01</v>
      </c>
    </row>
    <row r="76" spans="2:13" ht="15" customHeight="1">
      <c r="B76" s="964"/>
      <c r="C76" s="965"/>
      <c r="D76" s="966"/>
      <c r="E76" s="1136"/>
      <c r="F76" s="1137"/>
      <c r="G76" s="1137"/>
      <c r="H76" s="1137"/>
      <c r="I76" s="1138"/>
      <c r="J76" s="970" t="s">
        <v>167</v>
      </c>
      <c r="K76" s="971"/>
      <c r="L76" s="971"/>
      <c r="M76" s="388">
        <v>9.9000000000000008E-3</v>
      </c>
    </row>
    <row r="77" spans="2:13" ht="12.95" customHeight="1">
      <c r="B77" s="964"/>
      <c r="C77" s="965"/>
      <c r="D77" s="966"/>
      <c r="E77" s="1136"/>
      <c r="F77" s="1137"/>
      <c r="G77" s="1137"/>
      <c r="H77" s="1137"/>
      <c r="I77" s="1138"/>
      <c r="J77" s="970" t="s">
        <v>168</v>
      </c>
      <c r="K77" s="971"/>
      <c r="L77" s="971"/>
      <c r="M77" s="388">
        <v>9.1999999999999998E-3</v>
      </c>
    </row>
    <row r="78" spans="2:13" ht="12.95" customHeight="1">
      <c r="B78" s="964"/>
      <c r="C78" s="965"/>
      <c r="D78" s="966"/>
      <c r="E78" s="1136"/>
      <c r="F78" s="1137"/>
      <c r="G78" s="1137"/>
      <c r="H78" s="1137"/>
      <c r="I78" s="1138"/>
      <c r="J78" s="970" t="s">
        <v>169</v>
      </c>
      <c r="K78" s="971"/>
      <c r="L78" s="971"/>
      <c r="M78" s="388">
        <v>8.9999999999999993E-3</v>
      </c>
    </row>
    <row r="79" spans="2:13" ht="12.95" customHeight="1">
      <c r="B79" s="964"/>
      <c r="C79" s="965"/>
      <c r="D79" s="966"/>
      <c r="E79" s="1136"/>
      <c r="F79" s="1137"/>
      <c r="G79" s="1137"/>
      <c r="H79" s="1137"/>
      <c r="I79" s="1138"/>
      <c r="J79" s="970" t="s">
        <v>170</v>
      </c>
      <c r="K79" s="971"/>
      <c r="L79" s="971"/>
      <c r="M79" s="388">
        <v>8.3000000000000001E-3</v>
      </c>
    </row>
    <row r="80" spans="2:13" ht="12.95" customHeight="1">
      <c r="B80" s="964"/>
      <c r="C80" s="965"/>
      <c r="D80" s="966"/>
      <c r="E80" s="1136"/>
      <c r="F80" s="1137"/>
      <c r="G80" s="1137"/>
      <c r="H80" s="1137"/>
      <c r="I80" s="1138"/>
      <c r="J80" s="970" t="s">
        <v>171</v>
      </c>
      <c r="K80" s="971"/>
      <c r="L80" s="971"/>
      <c r="M80" s="388">
        <v>7.1999999999999998E-3</v>
      </c>
    </row>
    <row r="81" spans="2:13" ht="12.95" customHeight="1">
      <c r="B81" s="967"/>
      <c r="C81" s="968"/>
      <c r="D81" s="969"/>
      <c r="E81" s="1139"/>
      <c r="F81" s="1140"/>
      <c r="G81" s="1140"/>
      <c r="H81" s="1140"/>
      <c r="I81" s="1141"/>
      <c r="J81" s="970" t="s">
        <v>172</v>
      </c>
      <c r="K81" s="971"/>
      <c r="L81" s="971"/>
      <c r="M81" s="388">
        <v>7.1999999999999998E-3</v>
      </c>
    </row>
    <row r="82" spans="2:13" ht="15.95">
      <c r="B82" s="1127" t="s">
        <v>173</v>
      </c>
      <c r="C82" s="1128"/>
      <c r="D82" s="1128"/>
      <c r="E82" s="1128"/>
      <c r="F82" s="1129"/>
      <c r="G82" s="1131" t="s">
        <v>174</v>
      </c>
      <c r="H82" s="959"/>
      <c r="I82" s="959"/>
      <c r="J82" s="959"/>
      <c r="K82" s="959"/>
      <c r="L82" s="959"/>
      <c r="M82" s="1132"/>
    </row>
    <row r="83" spans="2:13" s="9" customFormat="1" ht="12.95" customHeight="1">
      <c r="B83" s="1118" t="s">
        <v>175</v>
      </c>
      <c r="C83" s="1119"/>
      <c r="D83" s="1119"/>
      <c r="E83" s="1119"/>
      <c r="F83" s="1120"/>
      <c r="G83"/>
      <c r="H83"/>
      <c r="I83"/>
      <c r="J83"/>
      <c r="K83"/>
      <c r="L83"/>
      <c r="M83" s="48"/>
    </row>
    <row r="84" spans="2:13">
      <c r="B84" s="1121"/>
      <c r="C84" s="1122"/>
      <c r="D84" s="1122"/>
      <c r="E84" s="1122"/>
      <c r="F84" s="1123"/>
      <c r="M84" s="48"/>
    </row>
    <row r="85" spans="2:13">
      <c r="B85" s="1121"/>
      <c r="C85" s="1122"/>
      <c r="D85" s="1122"/>
      <c r="E85" s="1122"/>
      <c r="F85" s="1123"/>
      <c r="M85" s="48"/>
    </row>
    <row r="86" spans="2:13">
      <c r="B86" s="1121"/>
      <c r="C86" s="1122"/>
      <c r="D86" s="1122"/>
      <c r="E86" s="1122"/>
      <c r="F86" s="1123"/>
      <c r="M86" s="48"/>
    </row>
    <row r="87" spans="2:13">
      <c r="B87" s="1121"/>
      <c r="C87" s="1122"/>
      <c r="D87" s="1122"/>
      <c r="E87" s="1122"/>
      <c r="F87" s="1123"/>
      <c r="M87" s="48"/>
    </row>
    <row r="88" spans="2:13">
      <c r="B88" s="1121"/>
      <c r="C88" s="1122"/>
      <c r="D88" s="1122"/>
      <c r="E88" s="1122"/>
      <c r="F88" s="1123"/>
      <c r="M88" s="48"/>
    </row>
    <row r="89" spans="2:13">
      <c r="B89" s="1121"/>
      <c r="C89" s="1122"/>
      <c r="D89" s="1122"/>
      <c r="E89" s="1122"/>
      <c r="F89" s="1123"/>
      <c r="M89" s="48"/>
    </row>
    <row r="90" spans="2:13">
      <c r="B90" s="1121"/>
      <c r="C90" s="1122"/>
      <c r="D90" s="1122"/>
      <c r="E90" s="1122"/>
      <c r="F90" s="1123"/>
      <c r="M90" s="48"/>
    </row>
    <row r="91" spans="2:13">
      <c r="B91" s="1121"/>
      <c r="C91" s="1122"/>
      <c r="D91" s="1122"/>
      <c r="E91" s="1122"/>
      <c r="F91" s="1123"/>
      <c r="M91" s="48"/>
    </row>
    <row r="92" spans="2:13">
      <c r="B92" s="1121"/>
      <c r="C92" s="1122"/>
      <c r="D92" s="1122"/>
      <c r="E92" s="1122"/>
      <c r="F92" s="1123"/>
      <c r="M92" s="48"/>
    </row>
    <row r="93" spans="2:13">
      <c r="B93" s="1121"/>
      <c r="C93" s="1122"/>
      <c r="D93" s="1122"/>
      <c r="E93" s="1122"/>
      <c r="F93" s="1123"/>
      <c r="M93" s="48"/>
    </row>
    <row r="94" spans="2:13">
      <c r="B94" s="1121"/>
      <c r="C94" s="1122"/>
      <c r="D94" s="1122"/>
      <c r="E94" s="1122"/>
      <c r="F94" s="1123"/>
      <c r="M94" s="48"/>
    </row>
    <row r="95" spans="2:13">
      <c r="B95" s="1121"/>
      <c r="C95" s="1122"/>
      <c r="D95" s="1122"/>
      <c r="E95" s="1122"/>
      <c r="F95" s="1123"/>
      <c r="M95" s="48"/>
    </row>
    <row r="96" spans="2:13">
      <c r="B96" s="1121"/>
      <c r="C96" s="1122"/>
      <c r="D96" s="1122"/>
      <c r="E96" s="1122"/>
      <c r="F96" s="1123"/>
      <c r="M96" s="48"/>
    </row>
    <row r="97" spans="2:13">
      <c r="B97" s="1121"/>
      <c r="C97" s="1122"/>
      <c r="D97" s="1122"/>
      <c r="E97" s="1122"/>
      <c r="F97" s="1123"/>
      <c r="M97" s="48"/>
    </row>
    <row r="98" spans="2:13">
      <c r="B98" s="1121"/>
      <c r="C98" s="1122"/>
      <c r="D98" s="1122"/>
      <c r="E98" s="1122"/>
      <c r="F98" s="1123"/>
      <c r="M98" s="48"/>
    </row>
    <row r="99" spans="2:13">
      <c r="B99" s="1121"/>
      <c r="C99" s="1122"/>
      <c r="D99" s="1122"/>
      <c r="E99" s="1122"/>
      <c r="F99" s="1123"/>
      <c r="M99" s="48"/>
    </row>
    <row r="100" spans="2:13">
      <c r="B100" s="1121"/>
      <c r="C100" s="1122"/>
      <c r="D100" s="1122"/>
      <c r="E100" s="1122"/>
      <c r="F100" s="1123"/>
      <c r="M100" s="48"/>
    </row>
    <row r="101" spans="2:13">
      <c r="B101" s="1121"/>
      <c r="C101" s="1122"/>
      <c r="D101" s="1122"/>
      <c r="E101" s="1122"/>
      <c r="F101" s="1123"/>
      <c r="M101" s="48"/>
    </row>
    <row r="102" spans="2:13">
      <c r="B102" s="1121"/>
      <c r="C102" s="1122"/>
      <c r="D102" s="1122"/>
      <c r="E102" s="1122"/>
      <c r="F102" s="1123"/>
      <c r="M102" s="48"/>
    </row>
    <row r="103" spans="2:13">
      <c r="B103" s="1121"/>
      <c r="C103" s="1122"/>
      <c r="D103" s="1122"/>
      <c r="E103" s="1122"/>
      <c r="F103" s="1123"/>
      <c r="M103" s="48"/>
    </row>
    <row r="104" spans="2:13">
      <c r="B104" s="1121"/>
      <c r="C104" s="1122"/>
      <c r="D104" s="1122"/>
      <c r="E104" s="1122"/>
      <c r="F104" s="1123"/>
      <c r="M104" s="48"/>
    </row>
    <row r="105" spans="2:13">
      <c r="B105" s="1121"/>
      <c r="C105" s="1122"/>
      <c r="D105" s="1122"/>
      <c r="E105" s="1122"/>
      <c r="F105" s="1123"/>
      <c r="M105" s="48"/>
    </row>
    <row r="106" spans="2:13" ht="45.95" customHeight="1" thickBot="1">
      <c r="B106" s="1121"/>
      <c r="C106" s="1122"/>
      <c r="D106" s="1122"/>
      <c r="E106" s="1122"/>
      <c r="F106" s="1123"/>
      <c r="M106" s="48"/>
    </row>
    <row r="107" spans="2:13" ht="48.95" customHeight="1">
      <c r="B107" s="1124"/>
      <c r="C107" s="1125"/>
      <c r="D107" s="1125"/>
      <c r="E107" s="1125"/>
      <c r="F107" s="1126"/>
      <c r="G107" s="1130" t="e" vm="1">
        <v>#VALUE!</v>
      </c>
      <c r="H107" s="1130"/>
      <c r="I107" s="637" t="e" vm="3">
        <v>#VALUE!</v>
      </c>
      <c r="J107" s="638" t="e" vm="4">
        <v>#VALUE!</v>
      </c>
      <c r="K107" s="639" t="e" vm="5">
        <v>#VALUE!</v>
      </c>
      <c r="L107" s="640" t="e" vm="6">
        <v>#VALUE!</v>
      </c>
      <c r="M107" s="641" t="e" vm="7">
        <v>#VALUE!</v>
      </c>
    </row>
  </sheetData>
  <mergeCells count="123">
    <mergeCell ref="J56:K56"/>
    <mergeCell ref="J52:K52"/>
    <mergeCell ref="J53:K53"/>
    <mergeCell ref="J54:K54"/>
    <mergeCell ref="J45:M45"/>
    <mergeCell ref="B44:M44"/>
    <mergeCell ref="F31:G31"/>
    <mergeCell ref="F32:G32"/>
    <mergeCell ref="B83:F107"/>
    <mergeCell ref="B82:F82"/>
    <mergeCell ref="J80:L80"/>
    <mergeCell ref="J64:L64"/>
    <mergeCell ref="J72:L72"/>
    <mergeCell ref="G107:H107"/>
    <mergeCell ref="G82:M82"/>
    <mergeCell ref="E73:I81"/>
    <mergeCell ref="E62:I71"/>
    <mergeCell ref="B72:D72"/>
    <mergeCell ref="B62:D71"/>
    <mergeCell ref="J62:L62"/>
    <mergeCell ref="J69:L69"/>
    <mergeCell ref="J70:L70"/>
    <mergeCell ref="J76:L76"/>
    <mergeCell ref="J71:L71"/>
    <mergeCell ref="C43:G43"/>
    <mergeCell ref="C42:G42"/>
    <mergeCell ref="I42:I43"/>
    <mergeCell ref="J42:K43"/>
    <mergeCell ref="L42:L43"/>
    <mergeCell ref="M42:M43"/>
    <mergeCell ref="J50:K50"/>
    <mergeCell ref="J51:K51"/>
    <mergeCell ref="J55:K55"/>
    <mergeCell ref="J47:K47"/>
    <mergeCell ref="J48:K48"/>
    <mergeCell ref="J49:K49"/>
    <mergeCell ref="H40:H43"/>
    <mergeCell ref="I30:J30"/>
    <mergeCell ref="I31:J31"/>
    <mergeCell ref="I34:M34"/>
    <mergeCell ref="B39:G39"/>
    <mergeCell ref="C40:G40"/>
    <mergeCell ref="C35:G35"/>
    <mergeCell ref="F29:G29"/>
    <mergeCell ref="F30:G30"/>
    <mergeCell ref="I40:I41"/>
    <mergeCell ref="J40:K41"/>
    <mergeCell ref="L40:L41"/>
    <mergeCell ref="M40:M41"/>
    <mergeCell ref="B36:B38"/>
    <mergeCell ref="C36:G38"/>
    <mergeCell ref="H35:H38"/>
    <mergeCell ref="C41:G41"/>
    <mergeCell ref="I35:M38"/>
    <mergeCell ref="I39:M39"/>
    <mergeCell ref="B34:G34"/>
    <mergeCell ref="B33:M33"/>
    <mergeCell ref="B17:C17"/>
    <mergeCell ref="B3:C16"/>
    <mergeCell ref="L19:M19"/>
    <mergeCell ref="B19:C19"/>
    <mergeCell ref="B29:C29"/>
    <mergeCell ref="D19:E19"/>
    <mergeCell ref="B18:M18"/>
    <mergeCell ref="I19:K19"/>
    <mergeCell ref="K5:M5"/>
    <mergeCell ref="K6:M6"/>
    <mergeCell ref="K7:M7"/>
    <mergeCell ref="K8:M8"/>
    <mergeCell ref="K4:M4"/>
    <mergeCell ref="K9:M9"/>
    <mergeCell ref="K12:M17"/>
    <mergeCell ref="K11:M11"/>
    <mergeCell ref="K10:M10"/>
    <mergeCell ref="J20:K20"/>
    <mergeCell ref="F21:G21"/>
    <mergeCell ref="F25:G25"/>
    <mergeCell ref="I29:J29"/>
    <mergeCell ref="E2:K2"/>
    <mergeCell ref="F20:G20"/>
    <mergeCell ref="F28:G28"/>
    <mergeCell ref="F26:G26"/>
    <mergeCell ref="J21:K21"/>
    <mergeCell ref="I22:J22"/>
    <mergeCell ref="I23:J23"/>
    <mergeCell ref="I24:J24"/>
    <mergeCell ref="I25:J25"/>
    <mergeCell ref="I26:J26"/>
    <mergeCell ref="I27:J27"/>
    <mergeCell ref="I28:J28"/>
    <mergeCell ref="F27:G27"/>
    <mergeCell ref="D4:G17"/>
    <mergeCell ref="D3:G3"/>
    <mergeCell ref="H3:M3"/>
    <mergeCell ref="F19:H19"/>
    <mergeCell ref="I12:I17"/>
    <mergeCell ref="F22:G22"/>
    <mergeCell ref="F23:G23"/>
    <mergeCell ref="J12:J17"/>
    <mergeCell ref="F24:G24"/>
    <mergeCell ref="H12:H17"/>
    <mergeCell ref="J57:K57"/>
    <mergeCell ref="J58:K58"/>
    <mergeCell ref="B60:I60"/>
    <mergeCell ref="B73:D81"/>
    <mergeCell ref="J66:L66"/>
    <mergeCell ref="J67:L67"/>
    <mergeCell ref="J68:L68"/>
    <mergeCell ref="J74:L74"/>
    <mergeCell ref="J75:L75"/>
    <mergeCell ref="J63:L63"/>
    <mergeCell ref="J65:L65"/>
    <mergeCell ref="J77:L77"/>
    <mergeCell ref="J78:L78"/>
    <mergeCell ref="J79:L79"/>
    <mergeCell ref="J81:L81"/>
    <mergeCell ref="E72:I72"/>
    <mergeCell ref="E61:I61"/>
    <mergeCell ref="B61:D61"/>
    <mergeCell ref="J60:M60"/>
    <mergeCell ref="J61:L61"/>
    <mergeCell ref="B59:M59"/>
    <mergeCell ref="J73:L73"/>
  </mergeCells>
  <phoneticPr fontId="0" type="noConversion"/>
  <conditionalFormatting sqref="C46:C54 D46:E46">
    <cfRule type="dataBar" priority="126">
      <dataBar>
        <cfvo type="min"/>
        <cfvo type="max"/>
        <color rgb="FF63C384"/>
      </dataBar>
      <extLst>
        <ext xmlns:x14="http://schemas.microsoft.com/office/spreadsheetml/2009/9/main" uri="{B025F937-C7B1-47D3-B67F-A62EFF666E3E}">
          <x14:id>{F4773E1D-8C81-41A2-B9F2-E9E8E2054B23}</x14:id>
        </ext>
      </extLst>
    </cfRule>
  </conditionalFormatting>
  <conditionalFormatting sqref="D46:D54">
    <cfRule type="dataBar" priority="128">
      <dataBar>
        <cfvo type="min"/>
        <cfvo type="max"/>
        <color rgb="FF638EC6"/>
      </dataBar>
      <extLst>
        <ext xmlns:x14="http://schemas.microsoft.com/office/spreadsheetml/2009/9/main" uri="{B025F937-C7B1-47D3-B67F-A62EFF666E3E}">
          <x14:id>{AB45923C-EAD5-474F-8382-F5BEE7164463}</x14:id>
        </ext>
      </extLst>
    </cfRule>
  </conditionalFormatting>
  <conditionalFormatting sqref="D47:D54">
    <cfRule type="dataBar" priority="130">
      <dataBar>
        <cfvo type="min"/>
        <cfvo type="max"/>
        <color rgb="FF63C384"/>
      </dataBar>
      <extLst>
        <ext xmlns:x14="http://schemas.microsoft.com/office/spreadsheetml/2009/9/main" uri="{B025F937-C7B1-47D3-B67F-A62EFF666E3E}">
          <x14:id>{16E131EF-4CFA-4C45-B407-C7FA5F1CCD58}</x14:id>
        </ext>
      </extLst>
    </cfRule>
    <cfRule type="dataBar" priority="129">
      <dataBar>
        <cfvo type="min"/>
        <cfvo type="max"/>
        <color rgb="FF638EC6"/>
      </dataBar>
      <extLst>
        <ext xmlns:x14="http://schemas.microsoft.com/office/spreadsheetml/2009/9/main" uri="{B025F937-C7B1-47D3-B67F-A62EFF666E3E}">
          <x14:id>{8F05AC94-FB75-41DC-A030-BD50695363B2}</x14:id>
        </ext>
      </extLst>
    </cfRule>
  </conditionalFormatting>
  <conditionalFormatting sqref="E46:E54">
    <cfRule type="dataBar" priority="131">
      <dataBar>
        <cfvo type="min"/>
        <cfvo type="max"/>
        <color rgb="FFFF555A"/>
      </dataBar>
      <extLst>
        <ext xmlns:x14="http://schemas.microsoft.com/office/spreadsheetml/2009/9/main" uri="{B025F937-C7B1-47D3-B67F-A62EFF666E3E}">
          <x14:id>{4C108334-4BC4-4B0F-A919-0620BA53FECB}</x14:id>
        </ext>
      </extLst>
    </cfRule>
  </conditionalFormatting>
  <conditionalFormatting sqref="E47:E54">
    <cfRule type="dataBar" priority="132">
      <dataBar>
        <cfvo type="min"/>
        <cfvo type="max"/>
        <color rgb="FF63C384"/>
      </dataBar>
      <extLst>
        <ext xmlns:x14="http://schemas.microsoft.com/office/spreadsheetml/2009/9/main" uri="{B025F937-C7B1-47D3-B67F-A62EFF666E3E}">
          <x14:id>{3D2B4733-6086-41B3-B3A7-1CB39146AAEB}</x14:id>
        </ext>
      </extLst>
    </cfRule>
  </conditionalFormatting>
  <conditionalFormatting sqref="E55:E58 G55:G58 I55:I58">
    <cfRule type="dataBar" priority="14">
      <dataBar>
        <cfvo type="min"/>
        <cfvo type="max"/>
        <color rgb="FF638EC6"/>
      </dataBar>
      <extLst>
        <ext xmlns:x14="http://schemas.microsoft.com/office/spreadsheetml/2009/9/main" uri="{B025F937-C7B1-47D3-B67F-A62EFF666E3E}">
          <x14:id>{4382A5A4-8938-4754-913D-04C8EB3E9944}</x14:id>
        </ext>
      </extLst>
    </cfRule>
    <cfRule type="dataBar" priority="15">
      <dataBar>
        <cfvo type="min"/>
        <cfvo type="max"/>
        <color rgb="FF63C384"/>
      </dataBar>
      <extLst>
        <ext xmlns:x14="http://schemas.microsoft.com/office/spreadsheetml/2009/9/main" uri="{B025F937-C7B1-47D3-B67F-A62EFF666E3E}">
          <x14:id>{CA48BEF9-536B-483E-93D1-1D70FAC05115}</x14:id>
        </ext>
      </extLst>
    </cfRule>
  </conditionalFormatting>
  <conditionalFormatting sqref="F46:F54">
    <cfRule type="dataBar" priority="137">
      <dataBar>
        <cfvo type="min"/>
        <cfvo type="max"/>
        <color rgb="FF63C384"/>
      </dataBar>
      <extLst>
        <ext xmlns:x14="http://schemas.microsoft.com/office/spreadsheetml/2009/9/main" uri="{B025F937-C7B1-47D3-B67F-A62EFF666E3E}">
          <x14:id>{FD1FEF9A-F365-4DFE-A927-1852D99D71EB}</x14:id>
        </ext>
      </extLst>
    </cfRule>
  </conditionalFormatting>
  <conditionalFormatting sqref="G46:G54">
    <cfRule type="dataBar" priority="138">
      <dataBar>
        <cfvo type="min"/>
        <cfvo type="max"/>
        <color rgb="FF63C384"/>
      </dataBar>
      <extLst>
        <ext xmlns:x14="http://schemas.microsoft.com/office/spreadsheetml/2009/9/main" uri="{B025F937-C7B1-47D3-B67F-A62EFF666E3E}">
          <x14:id>{ADD19CCF-E818-42F8-BF99-60EF2D3A801A}</x14:id>
        </ext>
      </extLst>
    </cfRule>
  </conditionalFormatting>
  <conditionalFormatting sqref="H21:H24">
    <cfRule type="dataBar" priority="8">
      <dataBar>
        <cfvo type="min"/>
        <cfvo type="max"/>
        <color rgb="FF638EC6"/>
      </dataBar>
      <extLst>
        <ext xmlns:x14="http://schemas.microsoft.com/office/spreadsheetml/2009/9/main" uri="{B025F937-C7B1-47D3-B67F-A62EFF666E3E}">
          <x14:id>{FB1A4ECC-D3E1-4C53-9ADF-103FFC3A87EE}</x14:id>
        </ext>
      </extLst>
    </cfRule>
  </conditionalFormatting>
  <conditionalFormatting sqref="H27:H29">
    <cfRule type="dataBar" priority="7">
      <dataBar>
        <cfvo type="min"/>
        <cfvo type="max"/>
        <color rgb="FF638EC6"/>
      </dataBar>
      <extLst>
        <ext xmlns:x14="http://schemas.microsoft.com/office/spreadsheetml/2009/9/main" uri="{B025F937-C7B1-47D3-B67F-A62EFF666E3E}">
          <x14:id>{6EB89896-7685-489D-A212-BEDCDA6C1614}</x14:id>
        </ext>
      </extLst>
    </cfRule>
  </conditionalFormatting>
  <conditionalFormatting sqref="H46:H54">
    <cfRule type="dataBar" priority="139">
      <dataBar>
        <cfvo type="min"/>
        <cfvo type="max"/>
        <color rgb="FF63C384"/>
      </dataBar>
      <extLst>
        <ext xmlns:x14="http://schemas.microsoft.com/office/spreadsheetml/2009/9/main" uri="{B025F937-C7B1-47D3-B67F-A62EFF666E3E}">
          <x14:id>{595E424D-F3AE-4040-A937-2E859AA15AD2}</x14:id>
        </ext>
      </extLst>
    </cfRule>
  </conditionalFormatting>
  <conditionalFormatting sqref="I46:I54">
    <cfRule type="dataBar" priority="140">
      <dataBar>
        <cfvo type="min"/>
        <cfvo type="max"/>
        <color rgb="FF63C384"/>
      </dataBar>
      <extLst>
        <ext xmlns:x14="http://schemas.microsoft.com/office/spreadsheetml/2009/9/main" uri="{B025F937-C7B1-47D3-B67F-A62EFF666E3E}">
          <x14:id>{60823727-C433-4BFE-A422-F2DB16A0B39B}</x14:id>
        </ext>
      </extLst>
    </cfRule>
  </conditionalFormatting>
  <conditionalFormatting sqref="J42:K43">
    <cfRule type="cellIs" dxfId="39" priority="2" operator="greaterThan">
      <formula>0</formula>
    </cfRule>
    <cfRule type="cellIs" dxfId="38" priority="1" operator="lessThan">
      <formula>0</formula>
    </cfRule>
  </conditionalFormatting>
  <conditionalFormatting sqref="M40:M43">
    <cfRule type="cellIs" dxfId="37" priority="4" operator="greaterThan">
      <formula>0</formula>
    </cfRule>
    <cfRule type="cellIs" dxfId="36" priority="3" operator="lessThan">
      <formula>0</formula>
    </cfRule>
  </conditionalFormatting>
  <printOptions horizontalCentered="1" verticalCentered="1"/>
  <pageMargins left="0" right="0" top="0.19685039370078741" bottom="0.19685039370078741" header="0" footer="0"/>
  <pageSetup paperSize="134" scale="64" orientation="landscape" r:id="rId1"/>
  <headerFooter alignWithMargins="0"/>
  <ignoredErrors>
    <ignoredError sqref="N55:S57 N47:S49 N51:S54 O50:S50" evalError="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F4773E1D-8C81-41A2-B9F2-E9E8E2054B23}">
            <x14:dataBar minLength="0" maxLength="100" border="1" negativeBarBorderColorSameAsPositive="0">
              <x14:cfvo type="autoMin"/>
              <x14:cfvo type="autoMax"/>
              <x14:borderColor rgb="FF63C384"/>
              <x14:negativeFillColor rgb="FFFF0000"/>
              <x14:negativeBorderColor rgb="FFFF0000"/>
              <x14:axisColor rgb="FF000000"/>
            </x14:dataBar>
          </x14:cfRule>
          <xm:sqref>C46:C54 D46:E46</xm:sqref>
        </x14:conditionalFormatting>
        <x14:conditionalFormatting xmlns:xm="http://schemas.microsoft.com/office/excel/2006/main">
          <x14:cfRule type="dataBar" id="{AB45923C-EAD5-474F-8382-F5BEE7164463}">
            <x14:dataBar minLength="0" maxLength="100" gradient="0">
              <x14:cfvo type="autoMin"/>
              <x14:cfvo type="autoMax"/>
              <x14:negativeFillColor rgb="FFFF0000"/>
              <x14:axisColor rgb="FF000000"/>
            </x14:dataBar>
          </x14:cfRule>
          <xm:sqref>D46:D54</xm:sqref>
        </x14:conditionalFormatting>
        <x14:conditionalFormatting xmlns:xm="http://schemas.microsoft.com/office/excel/2006/main">
          <x14:cfRule type="dataBar" id="{16E131EF-4CFA-4C45-B407-C7FA5F1CCD58}">
            <x14:dataBar minLength="0" maxLength="100" gradient="0">
              <x14:cfvo type="autoMin"/>
              <x14:cfvo type="autoMax"/>
              <x14:negativeFillColor rgb="FFFF0000"/>
              <x14:axisColor rgb="FF000000"/>
            </x14:dataBar>
          </x14:cfRule>
          <x14:cfRule type="dataBar" id="{8F05AC94-FB75-41DC-A030-BD50695363B2}">
            <x14:dataBar minLength="0" maxLength="100" gradient="0">
              <x14:cfvo type="autoMin"/>
              <x14:cfvo type="autoMax"/>
              <x14:negativeFillColor rgb="FFFF0000"/>
              <x14:axisColor rgb="FF000000"/>
            </x14:dataBar>
          </x14:cfRule>
          <xm:sqref>D47:D54</xm:sqref>
        </x14:conditionalFormatting>
        <x14:conditionalFormatting xmlns:xm="http://schemas.microsoft.com/office/excel/2006/main">
          <x14:cfRule type="dataBar" id="{4C108334-4BC4-4B0F-A919-0620BA53FECB}">
            <x14:dataBar minLength="0" maxLength="100" border="1" negativeBarBorderColorSameAsPositive="0">
              <x14:cfvo type="autoMin"/>
              <x14:cfvo type="autoMax"/>
              <x14:borderColor rgb="FFFF555A"/>
              <x14:negativeFillColor rgb="FFFF0000"/>
              <x14:negativeBorderColor rgb="FFFF0000"/>
              <x14:axisColor rgb="FF000000"/>
            </x14:dataBar>
          </x14:cfRule>
          <xm:sqref>E46:E54</xm:sqref>
        </x14:conditionalFormatting>
        <x14:conditionalFormatting xmlns:xm="http://schemas.microsoft.com/office/excel/2006/main">
          <x14:cfRule type="dataBar" id="{3D2B4733-6086-41B3-B3A7-1CB39146AAEB}">
            <x14:dataBar minLength="0" maxLength="100" border="1" negativeBarBorderColorSameAsPositive="0">
              <x14:cfvo type="autoMin"/>
              <x14:cfvo type="autoMax"/>
              <x14:borderColor rgb="FF63C384"/>
              <x14:negativeFillColor rgb="FFFF0000"/>
              <x14:negativeBorderColor rgb="FFFF0000"/>
              <x14:axisColor rgb="FF000000"/>
            </x14:dataBar>
          </x14:cfRule>
          <xm:sqref>E47:E54</xm:sqref>
        </x14:conditionalFormatting>
        <x14:conditionalFormatting xmlns:xm="http://schemas.microsoft.com/office/excel/2006/main">
          <x14:cfRule type="dataBar" id="{4382A5A4-8938-4754-913D-04C8EB3E9944}">
            <x14:dataBar minLength="0" maxLength="100" gradient="0">
              <x14:cfvo type="autoMin"/>
              <x14:cfvo type="autoMax"/>
              <x14:negativeFillColor rgb="FFFF0000"/>
              <x14:axisColor rgb="FF000000"/>
            </x14:dataBar>
          </x14:cfRule>
          <x14:cfRule type="dataBar" id="{CA48BEF9-536B-483E-93D1-1D70FAC05115}">
            <x14:dataBar minLength="0" maxLength="100" gradient="0">
              <x14:cfvo type="autoMin"/>
              <x14:cfvo type="autoMax"/>
              <x14:negativeFillColor rgb="FFFF0000"/>
              <x14:axisColor rgb="FF000000"/>
            </x14:dataBar>
          </x14:cfRule>
          <xm:sqref>E55:E58 G55:G58 I55:I58</xm:sqref>
        </x14:conditionalFormatting>
        <x14:conditionalFormatting xmlns:xm="http://schemas.microsoft.com/office/excel/2006/main">
          <x14:cfRule type="dataBar" id="{FD1FEF9A-F365-4DFE-A927-1852D99D71EB}">
            <x14:dataBar minLength="0" maxLength="100" gradient="0">
              <x14:cfvo type="autoMin"/>
              <x14:cfvo type="autoMax"/>
              <x14:negativeFillColor rgb="FFFF0000"/>
              <x14:axisColor rgb="FF000000"/>
            </x14:dataBar>
          </x14:cfRule>
          <xm:sqref>F46:F54</xm:sqref>
        </x14:conditionalFormatting>
        <x14:conditionalFormatting xmlns:xm="http://schemas.microsoft.com/office/excel/2006/main">
          <x14:cfRule type="dataBar" id="{ADD19CCF-E818-42F8-BF99-60EF2D3A801A}">
            <x14:dataBar minLength="0" maxLength="100" border="1" negativeBarBorderColorSameAsPositive="0">
              <x14:cfvo type="autoMin"/>
              <x14:cfvo type="autoMax"/>
              <x14:borderColor rgb="FF63C384"/>
              <x14:negativeFillColor rgb="FFFF0000"/>
              <x14:negativeBorderColor rgb="FFFF0000"/>
              <x14:axisColor rgb="FF000000"/>
            </x14:dataBar>
          </x14:cfRule>
          <xm:sqref>G46:G54</xm:sqref>
        </x14:conditionalFormatting>
        <x14:conditionalFormatting xmlns:xm="http://schemas.microsoft.com/office/excel/2006/main">
          <x14:cfRule type="dataBar" id="{FB1A4ECC-D3E1-4C53-9ADF-103FFC3A87EE}">
            <x14:dataBar minLength="0" maxLength="100" border="1" negativeBarBorderColorSameAsPositive="0">
              <x14:cfvo type="autoMin"/>
              <x14:cfvo type="autoMax"/>
              <x14:borderColor rgb="FF638EC6"/>
              <x14:negativeFillColor rgb="FFFF0000"/>
              <x14:negativeBorderColor rgb="FFFF0000"/>
              <x14:axisColor rgb="FF000000"/>
            </x14:dataBar>
          </x14:cfRule>
          <xm:sqref>H21:H24</xm:sqref>
        </x14:conditionalFormatting>
        <x14:conditionalFormatting xmlns:xm="http://schemas.microsoft.com/office/excel/2006/main">
          <x14:cfRule type="dataBar" id="{6EB89896-7685-489D-A212-BEDCDA6C1614}">
            <x14:dataBar minLength="0" maxLength="100" border="1" negativeBarBorderColorSameAsPositive="0">
              <x14:cfvo type="autoMin"/>
              <x14:cfvo type="autoMax"/>
              <x14:borderColor rgb="FF638EC6"/>
              <x14:negativeFillColor rgb="FFFF0000"/>
              <x14:negativeBorderColor rgb="FFFF0000"/>
              <x14:axisColor rgb="FF000000"/>
            </x14:dataBar>
          </x14:cfRule>
          <xm:sqref>H27:H29</xm:sqref>
        </x14:conditionalFormatting>
        <x14:conditionalFormatting xmlns:xm="http://schemas.microsoft.com/office/excel/2006/main">
          <x14:cfRule type="dataBar" id="{595E424D-F3AE-4040-A937-2E859AA15AD2}">
            <x14:dataBar minLength="0" maxLength="100" border="1" negativeBarBorderColorSameAsPositive="0">
              <x14:cfvo type="autoMin"/>
              <x14:cfvo type="autoMax"/>
              <x14:borderColor rgb="FF63C384"/>
              <x14:negativeFillColor rgb="FFFF0000"/>
              <x14:negativeBorderColor rgb="FFFF0000"/>
              <x14:axisColor rgb="FF000000"/>
            </x14:dataBar>
          </x14:cfRule>
          <xm:sqref>H46:H54</xm:sqref>
        </x14:conditionalFormatting>
        <x14:conditionalFormatting xmlns:xm="http://schemas.microsoft.com/office/excel/2006/main">
          <x14:cfRule type="dataBar" id="{60823727-C433-4BFE-A422-F2DB16A0B39B}">
            <x14:dataBar minLength="0" maxLength="100" border="1" negativeBarBorderColorSameAsPositive="0">
              <x14:cfvo type="autoMin"/>
              <x14:cfvo type="autoMax"/>
              <x14:borderColor rgb="FF63C384"/>
              <x14:negativeFillColor rgb="FFFF0000"/>
              <x14:negativeBorderColor rgb="FFFF0000"/>
              <x14:axisColor rgb="FF000000"/>
            </x14:dataBar>
          </x14:cfRule>
          <xm:sqref>I46:I54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theme="9"/>
  </sheetPr>
  <dimension ref="B2:X52"/>
  <sheetViews>
    <sheetView showGridLines="0" zoomScale="106" zoomScaleNormal="82" workbookViewId="0">
      <selection activeCell="D25" sqref="D25:H25"/>
    </sheetView>
  </sheetViews>
  <sheetFormatPr defaultColWidth="11.42578125" defaultRowHeight="12.95"/>
  <cols>
    <col min="1" max="1" width="2.140625" customWidth="1"/>
    <col min="2" max="2" width="11.140625" customWidth="1"/>
    <col min="3" max="3" width="42.85546875" customWidth="1"/>
    <col min="4" max="4" width="15.42578125" style="1" customWidth="1"/>
    <col min="5" max="9" width="15.42578125" customWidth="1"/>
    <col min="10" max="11" width="11.42578125" bestFit="1" customWidth="1"/>
    <col min="15" max="15" width="18.42578125" customWidth="1"/>
    <col min="16" max="16" width="46.7109375" customWidth="1"/>
  </cols>
  <sheetData>
    <row r="2" spans="2:24" ht="20.100000000000001" customHeight="1">
      <c r="B2" s="1192" t="str">
        <f>"Regions "&amp;"("&amp;OP!$J$20&amp;")"</f>
        <v>Regions (2023)</v>
      </c>
      <c r="C2" s="1193"/>
      <c r="D2" s="1193"/>
      <c r="E2" s="1193"/>
      <c r="F2" s="1193"/>
      <c r="G2" s="1193"/>
      <c r="H2" s="1193"/>
      <c r="I2" s="1193"/>
      <c r="J2" s="1193"/>
      <c r="K2" s="1193"/>
      <c r="L2" s="1193"/>
      <c r="M2" s="1193"/>
      <c r="N2" s="1193"/>
      <c r="O2" s="1194"/>
      <c r="P2" s="1186" t="s">
        <v>176</v>
      </c>
      <c r="Q2" s="1187"/>
      <c r="R2" s="1187"/>
      <c r="S2" s="1187"/>
      <c r="T2" s="1187"/>
      <c r="U2" s="1187"/>
      <c r="V2" s="1187"/>
      <c r="W2" s="1187"/>
      <c r="X2" s="1188"/>
    </row>
    <row r="3" spans="2:24" ht="18">
      <c r="B3" s="165"/>
      <c r="C3" s="166"/>
      <c r="D3" s="1160" t="s">
        <v>177</v>
      </c>
      <c r="E3" s="1161"/>
      <c r="F3" s="1161"/>
      <c r="G3" s="1161"/>
      <c r="H3" s="1161"/>
      <c r="I3" s="1162"/>
      <c r="J3" s="144"/>
      <c r="K3" s="1189" t="s">
        <v>178</v>
      </c>
      <c r="L3" s="1190"/>
      <c r="M3" s="1190"/>
      <c r="N3" s="1190"/>
      <c r="O3" s="1191"/>
      <c r="P3" s="133"/>
      <c r="X3" s="161"/>
    </row>
    <row r="4" spans="2:24">
      <c r="B4" s="151" t="s">
        <v>179</v>
      </c>
      <c r="C4" s="152" t="s">
        <v>180</v>
      </c>
      <c r="D4" s="153">
        <f>OP!J20</f>
        <v>2023</v>
      </c>
      <c r="E4" s="153">
        <f>D4-1</f>
        <v>2022</v>
      </c>
      <c r="F4" s="153">
        <f>E4-1</f>
        <v>2021</v>
      </c>
      <c r="G4" s="153">
        <f>F4-1</f>
        <v>2020</v>
      </c>
      <c r="H4" s="153">
        <f>G4-1</f>
        <v>2019</v>
      </c>
      <c r="I4" s="153">
        <f>H4-1</f>
        <v>2018</v>
      </c>
      <c r="J4" s="145"/>
      <c r="K4" s="153">
        <f>OP!J20</f>
        <v>2023</v>
      </c>
      <c r="L4" s="153">
        <f t="shared" ref="L4:O4" si="0">K4-1</f>
        <v>2022</v>
      </c>
      <c r="M4" s="153">
        <f t="shared" si="0"/>
        <v>2021</v>
      </c>
      <c r="N4" s="153">
        <f t="shared" si="0"/>
        <v>2020</v>
      </c>
      <c r="O4" s="153">
        <f t="shared" si="0"/>
        <v>2019</v>
      </c>
      <c r="P4" s="133"/>
      <c r="X4" s="161"/>
    </row>
    <row r="5" spans="2:24">
      <c r="B5" s="149">
        <f>IFERROR(D5/$D$11,"")</f>
        <v>0.30386451949658783</v>
      </c>
      <c r="C5" s="150" t="s">
        <v>181</v>
      </c>
      <c r="D5" s="786">
        <v>1571.8</v>
      </c>
      <c r="E5" s="786">
        <v>1325</v>
      </c>
      <c r="F5" s="786">
        <v>1006.8</v>
      </c>
      <c r="G5" s="786">
        <v>813.3</v>
      </c>
      <c r="H5" s="786">
        <v>695.5</v>
      </c>
      <c r="I5" s="786">
        <v>577.20000000000005</v>
      </c>
      <c r="J5" s="146"/>
      <c r="K5" s="282">
        <f>(D5-E5)/E5</f>
        <v>0.18626415094339618</v>
      </c>
      <c r="L5" s="282">
        <f>(E5-F5)/F5</f>
        <v>0.31605085419149787</v>
      </c>
      <c r="M5" s="282">
        <f>(F5-G5)/G5</f>
        <v>0.2379195868683143</v>
      </c>
      <c r="N5" s="282">
        <f t="shared" ref="N5:O5" si="1">(G5-H5)/H5</f>
        <v>0.16937455068296184</v>
      </c>
      <c r="O5" s="282">
        <f t="shared" si="1"/>
        <v>0.20495495495495486</v>
      </c>
      <c r="P5" s="133"/>
      <c r="X5" s="161"/>
    </row>
    <row r="6" spans="2:24">
      <c r="B6" s="149">
        <f t="shared" ref="B6:B10" si="2">IFERROR(D6/$D$11,"")</f>
        <v>0.10739072437991763</v>
      </c>
      <c r="C6" s="150" t="s">
        <v>182</v>
      </c>
      <c r="D6" s="786">
        <v>555.5</v>
      </c>
      <c r="E6" s="786">
        <v>460</v>
      </c>
      <c r="F6" s="786">
        <v>352</v>
      </c>
      <c r="G6" s="786">
        <v>263.89999999999998</v>
      </c>
      <c r="H6" s="786">
        <v>224.7</v>
      </c>
      <c r="I6" s="786">
        <v>185.7</v>
      </c>
      <c r="J6" s="146"/>
      <c r="K6" s="282">
        <f t="shared" ref="K6:K11" si="3">(D6-E6)/E6</f>
        <v>0.20760869565217391</v>
      </c>
      <c r="L6" s="282">
        <f t="shared" ref="L6:O8" si="4">(E6-F6)/F6</f>
        <v>0.30681818181818182</v>
      </c>
      <c r="M6" s="282">
        <f t="shared" si="4"/>
        <v>0.33383857521788568</v>
      </c>
      <c r="N6" s="282">
        <f t="shared" si="4"/>
        <v>0.1744548286604361</v>
      </c>
      <c r="O6" s="282">
        <f t="shared" si="4"/>
        <v>0.21001615508885299</v>
      </c>
      <c r="P6" s="133"/>
      <c r="X6" s="161"/>
    </row>
    <row r="7" spans="2:24">
      <c r="B7" s="149">
        <f t="shared" si="2"/>
        <v>0.38807585980242421</v>
      </c>
      <c r="C7" s="150" t="s">
        <v>183</v>
      </c>
      <c r="D7" s="786">
        <v>2007.4</v>
      </c>
      <c r="E7" s="786">
        <v>1691.8</v>
      </c>
      <c r="F7" s="786">
        <v>1275.9000000000001</v>
      </c>
      <c r="G7" s="786">
        <v>991.9</v>
      </c>
      <c r="H7" s="786">
        <v>816.5</v>
      </c>
      <c r="I7" s="786">
        <v>678</v>
      </c>
      <c r="J7" s="146"/>
      <c r="K7" s="282">
        <f t="shared" si="3"/>
        <v>0.18654687315285504</v>
      </c>
      <c r="L7" s="282">
        <f t="shared" si="4"/>
        <v>0.32596598479504652</v>
      </c>
      <c r="M7" s="282">
        <f t="shared" si="4"/>
        <v>0.28631918540175433</v>
      </c>
      <c r="N7" s="282">
        <f t="shared" si="4"/>
        <v>0.21481935088793627</v>
      </c>
      <c r="O7" s="282">
        <f t="shared" si="4"/>
        <v>0.20427728613569321</v>
      </c>
      <c r="P7" s="133"/>
      <c r="X7" s="161"/>
    </row>
    <row r="8" spans="2:24" ht="14.1" thickBot="1">
      <c r="B8" s="149">
        <f t="shared" si="2"/>
        <v>0.20066889632107021</v>
      </c>
      <c r="C8" s="150" t="s">
        <v>184</v>
      </c>
      <c r="D8" s="786">
        <v>1038</v>
      </c>
      <c r="E8" s="786">
        <v>940.6</v>
      </c>
      <c r="F8" s="786">
        <v>707.5</v>
      </c>
      <c r="G8" s="786">
        <v>525.29999999999995</v>
      </c>
      <c r="H8" s="786">
        <v>426.3</v>
      </c>
      <c r="I8" s="786">
        <v>360.3</v>
      </c>
      <c r="J8" s="146"/>
      <c r="K8" s="282">
        <f t="shared" si="3"/>
        <v>0.10355092494152666</v>
      </c>
      <c r="L8" s="282">
        <f t="shared" si="4"/>
        <v>0.329469964664311</v>
      </c>
      <c r="M8" s="282">
        <f t="shared" si="4"/>
        <v>0.34684941937940239</v>
      </c>
      <c r="N8" s="282">
        <f t="shared" si="4"/>
        <v>0.23223082336382814</v>
      </c>
      <c r="O8" s="282">
        <f t="shared" si="4"/>
        <v>0.18318068276436303</v>
      </c>
      <c r="P8" s="133"/>
      <c r="X8" s="161"/>
    </row>
    <row r="9" spans="2:24" hidden="1">
      <c r="B9" s="138">
        <f t="shared" si="2"/>
        <v>0</v>
      </c>
      <c r="C9" s="136"/>
      <c r="D9" s="142"/>
      <c r="E9" s="142"/>
      <c r="F9" s="142"/>
      <c r="G9" s="142"/>
      <c r="H9" s="142"/>
      <c r="I9" s="142"/>
      <c r="J9" s="146"/>
      <c r="K9" s="282" t="e">
        <f t="shared" si="3"/>
        <v>#DIV/0!</v>
      </c>
      <c r="L9" s="142"/>
      <c r="M9" s="142"/>
      <c r="N9" s="142"/>
      <c r="O9" s="142"/>
      <c r="P9" s="133"/>
      <c r="X9" s="161"/>
    </row>
    <row r="10" spans="2:24" hidden="1">
      <c r="B10" s="139">
        <f t="shared" si="2"/>
        <v>0</v>
      </c>
      <c r="C10" s="154"/>
      <c r="D10" s="143"/>
      <c r="E10" s="143"/>
      <c r="F10" s="143"/>
      <c r="G10" s="143"/>
      <c r="H10" s="143"/>
      <c r="I10" s="143"/>
      <c r="J10" s="146"/>
      <c r="K10" s="282" t="e">
        <f t="shared" si="3"/>
        <v>#DIV/0!</v>
      </c>
      <c r="L10" s="143"/>
      <c r="M10" s="143"/>
      <c r="N10" s="143"/>
      <c r="O10" s="143"/>
      <c r="P10" s="133"/>
      <c r="X10" s="161"/>
    </row>
    <row r="11" spans="2:24" ht="14.1" thickBot="1">
      <c r="B11" s="141">
        <f>SUM(B5:B10)</f>
        <v>0.99999999999999989</v>
      </c>
      <c r="C11" s="155" t="s">
        <v>185</v>
      </c>
      <c r="D11" s="137">
        <f>SUM(D5:D10)</f>
        <v>5172.7000000000007</v>
      </c>
      <c r="E11" s="137">
        <f>SUM(E5:E10)</f>
        <v>4417.4000000000005</v>
      </c>
      <c r="F11" s="137">
        <f>SUM(F5:F10)</f>
        <v>3342.2</v>
      </c>
      <c r="G11" s="137">
        <f t="shared" ref="G11:I11" si="5">SUM(G5:G10)</f>
        <v>2594.3999999999996</v>
      </c>
      <c r="H11" s="137">
        <f t="shared" si="5"/>
        <v>2163</v>
      </c>
      <c r="I11" s="137">
        <f t="shared" si="5"/>
        <v>1801.2</v>
      </c>
      <c r="J11" s="147"/>
      <c r="K11" s="284">
        <f t="shared" si="3"/>
        <v>0.17098293113596236</v>
      </c>
      <c r="L11" s="284">
        <f>(E11-F11)/F11</f>
        <v>0.32170426665070934</v>
      </c>
      <c r="M11" s="284">
        <f>(F11-G11)/G11</f>
        <v>0.28823620104841208</v>
      </c>
      <c r="N11" s="284">
        <f t="shared" ref="N11:O11" si="6">(G11-H11)/H11</f>
        <v>0.1994452149791954</v>
      </c>
      <c r="O11" s="284">
        <f t="shared" si="6"/>
        <v>0.20086608927381741</v>
      </c>
      <c r="P11" s="133"/>
      <c r="X11" s="161"/>
    </row>
    <row r="12" spans="2:24">
      <c r="B12" s="163"/>
      <c r="C12" s="4"/>
      <c r="D12" s="13"/>
      <c r="E12" s="13"/>
      <c r="F12" s="13"/>
      <c r="G12" s="13"/>
      <c r="H12" s="13"/>
      <c r="I12" s="13"/>
      <c r="J12" s="13"/>
      <c r="K12" s="13"/>
      <c r="L12" s="13"/>
      <c r="M12" s="13"/>
      <c r="N12" s="13"/>
      <c r="O12" s="13"/>
      <c r="P12" s="133"/>
      <c r="X12" s="161"/>
    </row>
    <row r="13" spans="2:24" ht="20.100000000000001" customHeight="1">
      <c r="B13" s="1198" t="str">
        <f>"Categories "&amp;"("&amp;OP!$J$20&amp;")"</f>
        <v>Categories (2023)</v>
      </c>
      <c r="C13" s="1199"/>
      <c r="D13" s="1199"/>
      <c r="E13" s="1199"/>
      <c r="F13" s="1199"/>
      <c r="G13" s="1199"/>
      <c r="H13" s="1199"/>
      <c r="I13" s="1199"/>
      <c r="J13" s="1199"/>
      <c r="K13" s="1199"/>
      <c r="L13" s="1199"/>
      <c r="M13" s="1199"/>
      <c r="N13" s="1199"/>
      <c r="O13" s="1200"/>
      <c r="P13" s="133"/>
      <c r="R13" s="287"/>
      <c r="X13" s="161"/>
    </row>
    <row r="14" spans="2:24" ht="20.100000000000001">
      <c r="B14" s="165"/>
      <c r="C14" s="166"/>
      <c r="D14" s="1165" t="s">
        <v>177</v>
      </c>
      <c r="E14" s="1167"/>
      <c r="F14" s="1167"/>
      <c r="G14" s="1167"/>
      <c r="H14" s="1167"/>
      <c r="I14" s="1166"/>
      <c r="J14" s="144"/>
      <c r="K14" s="1195" t="s">
        <v>178</v>
      </c>
      <c r="L14" s="1196"/>
      <c r="M14" s="1196"/>
      <c r="N14" s="1196"/>
      <c r="O14" s="1197"/>
      <c r="P14" s="133"/>
      <c r="X14" s="161"/>
    </row>
    <row r="15" spans="2:24">
      <c r="B15" s="164" t="s">
        <v>179</v>
      </c>
      <c r="C15" s="132" t="s">
        <v>186</v>
      </c>
      <c r="D15" s="140">
        <f>OP!J20</f>
        <v>2023</v>
      </c>
      <c r="E15" s="140">
        <f>D15-1</f>
        <v>2022</v>
      </c>
      <c r="F15" s="140">
        <f>E15-1</f>
        <v>2021</v>
      </c>
      <c r="G15" s="140">
        <f>F15-1</f>
        <v>2020</v>
      </c>
      <c r="H15" s="140">
        <f>G15-1</f>
        <v>2019</v>
      </c>
      <c r="I15" s="140">
        <f>H15-1</f>
        <v>2018</v>
      </c>
      <c r="J15" s="145"/>
      <c r="K15" s="148">
        <f>OP!J20</f>
        <v>2023</v>
      </c>
      <c r="L15" s="148">
        <f t="shared" ref="L15:O15" si="7">K15-1</f>
        <v>2022</v>
      </c>
      <c r="M15" s="148">
        <f t="shared" si="7"/>
        <v>2021</v>
      </c>
      <c r="N15" s="148">
        <f t="shared" si="7"/>
        <v>2020</v>
      </c>
      <c r="O15" s="148">
        <f t="shared" si="7"/>
        <v>2019</v>
      </c>
      <c r="P15" s="133"/>
      <c r="X15" s="161"/>
    </row>
    <row r="16" spans="2:24">
      <c r="B16" s="149">
        <f>IFERROR(D16/$D$19,"")</f>
        <v>0.38269695505074913</v>
      </c>
      <c r="C16" s="135" t="s">
        <v>176</v>
      </c>
      <c r="D16" s="786">
        <v>1979.5</v>
      </c>
      <c r="E16" s="786">
        <v>1780.5</v>
      </c>
      <c r="F16" s="786">
        <v>1255</v>
      </c>
      <c r="G16" s="786">
        <v>916.4</v>
      </c>
      <c r="H16" s="786">
        <v>788.5</v>
      </c>
      <c r="I16" s="786">
        <v>674.4</v>
      </c>
      <c r="J16" s="146"/>
      <c r="K16" s="285">
        <f t="shared" ref="K16:K19" si="8">(D16-E16)/E16</f>
        <v>0.11176635776467285</v>
      </c>
      <c r="L16" s="285">
        <f t="shared" ref="L16:O19" si="9">(E16-F16)/F16</f>
        <v>0.4187250996015936</v>
      </c>
      <c r="M16" s="285">
        <f t="shared" si="9"/>
        <v>0.36948930597992147</v>
      </c>
      <c r="N16" s="285">
        <f t="shared" si="9"/>
        <v>0.16220672162333541</v>
      </c>
      <c r="O16" s="285">
        <f t="shared" si="9"/>
        <v>0.16918742586002378</v>
      </c>
      <c r="P16" s="133"/>
      <c r="X16" s="161"/>
    </row>
    <row r="17" spans="2:16">
      <c r="B17" s="149">
        <f>IFERROR(D17/$D$19,"")</f>
        <v>0.34374093765103914</v>
      </c>
      <c r="C17" s="552" t="s">
        <v>187</v>
      </c>
      <c r="D17" s="786">
        <v>1778</v>
      </c>
      <c r="E17" s="786">
        <v>1427</v>
      </c>
      <c r="F17" s="786">
        <v>1125</v>
      </c>
      <c r="G17" s="786">
        <v>918.7</v>
      </c>
      <c r="H17" s="786">
        <v>750.8</v>
      </c>
      <c r="I17" s="786">
        <v>602.6</v>
      </c>
      <c r="J17" s="146"/>
      <c r="K17" s="285">
        <f t="shared" si="8"/>
        <v>0.24597056762438682</v>
      </c>
      <c r="L17" s="285">
        <f t="shared" ref="L17" si="10">(E17-F17)/F17</f>
        <v>0.26844444444444443</v>
      </c>
      <c r="M17" s="285">
        <f t="shared" ref="M17" si="11">(F17-G17)/G17</f>
        <v>0.22455643844562964</v>
      </c>
      <c r="N17" s="285">
        <f t="shared" ref="N17" si="12">(G17-H17)/H17</f>
        <v>0.22362812999467249</v>
      </c>
      <c r="O17" s="285">
        <f t="shared" ref="O17" si="13">(H17-I17)/I17</f>
        <v>0.24593428476601381</v>
      </c>
      <c r="P17" s="133"/>
    </row>
    <row r="18" spans="2:16">
      <c r="B18" s="149">
        <f>IFERROR(D18/$D$19,"")</f>
        <v>0.27356210729821168</v>
      </c>
      <c r="C18" s="136" t="s">
        <v>188</v>
      </c>
      <c r="D18" s="786">
        <v>1415</v>
      </c>
      <c r="E18" s="786">
        <v>1209.9000000000001</v>
      </c>
      <c r="F18" s="786">
        <v>962.2</v>
      </c>
      <c r="G18" s="786">
        <v>759.3</v>
      </c>
      <c r="H18" s="786">
        <v>623.70000000000005</v>
      </c>
      <c r="I18" s="786">
        <v>524.20000000000005</v>
      </c>
      <c r="J18" s="146"/>
      <c r="K18" s="286">
        <f t="shared" si="8"/>
        <v>0.16951814199520612</v>
      </c>
      <c r="L18" s="286">
        <f t="shared" si="9"/>
        <v>0.25743088754936605</v>
      </c>
      <c r="M18" s="286">
        <f t="shared" si="9"/>
        <v>0.26721980771763482</v>
      </c>
      <c r="N18" s="286">
        <f t="shared" si="9"/>
        <v>0.21741221741221725</v>
      </c>
      <c r="O18" s="286">
        <f t="shared" si="9"/>
        <v>0.18981304845478822</v>
      </c>
      <c r="P18" s="133"/>
    </row>
    <row r="19" spans="2:16">
      <c r="B19" s="141">
        <f>SUM(B16:B18)</f>
        <v>1</v>
      </c>
      <c r="C19" s="155" t="s">
        <v>185</v>
      </c>
      <c r="D19" s="137">
        <f t="shared" ref="D19:I19" si="14">SUM(D16:D18)</f>
        <v>5172.5</v>
      </c>
      <c r="E19" s="137">
        <f t="shared" si="14"/>
        <v>4417.3999999999996</v>
      </c>
      <c r="F19" s="137">
        <f t="shared" si="14"/>
        <v>3342.2</v>
      </c>
      <c r="G19" s="137">
        <f t="shared" si="14"/>
        <v>2594.3999999999996</v>
      </c>
      <c r="H19" s="137">
        <f t="shared" si="14"/>
        <v>2163</v>
      </c>
      <c r="I19" s="877">
        <f t="shared" si="14"/>
        <v>1801.2</v>
      </c>
      <c r="J19" s="147"/>
      <c r="K19" s="283">
        <f t="shared" si="8"/>
        <v>0.17093765563453625</v>
      </c>
      <c r="L19" s="284">
        <f t="shared" si="9"/>
        <v>0.32170426665070906</v>
      </c>
      <c r="M19" s="284">
        <f t="shared" ref="M19" si="15">(F19-G19)/G19</f>
        <v>0.28823620104841208</v>
      </c>
      <c r="N19" s="284">
        <f t="shared" ref="N19" si="16">(G19-H19)/H19</f>
        <v>0.1994452149791954</v>
      </c>
      <c r="O19" s="284">
        <f t="shared" ref="O19" si="17">(H19-I19)/I19</f>
        <v>0.20086608927381741</v>
      </c>
      <c r="P19" s="133"/>
    </row>
    <row r="20" spans="2:16">
      <c r="C20" s="12"/>
      <c r="D20" s="13"/>
      <c r="E20" s="14"/>
      <c r="F20" s="13"/>
      <c r="G20" s="14"/>
      <c r="H20" s="13"/>
      <c r="I20" s="14"/>
      <c r="J20" s="41"/>
      <c r="P20" s="133"/>
    </row>
    <row r="21" spans="2:16" ht="20.100000000000001" customHeight="1">
      <c r="B21" s="1165" t="s">
        <v>68</v>
      </c>
      <c r="C21" s="1166"/>
      <c r="D21" s="1165" t="s">
        <v>189</v>
      </c>
      <c r="E21" s="1167"/>
      <c r="F21" s="1167"/>
      <c r="G21" s="1167"/>
      <c r="H21" s="1166"/>
      <c r="I21" s="1157" t="s">
        <v>190</v>
      </c>
      <c r="J21" s="1158"/>
      <c r="K21" s="1158"/>
      <c r="L21" s="1158"/>
      <c r="M21" s="1158"/>
      <c r="N21" s="1158"/>
      <c r="O21" s="1159"/>
      <c r="P21" s="133"/>
    </row>
    <row r="22" spans="2:16" ht="30.6" customHeight="1">
      <c r="B22" s="1163" t="s">
        <v>176</v>
      </c>
      <c r="C22" s="1164"/>
      <c r="D22" s="1168" t="s">
        <v>191</v>
      </c>
      <c r="E22" s="1169"/>
      <c r="F22" s="1169"/>
      <c r="G22" s="1169"/>
      <c r="H22" s="1170"/>
      <c r="I22" s="133"/>
      <c r="P22" s="133"/>
    </row>
    <row r="23" spans="2:16" ht="41.25" customHeight="1">
      <c r="B23" s="1163" t="s">
        <v>192</v>
      </c>
      <c r="C23" s="1164"/>
      <c r="D23" s="1171" t="s">
        <v>193</v>
      </c>
      <c r="E23" s="1172"/>
      <c r="F23" s="1172"/>
      <c r="G23" s="1172"/>
      <c r="H23" s="1173"/>
      <c r="I23" s="133"/>
      <c r="P23" s="133"/>
    </row>
    <row r="24" spans="2:16" ht="28.35" customHeight="1">
      <c r="B24" s="1163" t="s">
        <v>194</v>
      </c>
      <c r="C24" s="1164"/>
      <c r="D24" s="1174" t="s">
        <v>195</v>
      </c>
      <c r="E24" s="1175"/>
      <c r="F24" s="1175"/>
      <c r="G24" s="1175"/>
      <c r="H24" s="1176"/>
      <c r="I24" s="133"/>
      <c r="P24" s="133"/>
    </row>
    <row r="25" spans="2:16" ht="30.6" customHeight="1">
      <c r="B25" s="1163" t="s">
        <v>66</v>
      </c>
      <c r="C25" s="1164"/>
      <c r="D25" s="1174" t="s">
        <v>66</v>
      </c>
      <c r="E25" s="1175"/>
      <c r="F25" s="1175"/>
      <c r="G25" s="1175"/>
      <c r="H25" s="1176"/>
      <c r="I25" s="133"/>
      <c r="P25" s="133"/>
    </row>
    <row r="26" spans="2:16" ht="41.25" customHeight="1" thickBot="1">
      <c r="B26" s="1163" t="s">
        <v>66</v>
      </c>
      <c r="C26" s="1164"/>
      <c r="D26" s="1174" t="s">
        <v>66</v>
      </c>
      <c r="E26" s="1175"/>
      <c r="F26" s="1175"/>
      <c r="G26" s="1175"/>
      <c r="H26" s="1176"/>
      <c r="I26" s="133"/>
      <c r="P26" s="133"/>
    </row>
    <row r="27" spans="2:16" ht="28.35" hidden="1" customHeight="1">
      <c r="B27" s="1163"/>
      <c r="C27" s="1164"/>
      <c r="D27" s="1213"/>
      <c r="E27" s="1214"/>
      <c r="F27" s="1214"/>
      <c r="G27" s="1214"/>
      <c r="H27" s="1215"/>
      <c r="I27" s="133"/>
      <c r="P27" s="133"/>
    </row>
    <row r="28" spans="2:16" ht="56.25" customHeight="1" thickBot="1">
      <c r="I28" s="134"/>
      <c r="J28" s="162"/>
      <c r="K28" s="162"/>
      <c r="L28" s="162"/>
      <c r="M28" s="162"/>
      <c r="N28" s="162"/>
      <c r="O28" s="162"/>
      <c r="P28" s="134"/>
    </row>
    <row r="29" spans="2:16" ht="20.100000000000001" customHeight="1" thickBot="1">
      <c r="B29" s="1165" t="s">
        <v>196</v>
      </c>
      <c r="C29" s="1167"/>
      <c r="D29" s="1167"/>
      <c r="E29" s="1167"/>
      <c r="F29" s="1167"/>
      <c r="G29" s="1167"/>
      <c r="H29" s="1167"/>
      <c r="I29" s="1166"/>
      <c r="J29" s="1222" t="s">
        <v>197</v>
      </c>
      <c r="K29" s="1223"/>
      <c r="L29" s="1223"/>
      <c r="M29" s="1223"/>
      <c r="N29" s="1223"/>
      <c r="O29" s="1223"/>
      <c r="P29" s="1224"/>
    </row>
    <row r="30" spans="2:16">
      <c r="B30" s="1177" t="s">
        <v>198</v>
      </c>
      <c r="C30" s="1179"/>
      <c r="D30" s="1177" t="s">
        <v>189</v>
      </c>
      <c r="E30" s="1178"/>
      <c r="F30" s="1178"/>
      <c r="G30" s="1178"/>
      <c r="H30" s="1178"/>
      <c r="I30" s="1179"/>
      <c r="J30" s="156"/>
      <c r="K30" s="159"/>
      <c r="L30" s="159"/>
      <c r="M30" s="159"/>
      <c r="N30" s="159"/>
      <c r="O30" s="159"/>
      <c r="P30" s="160"/>
    </row>
    <row r="31" spans="2:16" ht="78" customHeight="1">
      <c r="B31" s="1201" t="s">
        <v>199</v>
      </c>
      <c r="C31" s="1202"/>
      <c r="D31" s="1207"/>
      <c r="E31" s="1208"/>
      <c r="F31" s="1208"/>
      <c r="G31" s="1208"/>
      <c r="H31" s="1208"/>
      <c r="I31" s="1209"/>
      <c r="J31" s="133"/>
      <c r="P31" s="161"/>
    </row>
    <row r="32" spans="2:16" ht="78" customHeight="1">
      <c r="B32" s="1201" t="s">
        <v>200</v>
      </c>
      <c r="C32" s="1202"/>
      <c r="D32" s="797"/>
      <c r="E32" s="389"/>
      <c r="F32" s="389"/>
      <c r="G32" s="389"/>
      <c r="H32" s="389"/>
      <c r="I32" s="798"/>
      <c r="J32" s="133"/>
      <c r="P32" s="161"/>
    </row>
    <row r="33" spans="2:16" ht="60" customHeight="1">
      <c r="B33" s="1201" t="s">
        <v>201</v>
      </c>
      <c r="C33" s="1202"/>
      <c r="D33" s="1210"/>
      <c r="E33" s="1211"/>
      <c r="F33" s="1211"/>
      <c r="G33" s="1211"/>
      <c r="H33" s="1211"/>
      <c r="I33" s="1212"/>
      <c r="J33" s="133"/>
      <c r="P33" s="161"/>
    </row>
    <row r="34" spans="2:16">
      <c r="B34" s="1177" t="s">
        <v>202</v>
      </c>
      <c r="C34" s="1178"/>
      <c r="D34" s="1178"/>
      <c r="E34" s="1178"/>
      <c r="F34" s="1178"/>
      <c r="G34" s="1178"/>
      <c r="H34" s="1178"/>
      <c r="I34" s="1179"/>
      <c r="J34" s="133"/>
      <c r="P34" s="161"/>
    </row>
    <row r="35" spans="2:16" ht="13.5" customHeight="1">
      <c r="B35" s="1180" t="s">
        <v>203</v>
      </c>
      <c r="C35" s="1182"/>
      <c r="D35" s="1180" t="s">
        <v>204</v>
      </c>
      <c r="E35" s="1181"/>
      <c r="F35" s="1182"/>
      <c r="G35" s="1180" t="s">
        <v>205</v>
      </c>
      <c r="H35" s="1181"/>
      <c r="I35" s="1182"/>
      <c r="J35" s="133"/>
      <c r="P35" s="161"/>
    </row>
    <row r="36" spans="2:16">
      <c r="B36" s="1203" t="s">
        <v>206</v>
      </c>
      <c r="C36" s="1204"/>
      <c r="D36" s="1228">
        <v>0.17599999999999999</v>
      </c>
      <c r="E36" s="1229"/>
      <c r="F36" s="1230"/>
      <c r="G36" s="1225" t="s">
        <v>207</v>
      </c>
      <c r="H36" s="1226"/>
      <c r="I36" s="1227"/>
      <c r="J36" s="133"/>
      <c r="P36" s="161"/>
    </row>
    <row r="37" spans="2:16">
      <c r="B37" s="1155" t="s">
        <v>208</v>
      </c>
      <c r="C37" s="1156"/>
      <c r="D37" s="1228">
        <v>0.1227</v>
      </c>
      <c r="E37" s="1229"/>
      <c r="F37" s="1230"/>
      <c r="G37" s="1225" t="s">
        <v>209</v>
      </c>
      <c r="H37" s="1226"/>
      <c r="I37" s="1227"/>
      <c r="J37" s="133"/>
      <c r="P37" s="161"/>
    </row>
    <row r="38" spans="2:16">
      <c r="B38" s="1203" t="s">
        <v>210</v>
      </c>
      <c r="C38" s="1204"/>
      <c r="D38" s="1228">
        <v>0.23580000000000001</v>
      </c>
      <c r="E38" s="1229"/>
      <c r="F38" s="1230"/>
      <c r="G38" s="1225" t="s">
        <v>211</v>
      </c>
      <c r="H38" s="1226"/>
      <c r="I38" s="1227"/>
      <c r="J38" s="133"/>
      <c r="P38" s="161"/>
    </row>
    <row r="39" spans="2:16" ht="14.1" thickBot="1">
      <c r="B39" s="1205" t="s">
        <v>212</v>
      </c>
      <c r="C39" s="1206"/>
      <c r="D39" s="1183">
        <v>7.3700000000000002E-2</v>
      </c>
      <c r="E39" s="1184"/>
      <c r="F39" s="1185"/>
      <c r="G39" s="1219" t="s">
        <v>213</v>
      </c>
      <c r="H39" s="1220"/>
      <c r="I39" s="1221"/>
      <c r="J39" s="133"/>
      <c r="P39" s="161"/>
    </row>
    <row r="40" spans="2:16" ht="14.1" thickBot="1">
      <c r="B40" s="1151" t="s">
        <v>214</v>
      </c>
      <c r="C40" s="1152"/>
      <c r="D40" s="1153">
        <f>AVERAGE(D36:D39)</f>
        <v>0.15204999999999999</v>
      </c>
      <c r="E40" s="1153"/>
      <c r="F40" s="1153"/>
      <c r="G40" s="1153"/>
      <c r="H40" s="1153"/>
      <c r="I40" s="1154"/>
      <c r="J40" s="133"/>
      <c r="P40" s="161"/>
    </row>
    <row r="41" spans="2:16" ht="21" thickBot="1">
      <c r="B41" s="1231" t="s">
        <v>215</v>
      </c>
      <c r="C41" s="1232"/>
      <c r="D41" s="1167"/>
      <c r="E41" s="1167"/>
      <c r="F41" s="1167"/>
      <c r="G41" s="1167"/>
      <c r="H41" s="1167"/>
      <c r="I41" s="1166"/>
      <c r="J41" s="133"/>
      <c r="P41" s="161"/>
    </row>
    <row r="42" spans="2:16">
      <c r="B42" s="288"/>
      <c r="C42" s="157"/>
      <c r="D42" s="158"/>
      <c r="E42" s="159"/>
      <c r="F42" s="159"/>
      <c r="G42" s="159"/>
      <c r="H42" s="159"/>
      <c r="I42" s="160"/>
      <c r="J42" s="133"/>
      <c r="P42" s="161"/>
    </row>
    <row r="43" spans="2:16">
      <c r="B43" s="288"/>
      <c r="I43" s="161"/>
      <c r="J43" s="133"/>
      <c r="P43" s="161"/>
    </row>
    <row r="44" spans="2:16" ht="12.75" customHeight="1">
      <c r="B44" s="1216"/>
      <c r="C44" s="1217"/>
      <c r="D44" s="1217"/>
      <c r="E44" s="1217"/>
      <c r="F44" s="1217"/>
      <c r="G44" s="1217"/>
      <c r="H44" s="1217"/>
      <c r="I44" s="1218"/>
      <c r="J44" s="133"/>
      <c r="P44" s="161"/>
    </row>
    <row r="45" spans="2:16" ht="12.95" customHeight="1">
      <c r="B45" s="1216"/>
      <c r="C45" s="1217"/>
      <c r="D45" s="1217"/>
      <c r="E45" s="1217"/>
      <c r="F45" s="1217"/>
      <c r="G45" s="1217"/>
      <c r="H45" s="1217"/>
      <c r="I45" s="1218"/>
      <c r="J45" s="133"/>
      <c r="P45" s="161"/>
    </row>
    <row r="46" spans="2:16" ht="12.95" customHeight="1">
      <c r="B46" s="1216"/>
      <c r="C46" s="1217"/>
      <c r="D46" s="1217"/>
      <c r="E46" s="1217"/>
      <c r="F46" s="1217"/>
      <c r="G46" s="1217"/>
      <c r="H46" s="1217"/>
      <c r="I46" s="1218"/>
      <c r="J46" s="133"/>
      <c r="P46" s="161"/>
    </row>
    <row r="47" spans="2:16" ht="12.95" customHeight="1">
      <c r="B47" s="1216"/>
      <c r="C47" s="1217"/>
      <c r="D47" s="1217"/>
      <c r="E47" s="1217"/>
      <c r="F47" s="1217"/>
      <c r="G47" s="1217"/>
      <c r="H47" s="1217"/>
      <c r="I47" s="1218"/>
      <c r="J47" s="133"/>
      <c r="P47" s="161"/>
    </row>
    <row r="48" spans="2:16" ht="12.95" customHeight="1">
      <c r="B48" s="1216"/>
      <c r="C48" s="1217"/>
      <c r="D48" s="1217"/>
      <c r="E48" s="1217"/>
      <c r="F48" s="1217"/>
      <c r="G48" s="1217"/>
      <c r="H48" s="1217"/>
      <c r="I48" s="1218"/>
      <c r="J48" s="133"/>
      <c r="P48" s="161"/>
    </row>
    <row r="49" spans="2:9" ht="12.95" customHeight="1">
      <c r="B49" s="1216"/>
      <c r="C49" s="1217"/>
      <c r="D49" s="1217"/>
      <c r="E49" s="1217"/>
      <c r="F49" s="1217"/>
      <c r="G49" s="1217"/>
      <c r="H49" s="1217"/>
      <c r="I49" s="1218"/>
    </row>
    <row r="50" spans="2:9" ht="12.95" customHeight="1">
      <c r="B50" s="1216"/>
      <c r="C50" s="1217"/>
      <c r="D50" s="1217"/>
      <c r="E50" s="1217"/>
      <c r="F50" s="1217"/>
      <c r="G50" s="1217"/>
      <c r="H50" s="1217"/>
      <c r="I50" s="1218"/>
    </row>
    <row r="51" spans="2:9" ht="12.95" customHeight="1">
      <c r="B51" s="1216"/>
      <c r="C51" s="1217"/>
      <c r="D51" s="1217"/>
      <c r="E51" s="1217"/>
      <c r="F51" s="1217"/>
      <c r="G51" s="1217"/>
      <c r="H51" s="1217"/>
      <c r="I51" s="1218"/>
    </row>
    <row r="52" spans="2:9" ht="12.95" customHeight="1">
      <c r="B52" s="1216"/>
      <c r="C52" s="1217"/>
      <c r="D52" s="1217"/>
      <c r="E52" s="1217"/>
      <c r="F52" s="1217"/>
      <c r="G52" s="1217"/>
      <c r="H52" s="1217"/>
      <c r="I52" s="1218"/>
    </row>
  </sheetData>
  <mergeCells count="51">
    <mergeCell ref="B44:I52"/>
    <mergeCell ref="G39:I39"/>
    <mergeCell ref="J29:P29"/>
    <mergeCell ref="G37:I37"/>
    <mergeCell ref="G38:I38"/>
    <mergeCell ref="D36:F36"/>
    <mergeCell ref="D37:F37"/>
    <mergeCell ref="D38:F38"/>
    <mergeCell ref="B34:I34"/>
    <mergeCell ref="B35:C35"/>
    <mergeCell ref="B36:C36"/>
    <mergeCell ref="G36:I36"/>
    <mergeCell ref="B29:I29"/>
    <mergeCell ref="B41:I41"/>
    <mergeCell ref="B30:C30"/>
    <mergeCell ref="B31:C31"/>
    <mergeCell ref="B23:C23"/>
    <mergeCell ref="B33:C33"/>
    <mergeCell ref="B38:C38"/>
    <mergeCell ref="B39:C39"/>
    <mergeCell ref="D31:I31"/>
    <mergeCell ref="D33:I33"/>
    <mergeCell ref="B25:C25"/>
    <mergeCell ref="B26:C26"/>
    <mergeCell ref="B27:C27"/>
    <mergeCell ref="D25:H25"/>
    <mergeCell ref="D26:H26"/>
    <mergeCell ref="D27:H27"/>
    <mergeCell ref="B32:C32"/>
    <mergeCell ref="P2:X2"/>
    <mergeCell ref="K3:O3"/>
    <mergeCell ref="B2:O2"/>
    <mergeCell ref="K14:O14"/>
    <mergeCell ref="B13:O13"/>
    <mergeCell ref="D14:I14"/>
    <mergeCell ref="B40:C40"/>
    <mergeCell ref="D40:I40"/>
    <mergeCell ref="B37:C37"/>
    <mergeCell ref="I21:O21"/>
    <mergeCell ref="D3:I3"/>
    <mergeCell ref="B22:C22"/>
    <mergeCell ref="B21:C21"/>
    <mergeCell ref="B24:C24"/>
    <mergeCell ref="D21:H21"/>
    <mergeCell ref="D22:H22"/>
    <mergeCell ref="D23:H23"/>
    <mergeCell ref="D24:H24"/>
    <mergeCell ref="D30:I30"/>
    <mergeCell ref="D35:F35"/>
    <mergeCell ref="G35:I35"/>
    <mergeCell ref="D39:F39"/>
  </mergeCells>
  <phoneticPr fontId="0" type="noConversion"/>
  <conditionalFormatting sqref="B5:B10">
    <cfRule type="dataBar" priority="92">
      <dataBar>
        <cfvo type="min"/>
        <cfvo type="max"/>
        <color rgb="FF638EC6"/>
      </dataBar>
      <extLst>
        <ext xmlns:x14="http://schemas.microsoft.com/office/spreadsheetml/2009/9/main" uri="{B025F937-C7B1-47D3-B67F-A62EFF666E3E}">
          <x14:id>{6E381EE6-DF6C-4880-BDC6-793A4FBC9886}</x14:id>
        </ext>
      </extLst>
    </cfRule>
  </conditionalFormatting>
  <conditionalFormatting sqref="B16:B18">
    <cfRule type="dataBar" priority="194">
      <dataBar>
        <cfvo type="min"/>
        <cfvo type="max"/>
        <color rgb="FF638EC6"/>
      </dataBar>
      <extLst>
        <ext xmlns:x14="http://schemas.microsoft.com/office/spreadsheetml/2009/9/main" uri="{B025F937-C7B1-47D3-B67F-A62EFF666E3E}">
          <x14:id>{070902CC-8EB6-43DB-B9AD-5811F17D394B}</x14:id>
        </ext>
      </extLst>
    </cfRule>
  </conditionalFormatting>
  <conditionalFormatting sqref="D5:D10">
    <cfRule type="dataBar" priority="94">
      <dataBar>
        <cfvo type="min"/>
        <cfvo type="max"/>
        <color rgb="FF63C384"/>
      </dataBar>
      <extLst>
        <ext xmlns:x14="http://schemas.microsoft.com/office/spreadsheetml/2009/9/main" uri="{B025F937-C7B1-47D3-B67F-A62EFF666E3E}">
          <x14:id>{767D33FE-8570-4B26-81B7-5505E2A08A62}</x14:id>
        </ext>
      </extLst>
    </cfRule>
  </conditionalFormatting>
  <conditionalFormatting sqref="D16:D18">
    <cfRule type="dataBar" priority="195">
      <dataBar>
        <cfvo type="min"/>
        <cfvo type="max"/>
        <color rgb="FF63C384"/>
      </dataBar>
      <extLst>
        <ext xmlns:x14="http://schemas.microsoft.com/office/spreadsheetml/2009/9/main" uri="{B025F937-C7B1-47D3-B67F-A62EFF666E3E}">
          <x14:id>{3F107DCC-63A1-497B-B919-528218A545C1}</x14:id>
        </ext>
      </extLst>
    </cfRule>
  </conditionalFormatting>
  <conditionalFormatting sqref="D5:I8">
    <cfRule type="dataBar" priority="96">
      <dataBar>
        <cfvo type="min"/>
        <cfvo type="max"/>
        <color rgb="FF63C384"/>
      </dataBar>
      <extLst>
        <ext xmlns:x14="http://schemas.microsoft.com/office/spreadsheetml/2009/9/main" uri="{B025F937-C7B1-47D3-B67F-A62EFF666E3E}">
          <x14:id>{83BDDF4E-0A7D-4B3E-A60B-AD52AC0FFA68}</x14:id>
        </ext>
      </extLst>
    </cfRule>
  </conditionalFormatting>
  <conditionalFormatting sqref="D16:I18">
    <cfRule type="dataBar" priority="196">
      <dataBar>
        <cfvo type="min"/>
        <cfvo type="max"/>
        <color rgb="FF63C384"/>
      </dataBar>
      <extLst>
        <ext xmlns:x14="http://schemas.microsoft.com/office/spreadsheetml/2009/9/main" uri="{B025F937-C7B1-47D3-B67F-A62EFF666E3E}">
          <x14:id>{5BBC426E-7FA9-4F5C-AC78-B3996BA8F931}</x14:id>
        </ext>
      </extLst>
    </cfRule>
  </conditionalFormatting>
  <conditionalFormatting sqref="E5:E10">
    <cfRule type="dataBar" priority="97">
      <dataBar>
        <cfvo type="min"/>
        <cfvo type="max"/>
        <color rgb="FF63C384"/>
      </dataBar>
      <extLst>
        <ext xmlns:x14="http://schemas.microsoft.com/office/spreadsheetml/2009/9/main" uri="{B025F937-C7B1-47D3-B67F-A62EFF666E3E}">
          <x14:id>{740A2B96-C6E5-4177-AC04-9573B81E30EC}</x14:id>
        </ext>
      </extLst>
    </cfRule>
  </conditionalFormatting>
  <conditionalFormatting sqref="E16:E18">
    <cfRule type="dataBar" priority="197">
      <dataBar>
        <cfvo type="min"/>
        <cfvo type="max"/>
        <color rgb="FF63C384"/>
      </dataBar>
      <extLst>
        <ext xmlns:x14="http://schemas.microsoft.com/office/spreadsheetml/2009/9/main" uri="{B025F937-C7B1-47D3-B67F-A62EFF666E3E}">
          <x14:id>{5AA7A103-2149-42E1-9BBB-48A01258D43D}</x14:id>
        </ext>
      </extLst>
    </cfRule>
  </conditionalFormatting>
  <conditionalFormatting sqref="F5:F10">
    <cfRule type="dataBar" priority="99">
      <dataBar>
        <cfvo type="min"/>
        <cfvo type="max"/>
        <color rgb="FF63C384"/>
      </dataBar>
      <extLst>
        <ext xmlns:x14="http://schemas.microsoft.com/office/spreadsheetml/2009/9/main" uri="{B025F937-C7B1-47D3-B67F-A62EFF666E3E}">
          <x14:id>{5EFE30C4-0901-404E-9108-731E3BE4821E}</x14:id>
        </ext>
      </extLst>
    </cfRule>
  </conditionalFormatting>
  <conditionalFormatting sqref="F16:F18">
    <cfRule type="dataBar" priority="198">
      <dataBar>
        <cfvo type="min"/>
        <cfvo type="max"/>
        <color rgb="FF63C384"/>
      </dataBar>
      <extLst>
        <ext xmlns:x14="http://schemas.microsoft.com/office/spreadsheetml/2009/9/main" uri="{B025F937-C7B1-47D3-B67F-A62EFF666E3E}">
          <x14:id>{5EE1521A-2483-44CA-9CCA-E5FC63E6246F}</x14:id>
        </ext>
      </extLst>
    </cfRule>
  </conditionalFormatting>
  <conditionalFormatting sqref="G5:G10">
    <cfRule type="dataBar" priority="101">
      <dataBar>
        <cfvo type="min"/>
        <cfvo type="max"/>
        <color rgb="FF63C384"/>
      </dataBar>
      <extLst>
        <ext xmlns:x14="http://schemas.microsoft.com/office/spreadsheetml/2009/9/main" uri="{B025F937-C7B1-47D3-B67F-A62EFF666E3E}">
          <x14:id>{A1F44ECC-EF2B-4606-87E9-B7F443AC18BF}</x14:id>
        </ext>
      </extLst>
    </cfRule>
  </conditionalFormatting>
  <conditionalFormatting sqref="G16:G18">
    <cfRule type="dataBar" priority="199">
      <dataBar>
        <cfvo type="min"/>
        <cfvo type="max"/>
        <color rgb="FF63C384"/>
      </dataBar>
      <extLst>
        <ext xmlns:x14="http://schemas.microsoft.com/office/spreadsheetml/2009/9/main" uri="{B025F937-C7B1-47D3-B67F-A62EFF666E3E}">
          <x14:id>{00DC50B7-1706-4DFB-A90F-9F95CB19CA6D}</x14:id>
        </ext>
      </extLst>
    </cfRule>
  </conditionalFormatting>
  <conditionalFormatting sqref="H5:H10">
    <cfRule type="dataBar" priority="103">
      <dataBar>
        <cfvo type="min"/>
        <cfvo type="max"/>
        <color rgb="FF63C384"/>
      </dataBar>
      <extLst>
        <ext xmlns:x14="http://schemas.microsoft.com/office/spreadsheetml/2009/9/main" uri="{B025F937-C7B1-47D3-B67F-A62EFF666E3E}">
          <x14:id>{4320827E-AAAF-46DA-9F47-1F13F9C2B2E6}</x14:id>
        </ext>
      </extLst>
    </cfRule>
  </conditionalFormatting>
  <conditionalFormatting sqref="H16:H18">
    <cfRule type="dataBar" priority="200">
      <dataBar>
        <cfvo type="min"/>
        <cfvo type="max"/>
        <color rgb="FF63C384"/>
      </dataBar>
      <extLst>
        <ext xmlns:x14="http://schemas.microsoft.com/office/spreadsheetml/2009/9/main" uri="{B025F937-C7B1-47D3-B67F-A62EFF666E3E}">
          <x14:id>{EED505F4-1AE5-4E85-A25F-1DAC1EADC97D}</x14:id>
        </ext>
      </extLst>
    </cfRule>
  </conditionalFormatting>
  <conditionalFormatting sqref="I5:I10">
    <cfRule type="dataBar" priority="105">
      <dataBar>
        <cfvo type="min"/>
        <cfvo type="max"/>
        <color rgb="FF63C384"/>
      </dataBar>
      <extLst>
        <ext xmlns:x14="http://schemas.microsoft.com/office/spreadsheetml/2009/9/main" uri="{B025F937-C7B1-47D3-B67F-A62EFF666E3E}">
          <x14:id>{5091493A-8CC0-4646-874A-93DEE51CD4AB}</x14:id>
        </ext>
      </extLst>
    </cfRule>
  </conditionalFormatting>
  <conditionalFormatting sqref="I16:I18">
    <cfRule type="dataBar" priority="201">
      <dataBar>
        <cfvo type="min"/>
        <cfvo type="max"/>
        <color rgb="FF63C384"/>
      </dataBar>
      <extLst>
        <ext xmlns:x14="http://schemas.microsoft.com/office/spreadsheetml/2009/9/main" uri="{B025F937-C7B1-47D3-B67F-A62EFF666E3E}">
          <x14:id>{A192D211-7CF8-4DE2-A7D7-7E84CEAE76AC}</x14:id>
        </ext>
      </extLst>
    </cfRule>
  </conditionalFormatting>
  <conditionalFormatting sqref="K5:K10">
    <cfRule type="dataBar" priority="107">
      <dataBar>
        <cfvo type="min"/>
        <cfvo type="max"/>
        <color rgb="FF63C384"/>
      </dataBar>
      <extLst>
        <ext xmlns:x14="http://schemas.microsoft.com/office/spreadsheetml/2009/9/main" uri="{B025F937-C7B1-47D3-B67F-A62EFF666E3E}">
          <x14:id>{5A27FB5F-AC6D-40FD-B152-7630C251B9C8}</x14:id>
        </ext>
      </extLst>
    </cfRule>
  </conditionalFormatting>
  <conditionalFormatting sqref="K16:K18">
    <cfRule type="dataBar" priority="184">
      <dataBar>
        <cfvo type="min"/>
        <cfvo type="max"/>
        <color rgb="FF63C384"/>
      </dataBar>
      <extLst>
        <ext xmlns:x14="http://schemas.microsoft.com/office/spreadsheetml/2009/9/main" uri="{B025F937-C7B1-47D3-B67F-A62EFF666E3E}">
          <x14:id>{60785AC6-7D44-400D-A2D8-9BBBDC5C548B}</x14:id>
        </ext>
      </extLst>
    </cfRule>
  </conditionalFormatting>
  <conditionalFormatting sqref="K5:O8 K7:K10">
    <cfRule type="dataBar" priority="123">
      <dataBar>
        <cfvo type="min"/>
        <cfvo type="max"/>
        <color rgb="FF63C384"/>
      </dataBar>
      <extLst>
        <ext xmlns:x14="http://schemas.microsoft.com/office/spreadsheetml/2009/9/main" uri="{B025F937-C7B1-47D3-B67F-A62EFF666E3E}">
          <x14:id>{1642E512-5328-4DB9-81F4-5A67EFFA2D7A}</x14:id>
        </ext>
      </extLst>
    </cfRule>
    <cfRule type="dataBar" priority="124">
      <dataBar>
        <cfvo type="min"/>
        <cfvo type="max"/>
        <color rgb="FF63C384"/>
      </dataBar>
      <extLst>
        <ext xmlns:x14="http://schemas.microsoft.com/office/spreadsheetml/2009/9/main" uri="{B025F937-C7B1-47D3-B67F-A62EFF666E3E}">
          <x14:id>{5832A442-CC22-41FC-AD17-86122538435B}</x14:id>
        </ext>
      </extLst>
    </cfRule>
  </conditionalFormatting>
  <conditionalFormatting sqref="K16:O18">
    <cfRule type="dataBar" priority="188">
      <dataBar>
        <cfvo type="min"/>
        <cfvo type="max"/>
        <color rgb="FF63C384"/>
      </dataBar>
      <extLst>
        <ext xmlns:x14="http://schemas.microsoft.com/office/spreadsheetml/2009/9/main" uri="{B025F937-C7B1-47D3-B67F-A62EFF666E3E}">
          <x14:id>{9095667E-69EE-4811-BEDE-AFA010708C3B}</x14:id>
        </ext>
      </extLst>
    </cfRule>
    <cfRule type="dataBar" priority="189">
      <dataBar>
        <cfvo type="min"/>
        <cfvo type="max"/>
        <color rgb="FF63C384"/>
      </dataBar>
      <extLst>
        <ext xmlns:x14="http://schemas.microsoft.com/office/spreadsheetml/2009/9/main" uri="{B025F937-C7B1-47D3-B67F-A62EFF666E3E}">
          <x14:id>{00030478-9DDE-4C48-B970-8BFEEA7887D7}</x14:id>
        </ext>
      </extLst>
    </cfRule>
    <cfRule type="dataBar" priority="186">
      <dataBar>
        <cfvo type="min"/>
        <cfvo type="max"/>
        <color rgb="FF63C384"/>
      </dataBar>
      <extLst>
        <ext xmlns:x14="http://schemas.microsoft.com/office/spreadsheetml/2009/9/main" uri="{B025F937-C7B1-47D3-B67F-A62EFF666E3E}">
          <x14:id>{A85696C3-3FD4-4347-BBC8-6CEF041D9BC2}</x14:id>
        </ext>
      </extLst>
    </cfRule>
    <cfRule type="dataBar" priority="185">
      <dataBar>
        <cfvo type="min"/>
        <cfvo type="max"/>
        <color rgb="FF63C384"/>
      </dataBar>
      <extLst>
        <ext xmlns:x14="http://schemas.microsoft.com/office/spreadsheetml/2009/9/main" uri="{B025F937-C7B1-47D3-B67F-A62EFF666E3E}">
          <x14:id>{BE9D279A-ADD8-46F4-B26E-577DEFFA037B}</x14:id>
        </ext>
      </extLst>
    </cfRule>
    <cfRule type="dataBar" priority="203">
      <dataBar>
        <cfvo type="min"/>
        <cfvo type="max"/>
        <color rgb="FF63C384"/>
      </dataBar>
      <extLst>
        <ext xmlns:x14="http://schemas.microsoft.com/office/spreadsheetml/2009/9/main" uri="{B025F937-C7B1-47D3-B67F-A62EFF666E3E}">
          <x14:id>{589E11FE-E342-4D21-9EB3-CB0F15AE87A6}</x14:id>
        </ext>
      </extLst>
    </cfRule>
    <cfRule type="dataBar" priority="202">
      <dataBar>
        <cfvo type="min"/>
        <cfvo type="max"/>
        <color rgb="FF63C384"/>
      </dataBar>
      <extLst>
        <ext xmlns:x14="http://schemas.microsoft.com/office/spreadsheetml/2009/9/main" uri="{B025F937-C7B1-47D3-B67F-A62EFF666E3E}">
          <x14:id>{CBC457F7-3DB8-46A0-988B-11CCF8FF31E5}</x14:id>
        </ext>
      </extLst>
    </cfRule>
    <cfRule type="dataBar" priority="187">
      <dataBar>
        <cfvo type="min"/>
        <cfvo type="max"/>
        <color rgb="FF63C384"/>
      </dataBar>
      <extLst>
        <ext xmlns:x14="http://schemas.microsoft.com/office/spreadsheetml/2009/9/main" uri="{B025F937-C7B1-47D3-B67F-A62EFF666E3E}">
          <x14:id>{4CBCF4A4-EFBB-41F0-984E-0C4EF2D8C81C}</x14:id>
        </ext>
      </extLst>
    </cfRule>
    <cfRule type="dataBar" priority="204">
      <dataBar>
        <cfvo type="min"/>
        <cfvo type="max"/>
        <color rgb="FF63C384"/>
      </dataBar>
      <extLst>
        <ext xmlns:x14="http://schemas.microsoft.com/office/spreadsheetml/2009/9/main" uri="{B025F937-C7B1-47D3-B67F-A62EFF666E3E}">
          <x14:id>{EC7F1560-4E75-4756-AE37-09B82982D1AB}</x14:id>
        </ext>
      </extLst>
    </cfRule>
  </conditionalFormatting>
  <conditionalFormatting sqref="L5:L10">
    <cfRule type="dataBar" priority="111">
      <dataBar>
        <cfvo type="min"/>
        <cfvo type="max"/>
        <color rgb="FF63C384"/>
      </dataBar>
      <extLst>
        <ext xmlns:x14="http://schemas.microsoft.com/office/spreadsheetml/2009/9/main" uri="{B025F937-C7B1-47D3-B67F-A62EFF666E3E}">
          <x14:id>{086E2BE5-AF7D-45A1-A497-EB3FB49CEB4D}</x14:id>
        </ext>
      </extLst>
    </cfRule>
  </conditionalFormatting>
  <conditionalFormatting sqref="L16:L18">
    <cfRule type="dataBar" priority="190">
      <dataBar>
        <cfvo type="min"/>
        <cfvo type="max"/>
        <color rgb="FF63C384"/>
      </dataBar>
      <extLst>
        <ext xmlns:x14="http://schemas.microsoft.com/office/spreadsheetml/2009/9/main" uri="{B025F937-C7B1-47D3-B67F-A62EFF666E3E}">
          <x14:id>{4BEF7755-0998-42F9-BE2B-3DDE71DD6879}</x14:id>
        </ext>
      </extLst>
    </cfRule>
  </conditionalFormatting>
  <conditionalFormatting sqref="M9:M10">
    <cfRule type="dataBar" priority="53">
      <dataBar>
        <cfvo type="min"/>
        <cfvo type="max"/>
        <color rgb="FF63C384"/>
      </dataBar>
      <extLst>
        <ext xmlns:x14="http://schemas.microsoft.com/office/spreadsheetml/2009/9/main" uri="{B025F937-C7B1-47D3-B67F-A62EFF666E3E}">
          <x14:id>{CF921376-951B-44A1-A35C-F489AA25CABD}</x14:id>
        </ext>
      </extLst>
    </cfRule>
  </conditionalFormatting>
  <conditionalFormatting sqref="M18">
    <cfRule type="dataBar" priority="191">
      <dataBar>
        <cfvo type="min"/>
        <cfvo type="max"/>
        <color rgb="FF63C384"/>
      </dataBar>
      <extLst>
        <ext xmlns:x14="http://schemas.microsoft.com/office/spreadsheetml/2009/9/main" uri="{B025F937-C7B1-47D3-B67F-A62EFF666E3E}">
          <x14:id>{56FDBD16-DDEB-4D7A-98AA-9D8D76CB1BBA}</x14:id>
        </ext>
      </extLst>
    </cfRule>
  </conditionalFormatting>
  <conditionalFormatting sqref="M5:O8">
    <cfRule type="dataBar" priority="125">
      <dataBar>
        <cfvo type="min"/>
        <cfvo type="max"/>
        <color rgb="FF63C384"/>
      </dataBar>
      <extLst>
        <ext xmlns:x14="http://schemas.microsoft.com/office/spreadsheetml/2009/9/main" uri="{B025F937-C7B1-47D3-B67F-A62EFF666E3E}">
          <x14:id>{418255D3-2B96-41A9-9582-87939D7FAE81}</x14:id>
        </ext>
      </extLst>
    </cfRule>
  </conditionalFormatting>
  <conditionalFormatting sqref="N9:N10">
    <cfRule type="dataBar" priority="52">
      <dataBar>
        <cfvo type="min"/>
        <cfvo type="max"/>
        <color rgb="FF63C384"/>
      </dataBar>
      <extLst>
        <ext xmlns:x14="http://schemas.microsoft.com/office/spreadsheetml/2009/9/main" uri="{B025F937-C7B1-47D3-B67F-A62EFF666E3E}">
          <x14:id>{13101FF6-2EA7-4030-B4D6-DA0DA1C2F6A6}</x14:id>
        </ext>
      </extLst>
    </cfRule>
  </conditionalFormatting>
  <conditionalFormatting sqref="N16:N18">
    <cfRule type="dataBar" priority="192">
      <dataBar>
        <cfvo type="min"/>
        <cfvo type="max"/>
        <color rgb="FF63C384"/>
      </dataBar>
      <extLst>
        <ext xmlns:x14="http://schemas.microsoft.com/office/spreadsheetml/2009/9/main" uri="{B025F937-C7B1-47D3-B67F-A62EFF666E3E}">
          <x14:id>{E359D2BF-B4C7-4D3A-9103-4CBEE70A31B4}</x14:id>
        </ext>
      </extLst>
    </cfRule>
  </conditionalFormatting>
  <conditionalFormatting sqref="O9:O10">
    <cfRule type="dataBar" priority="51">
      <dataBar>
        <cfvo type="min"/>
        <cfvo type="max"/>
        <color rgb="FF63C384"/>
      </dataBar>
      <extLst>
        <ext xmlns:x14="http://schemas.microsoft.com/office/spreadsheetml/2009/9/main" uri="{B025F937-C7B1-47D3-B67F-A62EFF666E3E}">
          <x14:id>{1F18C40A-A33A-4D0B-B57F-47D9D6CF0D64}</x14:id>
        </ext>
      </extLst>
    </cfRule>
  </conditionalFormatting>
  <conditionalFormatting sqref="O16:O18">
    <cfRule type="dataBar" priority="193">
      <dataBar>
        <cfvo type="min"/>
        <cfvo type="max"/>
        <color rgb="FF63C384"/>
      </dataBar>
      <extLst>
        <ext xmlns:x14="http://schemas.microsoft.com/office/spreadsheetml/2009/9/main" uri="{B025F937-C7B1-47D3-B67F-A62EFF666E3E}">
          <x14:id>{26AC0999-7FF4-4431-B91F-7A7C0E85B670}</x14:id>
        </ext>
      </extLst>
    </cfRule>
  </conditionalFormatting>
  <hyperlinks>
    <hyperlink ref="B36:C36" r:id="rId1" display="Mordor Intelligence" xr:uid="{F583DBB0-157F-4012-A3B9-974CB25A0B2E}"/>
    <hyperlink ref="B37" r:id="rId2" xr:uid="{4D05DBAE-C24D-474B-B260-191F5434736F}"/>
    <hyperlink ref="B38:C38" r:id="rId3" display="Vault" xr:uid="{886102F4-6C57-4CE5-BD25-FB4B0B0AE733}"/>
    <hyperlink ref="B39:C39" r:id="rId4" display="Statista" xr:uid="{5FF3F92D-DCA1-438F-BA09-CF6E52FF1135}"/>
  </hyperlinks>
  <pageMargins left="0.75" right="0.75" top="1" bottom="1" header="0" footer="0"/>
  <pageSetup orientation="landscape" r:id="rId5"/>
  <headerFooter alignWithMargins="0"/>
  <drawing r:id="rId6"/>
  <extLst>
    <ext xmlns:x14="http://schemas.microsoft.com/office/spreadsheetml/2009/9/main" uri="{78C0D931-6437-407d-A8EE-F0AAD7539E65}">
      <x14:conditionalFormattings>
        <x14:conditionalFormatting xmlns:xm="http://schemas.microsoft.com/office/excel/2006/main">
          <x14:cfRule type="dataBar" id="{6E381EE6-DF6C-4880-BDC6-793A4FBC9886}">
            <x14:dataBar minLength="0" maxLength="100" border="1" negativeBarBorderColorSameAsPositive="0">
              <x14:cfvo type="autoMin"/>
              <x14:cfvo type="autoMax"/>
              <x14:borderColor rgb="FF638EC6"/>
              <x14:negativeFillColor rgb="FFFF0000"/>
              <x14:negativeBorderColor rgb="FFFF0000"/>
              <x14:axisColor rgb="FF000000"/>
            </x14:dataBar>
          </x14:cfRule>
          <xm:sqref>B5:B10</xm:sqref>
        </x14:conditionalFormatting>
        <x14:conditionalFormatting xmlns:xm="http://schemas.microsoft.com/office/excel/2006/main">
          <x14:cfRule type="dataBar" id="{070902CC-8EB6-43DB-B9AD-5811F17D394B}">
            <x14:dataBar minLength="0" maxLength="100" border="1" negativeBarBorderColorSameAsPositive="0">
              <x14:cfvo type="autoMin"/>
              <x14:cfvo type="autoMax"/>
              <x14:borderColor rgb="FF638EC6"/>
              <x14:negativeFillColor rgb="FFFF0000"/>
              <x14:negativeBorderColor rgb="FFFF0000"/>
              <x14:axisColor rgb="FF000000"/>
            </x14:dataBar>
          </x14:cfRule>
          <xm:sqref>B16:B18</xm:sqref>
        </x14:conditionalFormatting>
        <x14:conditionalFormatting xmlns:xm="http://schemas.microsoft.com/office/excel/2006/main">
          <x14:cfRule type="dataBar" id="{767D33FE-8570-4B26-81B7-5505E2A08A62}">
            <x14:dataBar minLength="0" maxLength="100" gradient="0">
              <x14:cfvo type="autoMin"/>
              <x14:cfvo type="autoMax"/>
              <x14:negativeFillColor rgb="FFFF0000"/>
              <x14:axisColor rgb="FF000000"/>
            </x14:dataBar>
          </x14:cfRule>
          <xm:sqref>D5:D10</xm:sqref>
        </x14:conditionalFormatting>
        <x14:conditionalFormatting xmlns:xm="http://schemas.microsoft.com/office/excel/2006/main">
          <x14:cfRule type="dataBar" id="{3F107DCC-63A1-497B-B919-528218A545C1}">
            <x14:dataBar minLength="0" maxLength="100" gradient="0">
              <x14:cfvo type="autoMin"/>
              <x14:cfvo type="autoMax"/>
              <x14:negativeFillColor rgb="FFFF0000"/>
              <x14:axisColor rgb="FF000000"/>
            </x14:dataBar>
          </x14:cfRule>
          <xm:sqref>D16:D18</xm:sqref>
        </x14:conditionalFormatting>
        <x14:conditionalFormatting xmlns:xm="http://schemas.microsoft.com/office/excel/2006/main">
          <x14:cfRule type="dataBar" id="{83BDDF4E-0A7D-4B3E-A60B-AD52AC0FFA68}">
            <x14:dataBar minLength="0" maxLength="100" gradient="0">
              <x14:cfvo type="autoMin"/>
              <x14:cfvo type="autoMax"/>
              <x14:negativeFillColor rgb="FFFF0000"/>
              <x14:axisColor rgb="FF000000"/>
            </x14:dataBar>
          </x14:cfRule>
          <xm:sqref>D5:I8</xm:sqref>
        </x14:conditionalFormatting>
        <x14:conditionalFormatting xmlns:xm="http://schemas.microsoft.com/office/excel/2006/main">
          <x14:cfRule type="dataBar" id="{5BBC426E-7FA9-4F5C-AC78-B3996BA8F931}">
            <x14:dataBar minLength="0" maxLength="100" gradient="0">
              <x14:cfvo type="autoMin"/>
              <x14:cfvo type="autoMax"/>
              <x14:negativeFillColor rgb="FFFF0000"/>
              <x14:axisColor rgb="FF000000"/>
            </x14:dataBar>
          </x14:cfRule>
          <xm:sqref>D16:I18</xm:sqref>
        </x14:conditionalFormatting>
        <x14:conditionalFormatting xmlns:xm="http://schemas.microsoft.com/office/excel/2006/main">
          <x14:cfRule type="dataBar" id="{740A2B96-C6E5-4177-AC04-9573B81E30EC}">
            <x14:dataBar minLength="0" maxLength="100" gradient="0">
              <x14:cfvo type="autoMin"/>
              <x14:cfvo type="autoMax"/>
              <x14:negativeFillColor rgb="FFFF0000"/>
              <x14:axisColor rgb="FF000000"/>
            </x14:dataBar>
          </x14:cfRule>
          <xm:sqref>E5:E10</xm:sqref>
        </x14:conditionalFormatting>
        <x14:conditionalFormatting xmlns:xm="http://schemas.microsoft.com/office/excel/2006/main">
          <x14:cfRule type="dataBar" id="{5AA7A103-2149-42E1-9BBB-48A01258D43D}">
            <x14:dataBar minLength="0" maxLength="100" gradient="0">
              <x14:cfvo type="autoMin"/>
              <x14:cfvo type="autoMax"/>
              <x14:negativeFillColor rgb="FFFF0000"/>
              <x14:axisColor rgb="FF000000"/>
            </x14:dataBar>
          </x14:cfRule>
          <xm:sqref>E16:E18</xm:sqref>
        </x14:conditionalFormatting>
        <x14:conditionalFormatting xmlns:xm="http://schemas.microsoft.com/office/excel/2006/main">
          <x14:cfRule type="dataBar" id="{5EFE30C4-0901-404E-9108-731E3BE4821E}">
            <x14:dataBar minLength="0" maxLength="100" gradient="0">
              <x14:cfvo type="autoMin"/>
              <x14:cfvo type="autoMax"/>
              <x14:negativeFillColor rgb="FFFF0000"/>
              <x14:axisColor rgb="FF000000"/>
            </x14:dataBar>
          </x14:cfRule>
          <xm:sqref>F5:F10</xm:sqref>
        </x14:conditionalFormatting>
        <x14:conditionalFormatting xmlns:xm="http://schemas.microsoft.com/office/excel/2006/main">
          <x14:cfRule type="dataBar" id="{5EE1521A-2483-44CA-9CCA-E5FC63E6246F}">
            <x14:dataBar minLength="0" maxLength="100" gradient="0">
              <x14:cfvo type="autoMin"/>
              <x14:cfvo type="autoMax"/>
              <x14:negativeFillColor rgb="FFFF0000"/>
              <x14:axisColor rgb="FF000000"/>
            </x14:dataBar>
          </x14:cfRule>
          <xm:sqref>F16:F18</xm:sqref>
        </x14:conditionalFormatting>
        <x14:conditionalFormatting xmlns:xm="http://schemas.microsoft.com/office/excel/2006/main">
          <x14:cfRule type="dataBar" id="{A1F44ECC-EF2B-4606-87E9-B7F443AC18BF}">
            <x14:dataBar minLength="0" maxLength="100" gradient="0">
              <x14:cfvo type="autoMin"/>
              <x14:cfvo type="autoMax"/>
              <x14:negativeFillColor rgb="FFFF0000"/>
              <x14:axisColor rgb="FF000000"/>
            </x14:dataBar>
          </x14:cfRule>
          <xm:sqref>G5:G10</xm:sqref>
        </x14:conditionalFormatting>
        <x14:conditionalFormatting xmlns:xm="http://schemas.microsoft.com/office/excel/2006/main">
          <x14:cfRule type="dataBar" id="{00DC50B7-1706-4DFB-A90F-9F95CB19CA6D}">
            <x14:dataBar minLength="0" maxLength="100" gradient="0">
              <x14:cfvo type="autoMin"/>
              <x14:cfvo type="autoMax"/>
              <x14:negativeFillColor rgb="FFFF0000"/>
              <x14:axisColor rgb="FF000000"/>
            </x14:dataBar>
          </x14:cfRule>
          <xm:sqref>G16:G18</xm:sqref>
        </x14:conditionalFormatting>
        <x14:conditionalFormatting xmlns:xm="http://schemas.microsoft.com/office/excel/2006/main">
          <x14:cfRule type="dataBar" id="{4320827E-AAAF-46DA-9F47-1F13F9C2B2E6}">
            <x14:dataBar minLength="0" maxLength="100" gradient="0">
              <x14:cfvo type="autoMin"/>
              <x14:cfvo type="autoMax"/>
              <x14:negativeFillColor rgb="FFFF0000"/>
              <x14:axisColor rgb="FF000000"/>
            </x14:dataBar>
          </x14:cfRule>
          <xm:sqref>H5:H10</xm:sqref>
        </x14:conditionalFormatting>
        <x14:conditionalFormatting xmlns:xm="http://schemas.microsoft.com/office/excel/2006/main">
          <x14:cfRule type="dataBar" id="{EED505F4-1AE5-4E85-A25F-1DAC1EADC97D}">
            <x14:dataBar minLength="0" maxLength="100" gradient="0">
              <x14:cfvo type="autoMin"/>
              <x14:cfvo type="autoMax"/>
              <x14:negativeFillColor rgb="FFFF0000"/>
              <x14:axisColor rgb="FF000000"/>
            </x14:dataBar>
          </x14:cfRule>
          <xm:sqref>H16:H18</xm:sqref>
        </x14:conditionalFormatting>
        <x14:conditionalFormatting xmlns:xm="http://schemas.microsoft.com/office/excel/2006/main">
          <x14:cfRule type="dataBar" id="{5091493A-8CC0-4646-874A-93DEE51CD4AB}">
            <x14:dataBar minLength="0" maxLength="100" gradient="0">
              <x14:cfvo type="autoMin"/>
              <x14:cfvo type="autoMax"/>
              <x14:negativeFillColor rgb="FFFF0000"/>
              <x14:axisColor rgb="FF000000"/>
            </x14:dataBar>
          </x14:cfRule>
          <xm:sqref>I5:I10</xm:sqref>
        </x14:conditionalFormatting>
        <x14:conditionalFormatting xmlns:xm="http://schemas.microsoft.com/office/excel/2006/main">
          <x14:cfRule type="dataBar" id="{A192D211-7CF8-4DE2-A7D7-7E84CEAE76AC}">
            <x14:dataBar minLength="0" maxLength="100" gradient="0">
              <x14:cfvo type="autoMin"/>
              <x14:cfvo type="autoMax"/>
              <x14:negativeFillColor rgb="FFFF0000"/>
              <x14:axisColor rgb="FF000000"/>
            </x14:dataBar>
          </x14:cfRule>
          <xm:sqref>I16:I18</xm:sqref>
        </x14:conditionalFormatting>
        <x14:conditionalFormatting xmlns:xm="http://schemas.microsoft.com/office/excel/2006/main">
          <x14:cfRule type="dataBar" id="{5A27FB5F-AC6D-40FD-B152-7630C251B9C8}">
            <x14:dataBar minLength="0" maxLength="100" gradient="0">
              <x14:cfvo type="autoMin"/>
              <x14:cfvo type="autoMax"/>
              <x14:negativeFillColor rgb="FFFF0000"/>
              <x14:axisColor rgb="FF000000"/>
            </x14:dataBar>
          </x14:cfRule>
          <xm:sqref>K5:K10</xm:sqref>
        </x14:conditionalFormatting>
        <x14:conditionalFormatting xmlns:xm="http://schemas.microsoft.com/office/excel/2006/main">
          <x14:cfRule type="dataBar" id="{60785AC6-7D44-400D-A2D8-9BBBDC5C548B}">
            <x14:dataBar minLength="0" maxLength="100" gradient="0">
              <x14:cfvo type="autoMin"/>
              <x14:cfvo type="autoMax"/>
              <x14:negativeFillColor rgb="FFFF0000"/>
              <x14:axisColor rgb="FF000000"/>
            </x14:dataBar>
          </x14:cfRule>
          <xm:sqref>K16:K18</xm:sqref>
        </x14:conditionalFormatting>
        <x14:conditionalFormatting xmlns:xm="http://schemas.microsoft.com/office/excel/2006/main">
          <x14:cfRule type="dataBar" id="{1642E512-5328-4DB9-81F4-5A67EFFA2D7A}">
            <x14:dataBar minLength="0" maxLength="100" gradient="0">
              <x14:cfvo type="autoMin"/>
              <x14:cfvo type="autoMax"/>
              <x14:negativeFillColor rgb="FFFF0000"/>
              <x14:axisColor rgb="FF000000"/>
            </x14:dataBar>
          </x14:cfRule>
          <x14:cfRule type="dataBar" id="{5832A442-CC22-41FC-AD17-86122538435B}">
            <x14:dataBar minLength="0" maxLength="100" border="1" negativeBarBorderColorSameAsPositive="0">
              <x14:cfvo type="autoMin"/>
              <x14:cfvo type="autoMax"/>
              <x14:borderColor rgb="FF63C384"/>
              <x14:negativeFillColor rgb="FFFF0000"/>
              <x14:negativeBorderColor rgb="FFFF0000"/>
              <x14:axisColor rgb="FF000000"/>
            </x14:dataBar>
          </x14:cfRule>
          <xm:sqref>K5:O8 K7:K10</xm:sqref>
        </x14:conditionalFormatting>
        <x14:conditionalFormatting xmlns:xm="http://schemas.microsoft.com/office/excel/2006/main">
          <x14:cfRule type="dataBar" id="{9095667E-69EE-4811-BEDE-AFA010708C3B}">
            <x14:dataBar minLength="0" maxLength="100" gradient="0">
              <x14:cfvo type="autoMin"/>
              <x14:cfvo type="autoMax"/>
              <x14:negativeFillColor rgb="FFFF0000"/>
              <x14:axisColor rgb="FF000000"/>
            </x14:dataBar>
          </x14:cfRule>
          <x14:cfRule type="dataBar" id="{00030478-9DDE-4C48-B970-8BFEEA7887D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85696C3-3FD4-4347-BBC8-6CEF041D9BC2}">
            <x14:dataBar minLength="0" maxLength="100" gradient="0">
              <x14:cfvo type="autoMin"/>
              <x14:cfvo type="autoMax"/>
              <x14:negativeFillColor rgb="FFFF0000"/>
              <x14:axisColor rgb="FF000000"/>
            </x14:dataBar>
          </x14:cfRule>
          <x14:cfRule type="dataBar" id="{BE9D279A-ADD8-46F4-B26E-577DEFFA037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589E11FE-E342-4D21-9EB3-CB0F15AE87A6}">
            <x14:dataBar minLength="0" maxLength="100" gradient="0">
              <x14:cfvo type="autoMin"/>
              <x14:cfvo type="autoMax"/>
              <x14:negativeFillColor rgb="FFFF0000"/>
              <x14:axisColor rgb="FF000000"/>
            </x14:dataBar>
          </x14:cfRule>
          <x14:cfRule type="dataBar" id="{CBC457F7-3DB8-46A0-988B-11CCF8FF31E5}">
            <x14:dataBar minLength="0" maxLength="100" gradient="0">
              <x14:cfvo type="autoMin"/>
              <x14:cfvo type="autoMax"/>
              <x14:negativeFillColor rgb="FFFF0000"/>
              <x14:axisColor rgb="FF000000"/>
            </x14:dataBar>
          </x14:cfRule>
          <x14:cfRule type="dataBar" id="{4CBCF4A4-EFBB-41F0-984E-0C4EF2D8C81C}">
            <x14:dataBar minLength="0" maxLength="100" gradient="0">
              <x14:cfvo type="autoMin"/>
              <x14:cfvo type="autoMax"/>
              <x14:negativeFillColor rgb="FFFF0000"/>
              <x14:axisColor rgb="FF000000"/>
            </x14:dataBar>
          </x14:cfRule>
          <x14:cfRule type="dataBar" id="{EC7F1560-4E75-4756-AE37-09B82982D1AB}">
            <x14:dataBar minLength="0" maxLength="100" gradient="0">
              <x14:cfvo type="autoMin"/>
              <x14:cfvo type="autoMax"/>
              <x14:negativeFillColor rgb="FFFF0000"/>
              <x14:axisColor rgb="FF000000"/>
            </x14:dataBar>
          </x14:cfRule>
          <xm:sqref>K16:O18</xm:sqref>
        </x14:conditionalFormatting>
        <x14:conditionalFormatting xmlns:xm="http://schemas.microsoft.com/office/excel/2006/main">
          <x14:cfRule type="dataBar" id="{086E2BE5-AF7D-45A1-A497-EB3FB49CEB4D}">
            <x14:dataBar minLength="0" maxLength="100" gradient="0">
              <x14:cfvo type="autoMin"/>
              <x14:cfvo type="autoMax"/>
              <x14:negativeFillColor rgb="FFFF0000"/>
              <x14:axisColor rgb="FF000000"/>
            </x14:dataBar>
          </x14:cfRule>
          <xm:sqref>L5:L10</xm:sqref>
        </x14:conditionalFormatting>
        <x14:conditionalFormatting xmlns:xm="http://schemas.microsoft.com/office/excel/2006/main">
          <x14:cfRule type="dataBar" id="{4BEF7755-0998-42F9-BE2B-3DDE71DD6879}">
            <x14:dataBar minLength="0" maxLength="100" gradient="0">
              <x14:cfvo type="autoMin"/>
              <x14:cfvo type="autoMax"/>
              <x14:negativeFillColor rgb="FFFF0000"/>
              <x14:axisColor rgb="FF000000"/>
            </x14:dataBar>
          </x14:cfRule>
          <xm:sqref>L16:L18</xm:sqref>
        </x14:conditionalFormatting>
        <x14:conditionalFormatting xmlns:xm="http://schemas.microsoft.com/office/excel/2006/main">
          <x14:cfRule type="dataBar" id="{CF921376-951B-44A1-A35C-F489AA25CABD}">
            <x14:dataBar minLength="0" maxLength="100" gradient="0">
              <x14:cfvo type="autoMin"/>
              <x14:cfvo type="autoMax"/>
              <x14:negativeFillColor rgb="FFFF0000"/>
              <x14:axisColor rgb="FF000000"/>
            </x14:dataBar>
          </x14:cfRule>
          <xm:sqref>M9:M10</xm:sqref>
        </x14:conditionalFormatting>
        <x14:conditionalFormatting xmlns:xm="http://schemas.microsoft.com/office/excel/2006/main">
          <x14:cfRule type="dataBar" id="{56FDBD16-DDEB-4D7A-98AA-9D8D76CB1BBA}">
            <x14:dataBar minLength="0" maxLength="100" gradient="0">
              <x14:cfvo type="autoMin"/>
              <x14:cfvo type="autoMax"/>
              <x14:negativeFillColor rgb="FFFF0000"/>
              <x14:axisColor rgb="FF000000"/>
            </x14:dataBar>
          </x14:cfRule>
          <xm:sqref>M18</xm:sqref>
        </x14:conditionalFormatting>
        <x14:conditionalFormatting xmlns:xm="http://schemas.microsoft.com/office/excel/2006/main">
          <x14:cfRule type="dataBar" id="{418255D3-2B96-41A9-9582-87939D7FAE81}">
            <x14:dataBar minLength="0" maxLength="100" gradient="0">
              <x14:cfvo type="autoMin"/>
              <x14:cfvo type="autoMax"/>
              <x14:negativeFillColor rgb="FFFF0000"/>
              <x14:axisColor rgb="FF000000"/>
            </x14:dataBar>
          </x14:cfRule>
          <xm:sqref>M5:O8</xm:sqref>
        </x14:conditionalFormatting>
        <x14:conditionalFormatting xmlns:xm="http://schemas.microsoft.com/office/excel/2006/main">
          <x14:cfRule type="dataBar" id="{13101FF6-2EA7-4030-B4D6-DA0DA1C2F6A6}">
            <x14:dataBar minLength="0" maxLength="100" gradient="0">
              <x14:cfvo type="autoMin"/>
              <x14:cfvo type="autoMax"/>
              <x14:negativeFillColor rgb="FFFF0000"/>
              <x14:axisColor rgb="FF000000"/>
            </x14:dataBar>
          </x14:cfRule>
          <xm:sqref>N9:N10</xm:sqref>
        </x14:conditionalFormatting>
        <x14:conditionalFormatting xmlns:xm="http://schemas.microsoft.com/office/excel/2006/main">
          <x14:cfRule type="dataBar" id="{E359D2BF-B4C7-4D3A-9103-4CBEE70A31B4}">
            <x14:dataBar minLength="0" maxLength="100" gradient="0">
              <x14:cfvo type="autoMin"/>
              <x14:cfvo type="autoMax"/>
              <x14:negativeFillColor rgb="FFFF0000"/>
              <x14:axisColor rgb="FF000000"/>
            </x14:dataBar>
          </x14:cfRule>
          <xm:sqref>N16:N18</xm:sqref>
        </x14:conditionalFormatting>
        <x14:conditionalFormatting xmlns:xm="http://schemas.microsoft.com/office/excel/2006/main">
          <x14:cfRule type="dataBar" id="{1F18C40A-A33A-4D0B-B57F-47D9D6CF0D64}">
            <x14:dataBar minLength="0" maxLength="100" gradient="0">
              <x14:cfvo type="autoMin"/>
              <x14:cfvo type="autoMax"/>
              <x14:negativeFillColor rgb="FFFF0000"/>
              <x14:axisColor rgb="FF000000"/>
            </x14:dataBar>
          </x14:cfRule>
          <xm:sqref>O9:O10</xm:sqref>
        </x14:conditionalFormatting>
        <x14:conditionalFormatting xmlns:xm="http://schemas.microsoft.com/office/excel/2006/main">
          <x14:cfRule type="dataBar" id="{26AC0999-7FF4-4431-B91F-7A7C0E85B670}">
            <x14:dataBar minLength="0" maxLength="100" gradient="0">
              <x14:cfvo type="autoMin"/>
              <x14:cfvo type="autoMax"/>
              <x14:negativeFillColor rgb="FFFF0000"/>
              <x14:axisColor rgb="FF000000"/>
            </x14:dataBar>
          </x14:cfRule>
          <xm:sqref>O16:O18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defaultColWidth="11.42578125" defaultRowHeight="12.95"/>
  <cols>
    <col min="1" max="1" width="27.140625" bestFit="1" customWidth="1"/>
  </cols>
  <sheetData>
    <row r="1" spans="1:1">
      <c r="A1" t="s">
        <v>216</v>
      </c>
    </row>
    <row r="2" spans="1:1">
      <c r="A2" t="s">
        <v>217</v>
      </c>
    </row>
    <row r="3" spans="1:1">
      <c r="A3" t="s">
        <v>218</v>
      </c>
    </row>
    <row r="4" spans="1:1">
      <c r="A4" t="s">
        <v>219</v>
      </c>
    </row>
    <row r="5" spans="1:1">
      <c r="A5" t="s">
        <v>220</v>
      </c>
    </row>
    <row r="6" spans="1:1">
      <c r="A6" s="9" t="s">
        <v>221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N98"/>
  <sheetViews>
    <sheetView showGridLines="0" topLeftCell="A3" zoomScale="89" zoomScaleNormal="82" workbookViewId="0">
      <selection activeCell="C49" sqref="C49"/>
    </sheetView>
  </sheetViews>
  <sheetFormatPr defaultColWidth="11.42578125" defaultRowHeight="12.95"/>
  <cols>
    <col min="1" max="1" width="0.42578125" customWidth="1"/>
    <col min="2" max="2" width="31.7109375" bestFit="1" customWidth="1"/>
    <col min="3" max="4" width="32.140625" customWidth="1"/>
    <col min="5" max="5" width="33.42578125" customWidth="1"/>
    <col min="6" max="6" width="33.85546875" customWidth="1"/>
    <col min="7" max="7" width="32.140625" customWidth="1"/>
    <col min="8" max="8" width="33.140625" customWidth="1"/>
    <col min="9" max="9" width="15.42578125" customWidth="1"/>
    <col min="10" max="10" width="10.7109375" customWidth="1"/>
  </cols>
  <sheetData>
    <row r="1" spans="2:14" ht="14.1">
      <c r="B1" s="185" t="s">
        <v>222</v>
      </c>
      <c r="C1" s="186" t="s">
        <v>223</v>
      </c>
      <c r="D1" s="1236" t="s">
        <v>189</v>
      </c>
      <c r="E1" s="1236"/>
      <c r="F1" s="1236"/>
      <c r="G1" s="1236"/>
      <c r="H1" s="1236"/>
    </row>
    <row r="2" spans="2:14" ht="81.75" customHeight="1">
      <c r="B2" s="187"/>
      <c r="C2" s="372" t="e" vm="3">
        <v>#VALUE!</v>
      </c>
      <c r="D2" s="1233" t="s">
        <v>224</v>
      </c>
      <c r="E2" s="1234"/>
      <c r="F2" s="1234"/>
      <c r="G2" s="1234"/>
      <c r="H2" s="1235"/>
      <c r="I2" s="784"/>
    </row>
    <row r="3" spans="2:14" ht="81.75" customHeight="1">
      <c r="B3" s="187"/>
      <c r="C3" s="373" t="e" vm="4">
        <v>#VALUE!</v>
      </c>
      <c r="D3" s="1233" t="s">
        <v>225</v>
      </c>
      <c r="E3" s="1234"/>
      <c r="F3" s="1234"/>
      <c r="G3" s="1234"/>
      <c r="H3" s="1235"/>
    </row>
    <row r="4" spans="2:14" ht="93.75" customHeight="1">
      <c r="B4" s="187"/>
      <c r="C4" s="374" t="e" vm="5">
        <v>#VALUE!</v>
      </c>
      <c r="D4" s="1233" t="s">
        <v>226</v>
      </c>
      <c r="E4" s="1234"/>
      <c r="F4" s="1234"/>
      <c r="G4" s="1234"/>
      <c r="H4" s="1235"/>
      <c r="I4" s="9"/>
    </row>
    <row r="5" spans="2:14" ht="106.5" customHeight="1">
      <c r="B5" s="187"/>
      <c r="C5" s="375" t="e" vm="6">
        <v>#VALUE!</v>
      </c>
      <c r="D5" s="1233" t="s">
        <v>227</v>
      </c>
      <c r="E5" s="1234"/>
      <c r="F5" s="1234"/>
      <c r="G5" s="1234"/>
      <c r="H5" s="1235"/>
    </row>
    <row r="6" spans="2:14" ht="81.75" customHeight="1">
      <c r="B6" s="187"/>
      <c r="C6" s="376" t="e" vm="7">
        <v>#VALUE!</v>
      </c>
      <c r="D6" s="1233" t="s">
        <v>228</v>
      </c>
      <c r="E6" s="1234"/>
      <c r="F6" s="1234"/>
      <c r="G6" s="1234"/>
      <c r="H6" s="1235"/>
      <c r="L6" s="1"/>
    </row>
    <row r="7" spans="2:14" ht="14.1" thickBot="1">
      <c r="B7" s="9"/>
    </row>
    <row r="8" spans="2:14" ht="36" customHeight="1">
      <c r="B8" s="184" t="s">
        <v>229</v>
      </c>
      <c r="C8" s="366" t="e" vm="1">
        <f>OP!E2</f>
        <v>#VALUE!</v>
      </c>
      <c r="D8" s="367" t="e" vm="3">
        <f>C2</f>
        <v>#VALUE!</v>
      </c>
      <c r="E8" s="368" t="e" vm="4">
        <f>C3</f>
        <v>#VALUE!</v>
      </c>
      <c r="F8" s="374" t="e" vm="5">
        <v>#VALUE!</v>
      </c>
      <c r="G8" s="652" t="e" vm="6">
        <f>C5</f>
        <v>#VALUE!</v>
      </c>
      <c r="H8" s="371" t="e" vm="7">
        <f>C6</f>
        <v>#VALUE!</v>
      </c>
      <c r="I8" s="180" t="s">
        <v>230</v>
      </c>
      <c r="J8" s="612" t="s">
        <v>231</v>
      </c>
    </row>
    <row r="9" spans="2:14" ht="16.5" customHeight="1" thickBot="1">
      <c r="B9" s="178" t="s">
        <v>232</v>
      </c>
      <c r="C9" s="168"/>
      <c r="D9" s="169"/>
      <c r="E9" s="169"/>
      <c r="F9" s="169"/>
      <c r="G9" s="169"/>
      <c r="H9" s="170"/>
      <c r="I9" s="171" t="str">
        <f>IFERROR(AVERAGE(C9:H9),"")</f>
        <v/>
      </c>
      <c r="J9" s="587"/>
      <c r="L9" s="1240" t="s">
        <v>233</v>
      </c>
      <c r="M9" s="1241"/>
      <c r="N9" s="1242"/>
    </row>
    <row r="10" spans="2:14" ht="13.5" customHeight="1" thickBot="1">
      <c r="B10" s="177" t="s">
        <v>234</v>
      </c>
      <c r="C10" s="167">
        <v>39170</v>
      </c>
      <c r="D10" s="167" cm="1">
        <f t="array" aca="1" ref="D10" ca="1">_FV(D8,"Market cap",TRUE)/1000000</f>
        <v>113172</v>
      </c>
      <c r="E10" s="167" cm="1">
        <f t="array" aca="1" ref="E10" ca="1">_FV(E8,"Market cap",TRUE)/1000000</f>
        <v>62146.896192</v>
      </c>
      <c r="F10" s="167" cm="1">
        <f t="array" aca="1" ref="F10" ca="1">_FV(F8,"Market cap",TRUE)/1000000</f>
        <v>21435.29</v>
      </c>
      <c r="G10" s="167" cm="1">
        <f t="array" aca="1" ref="G10" ca="1">_FV(G8,"Market cap",TRUE)/1000000</f>
        <v>195984.99585000001</v>
      </c>
      <c r="H10" s="167" cm="1">
        <f t="array" aca="1" ref="H10" ca="1">_FV(H8,"Market cap",TRUE)/1000000</f>
        <v>24442.320961000001</v>
      </c>
      <c r="I10" s="536">
        <f ca="1">IFERROR(AVERAGE(C10:H10),"")</f>
        <v>76058.583833833327</v>
      </c>
      <c r="J10" s="588">
        <f ca="1">SQRT((C10-I10)^2)</f>
        <v>36888.583833833327</v>
      </c>
      <c r="L10" s="1243"/>
      <c r="M10" s="1238" t="s">
        <v>235</v>
      </c>
      <c r="N10" s="1239"/>
    </row>
    <row r="11" spans="2:14" ht="14.1" thickBot="1">
      <c r="B11" s="505" t="s">
        <v>236</v>
      </c>
      <c r="C11" s="506">
        <f>C56</f>
        <v>5172.7</v>
      </c>
      <c r="D11" s="506">
        <f t="shared" ref="D11:H11" si="0">D56</f>
        <v>7207.4</v>
      </c>
      <c r="E11" s="506">
        <f t="shared" si="0"/>
        <v>2847.59</v>
      </c>
      <c r="F11" s="506">
        <f t="shared" si="0"/>
        <v>2389.6999999999998</v>
      </c>
      <c r="G11" s="506">
        <f t="shared" si="0"/>
        <v>3898</v>
      </c>
      <c r="H11" s="506">
        <f t="shared" si="0"/>
        <v>1758.11</v>
      </c>
      <c r="I11" s="537">
        <f t="shared" ref="I11:I39" si="1">IFERROR(AVERAGE(C11:H11),"")</f>
        <v>3878.9166666666665</v>
      </c>
      <c r="J11" s="589">
        <f t="shared" ref="J11:J50" si="2">SQRT((C11-I11)^2)</f>
        <v>1293.7833333333333</v>
      </c>
      <c r="L11" s="1243"/>
      <c r="M11" s="1238"/>
      <c r="N11" s="1239"/>
    </row>
    <row r="12" spans="2:14" ht="16.5" customHeight="1" thickBot="1">
      <c r="B12" s="178" t="s">
        <v>237</v>
      </c>
      <c r="C12" s="183"/>
      <c r="D12" s="183"/>
      <c r="E12" s="183"/>
      <c r="F12" s="183"/>
      <c r="G12" s="183"/>
      <c r="H12" s="183"/>
      <c r="I12" s="538" t="str">
        <f t="shared" si="1"/>
        <v/>
      </c>
      <c r="J12" s="590"/>
      <c r="L12" s="1237"/>
      <c r="M12" s="1238" t="s">
        <v>238</v>
      </c>
      <c r="N12" s="1239"/>
    </row>
    <row r="13" spans="2:14" ht="14.1" thickBot="1">
      <c r="B13" s="177" t="s">
        <v>239</v>
      </c>
      <c r="C13" s="515">
        <f>C56/C55-1</f>
        <v>0.1709829311359623</v>
      </c>
      <c r="D13" s="515">
        <f t="shared" ref="D13:H13" si="3">D56/D55-1</f>
        <v>0.31007906934472418</v>
      </c>
      <c r="E13" s="841">
        <f t="shared" si="3"/>
        <v>0.39938964459820725</v>
      </c>
      <c r="F13" s="785">
        <f t="shared" si="3"/>
        <v>4.3309321108928156E-2</v>
      </c>
      <c r="G13" s="515">
        <f t="shared" si="3"/>
        <v>4.4200375033485173E-2</v>
      </c>
      <c r="H13" s="841">
        <f t="shared" si="3"/>
        <v>0.44583792496587105</v>
      </c>
      <c r="I13" s="539">
        <f t="shared" si="1"/>
        <v>0.23563321103119636</v>
      </c>
      <c r="J13" s="591">
        <f t="shared" si="2"/>
        <v>6.4650279895234058E-2</v>
      </c>
      <c r="L13" s="1237"/>
      <c r="M13" s="1238"/>
      <c r="N13" s="1239"/>
    </row>
    <row r="14" spans="2:14" ht="14.1" thickBot="1">
      <c r="B14" s="507" t="s">
        <v>240</v>
      </c>
      <c r="C14" s="508">
        <f>C56/C54-1</f>
        <v>0.99379432624113462</v>
      </c>
      <c r="D14" s="508">
        <f t="shared" ref="D14:H14" si="4">D56/D54-1</f>
        <v>1.114599225443023</v>
      </c>
      <c r="E14" s="781">
        <f t="shared" si="4"/>
        <v>2.738859273653528</v>
      </c>
      <c r="F14" s="840">
        <f t="shared" si="4"/>
        <v>0.15729575282095976</v>
      </c>
      <c r="G14" s="508">
        <f t="shared" si="4"/>
        <v>0.21850578305720547</v>
      </c>
      <c r="H14" s="781">
        <f t="shared" si="4"/>
        <v>2.6607462624411777</v>
      </c>
      <c r="I14" s="540">
        <f t="shared" si="1"/>
        <v>1.3139667706095046</v>
      </c>
      <c r="J14" s="592">
        <f t="shared" si="2"/>
        <v>0.32017244436837</v>
      </c>
      <c r="L14" s="1244"/>
      <c r="M14" s="1238" t="s">
        <v>241</v>
      </c>
      <c r="N14" s="1239"/>
    </row>
    <row r="15" spans="2:14" ht="14.1" thickBot="1">
      <c r="B15" s="516" t="s">
        <v>119</v>
      </c>
      <c r="C15" s="837">
        <f>C59/C56</f>
        <v>0.23459701896495061</v>
      </c>
      <c r="D15" s="517">
        <f t="shared" ref="D15:H15" si="5">D59/D56</f>
        <v>8.5176346532730249E-2</v>
      </c>
      <c r="E15" s="840">
        <f t="shared" si="5"/>
        <v>-3.271889562753065E-2</v>
      </c>
      <c r="F15" s="781">
        <f t="shared" si="5"/>
        <v>0.37716031301000125</v>
      </c>
      <c r="G15" s="517"/>
      <c r="H15" s="840">
        <f t="shared" si="5"/>
        <v>-0.12035083129041983</v>
      </c>
      <c r="I15" s="540">
        <f>IFERROR(AVERAGE(C15:H15),"")</f>
        <v>0.10877279031794633</v>
      </c>
      <c r="J15" s="593">
        <f t="shared" si="2"/>
        <v>0.12582422864700427</v>
      </c>
      <c r="L15" s="1245"/>
      <c r="M15" s="1246"/>
      <c r="N15" s="1247"/>
    </row>
    <row r="16" spans="2:14" ht="14.1" thickBot="1">
      <c r="B16" s="507" t="s">
        <v>242</v>
      </c>
      <c r="C16" s="508">
        <f>C62/C56</f>
        <v>0.22245635741488973</v>
      </c>
      <c r="D16" s="508">
        <f t="shared" ref="D16:H16" si="6">D62/D56</f>
        <v>8.5176346532730249E-2</v>
      </c>
      <c r="E16" s="508">
        <f t="shared" si="6"/>
        <v>-4.6671044637746299E-3</v>
      </c>
      <c r="F16" s="508">
        <f t="shared" si="6"/>
        <v>0.36029627149851451</v>
      </c>
      <c r="G16" s="508"/>
      <c r="H16" s="508">
        <f t="shared" si="6"/>
        <v>-5.7271729300214437E-2</v>
      </c>
      <c r="I16" s="540">
        <f t="shared" si="1"/>
        <v>0.12119802833642909</v>
      </c>
      <c r="J16" s="592">
        <f t="shared" si="2"/>
        <v>0.10125832907846063</v>
      </c>
    </row>
    <row r="17" spans="1:10" ht="14.1" thickBot="1">
      <c r="B17" s="516" t="s">
        <v>243</v>
      </c>
      <c r="C17" s="837">
        <f>C62/C74</f>
        <v>15.529014844804321</v>
      </c>
      <c r="D17" s="517">
        <f t="shared" ref="D17:H17" si="7">D62/D74</f>
        <v>0.28283805574752358</v>
      </c>
      <c r="E17" s="517">
        <f>E62/E74</f>
        <v>-6.4487953999563287E-3</v>
      </c>
      <c r="F17" s="517">
        <f>F62/F74</f>
        <v>0.3092450255010416</v>
      </c>
      <c r="G17" s="517"/>
      <c r="H17" s="517">
        <f t="shared" si="7"/>
        <v>-0.12468886604832019</v>
      </c>
      <c r="I17" s="540">
        <f t="shared" si="1"/>
        <v>3.1979920529209216</v>
      </c>
      <c r="J17" s="593">
        <f t="shared" si="2"/>
        <v>12.331022791883399</v>
      </c>
    </row>
    <row r="18" spans="1:10" ht="14.1" thickBot="1">
      <c r="B18" s="505" t="s">
        <v>244</v>
      </c>
      <c r="C18" s="839">
        <f>(C62+C61)/(C73+C74)</f>
        <v>0.96853952499113805</v>
      </c>
      <c r="D18" s="509">
        <f t="shared" ref="D18:H18" si="8">(D62+D61)/(D73+D74)</f>
        <v>0.18540860459822445</v>
      </c>
      <c r="E18" s="509">
        <f>(E62+E61)/(E73+E74)</f>
        <v>3.7292919247698527E-3</v>
      </c>
      <c r="F18" s="509">
        <f>(F62+F61)/(F73+F74)</f>
        <v>0.18043651307873157</v>
      </c>
      <c r="G18" s="509"/>
      <c r="H18" s="509">
        <f t="shared" si="8"/>
        <v>-3.7893540256017398E-2</v>
      </c>
      <c r="I18" s="541">
        <f t="shared" si="1"/>
        <v>0.2600440788673693</v>
      </c>
      <c r="J18" s="594">
        <f t="shared" si="2"/>
        <v>0.70849544612376869</v>
      </c>
    </row>
    <row r="19" spans="1:10" ht="17.100000000000001" thickBot="1">
      <c r="B19" s="178" t="s">
        <v>245</v>
      </c>
      <c r="C19" s="183"/>
      <c r="D19" s="183"/>
      <c r="E19" s="183"/>
      <c r="F19" s="183"/>
      <c r="G19" s="183"/>
      <c r="H19" s="183"/>
      <c r="I19" s="542" t="str">
        <f t="shared" si="1"/>
        <v/>
      </c>
      <c r="J19" s="590"/>
    </row>
    <row r="20" spans="1:10">
      <c r="B20" s="177" t="s">
        <v>67</v>
      </c>
      <c r="C20" s="782">
        <f>C73/C70</f>
        <v>0.14096238952843179</v>
      </c>
      <c r="D20" s="782">
        <f t="shared" ref="D20:H20" si="9">D73/D70</f>
        <v>0.15008272276057669</v>
      </c>
      <c r="E20" s="830">
        <f>E73/E70</f>
        <v>1.3680985818532287</v>
      </c>
      <c r="F20" s="518">
        <f>F73/F70</f>
        <v>0.48458875580814159</v>
      </c>
      <c r="G20" s="518"/>
      <c r="H20" s="518">
        <f t="shared" si="9"/>
        <v>0.3612363990753451</v>
      </c>
      <c r="I20" s="543">
        <f>IFERROR(AVERAGE(C20:H20),"")</f>
        <v>0.50099376980514476</v>
      </c>
      <c r="J20" s="595">
        <f t="shared" si="2"/>
        <v>0.360031380276713</v>
      </c>
    </row>
    <row r="21" spans="1:10" ht="14.1" thickBot="1">
      <c r="B21" s="507" t="s">
        <v>246</v>
      </c>
      <c r="C21" s="833">
        <f>(C73-C65)/C58</f>
        <v>-0.80478965321205242</v>
      </c>
      <c r="D21" s="510">
        <f t="shared" ref="D21:H21" si="10">(D73-D65)/D58</f>
        <v>-0.30178711925368101</v>
      </c>
      <c r="E21" s="510">
        <f>(E73-E65)/E58</f>
        <v>-57.86398722384881</v>
      </c>
      <c r="F21" s="510">
        <f>(F73-F65)/F58</f>
        <v>2.4781866666666663</v>
      </c>
      <c r="G21" s="510"/>
      <c r="H21" s="510">
        <f t="shared" si="10"/>
        <v>1.0262991350819213</v>
      </c>
      <c r="I21" s="543">
        <f t="shared" si="1"/>
        <v>-11.093215638913192</v>
      </c>
      <c r="J21" s="596">
        <f t="shared" si="2"/>
        <v>10.288425985701139</v>
      </c>
    </row>
    <row r="22" spans="1:10" ht="14.1" thickBot="1">
      <c r="B22" s="519" t="s">
        <v>247</v>
      </c>
      <c r="C22" s="783">
        <f t="shared" ref="C22:H22" si="11">-C58/C60</f>
        <v>-17.994884910485933</v>
      </c>
      <c r="D22" s="533">
        <f t="shared" si="11"/>
        <v>51.427745664739888</v>
      </c>
      <c r="E22" s="831">
        <f t="shared" si="11"/>
        <v>-1.4624367458154923</v>
      </c>
      <c r="F22" s="533">
        <f t="shared" si="11"/>
        <v>-39.724576271186436</v>
      </c>
      <c r="G22" s="533"/>
      <c r="H22" s="533">
        <f t="shared" si="11"/>
        <v>-16.990442054958187</v>
      </c>
      <c r="I22" s="544">
        <f t="shared" si="1"/>
        <v>-4.9489188635412322</v>
      </c>
      <c r="J22" s="597">
        <f t="shared" si="2"/>
        <v>13.045966046944701</v>
      </c>
    </row>
    <row r="23" spans="1:10" ht="17.100000000000001" thickBot="1">
      <c r="B23" s="178" t="s">
        <v>248</v>
      </c>
      <c r="C23" s="183"/>
      <c r="D23" s="183"/>
      <c r="E23" s="183"/>
      <c r="F23" s="183"/>
      <c r="G23" s="183"/>
      <c r="H23" s="183"/>
      <c r="I23" s="545"/>
      <c r="J23" s="590"/>
    </row>
    <row r="24" spans="1:10" ht="14.1" thickBot="1">
      <c r="B24" s="511" t="s">
        <v>249</v>
      </c>
      <c r="C24" s="512">
        <f>C68/C72</f>
        <v>1.3024664291586736</v>
      </c>
      <c r="D24" s="512">
        <f t="shared" ref="D24:H24" si="12">D68/D72</f>
        <v>0.86213964383634578</v>
      </c>
      <c r="E24" s="512">
        <f>E68/E72</f>
        <v>1.7354898273500055</v>
      </c>
      <c r="F24" s="512">
        <f>F68/F72</f>
        <v>2.0808971211783085</v>
      </c>
      <c r="G24" s="512"/>
      <c r="H24" s="512">
        <f t="shared" si="12"/>
        <v>1.9611711723932121</v>
      </c>
      <c r="I24" s="546">
        <f t="shared" si="1"/>
        <v>1.5884328387833091</v>
      </c>
      <c r="J24" s="598">
        <f t="shared" si="2"/>
        <v>0.28596640962463549</v>
      </c>
    </row>
    <row r="25" spans="1:10" ht="14.1" thickBot="1">
      <c r="B25" s="519" t="s">
        <v>250</v>
      </c>
      <c r="C25" s="520">
        <f>(C65+C66)/C72</f>
        <v>0.87711701836119493</v>
      </c>
      <c r="D25" s="520">
        <f t="shared" ref="D25:H25" si="13">(D65+D66)/D72</f>
        <v>0.5196049724492241</v>
      </c>
      <c r="E25" s="520">
        <f>(E65+E66)/E72</f>
        <v>1.5021740795262122</v>
      </c>
      <c r="F25" s="520">
        <f>(F65+F66)/F72</f>
        <v>0.72461504128542731</v>
      </c>
      <c r="G25" s="520"/>
      <c r="H25" s="520">
        <f t="shared" si="13"/>
        <v>1.1723660829343063</v>
      </c>
      <c r="I25" s="544">
        <f t="shared" si="1"/>
        <v>0.95917543891127299</v>
      </c>
      <c r="J25" s="599">
        <f t="shared" si="2"/>
        <v>8.2058420550078059E-2</v>
      </c>
    </row>
    <row r="26" spans="1:10" ht="17.100000000000001" thickBot="1">
      <c r="B26" s="178" t="s">
        <v>251</v>
      </c>
      <c r="C26" s="183"/>
      <c r="D26" s="183"/>
      <c r="E26" s="183"/>
      <c r="F26" s="183"/>
      <c r="G26" s="183"/>
      <c r="H26" s="183"/>
      <c r="I26" s="545" t="str">
        <f t="shared" si="1"/>
        <v/>
      </c>
      <c r="J26" s="590"/>
    </row>
    <row r="27" spans="1:10" ht="14.1" thickBot="1">
      <c r="B27" s="511" t="s">
        <v>252</v>
      </c>
      <c r="C27" s="521">
        <f t="shared" ref="C27:H27" si="14">C57/C67</f>
        <v>0.99101604278074806</v>
      </c>
      <c r="D27" s="512" t="e">
        <f>D57/D67</f>
        <v>#DIV/0!</v>
      </c>
      <c r="E27" s="512" t="e">
        <f t="shared" si="14"/>
        <v>#DIV/0!</v>
      </c>
      <c r="F27" s="512" t="e">
        <f t="shared" si="14"/>
        <v>#DIV/0!</v>
      </c>
      <c r="G27" s="512"/>
      <c r="H27" s="512" t="e">
        <f t="shared" si="14"/>
        <v>#DIV/0!</v>
      </c>
      <c r="I27" s="546" t="str">
        <f t="shared" si="1"/>
        <v/>
      </c>
      <c r="J27" s="598" t="e">
        <f t="shared" si="2"/>
        <v>#VALUE!</v>
      </c>
    </row>
    <row r="28" spans="1:10" ht="14.1" thickBot="1">
      <c r="B28" s="516" t="s">
        <v>253</v>
      </c>
      <c r="C28" s="520">
        <f>C56/C66</f>
        <v>5.1022884198066683</v>
      </c>
      <c r="D28" s="520">
        <f t="shared" ref="D28:H28" si="15">D56/D66</f>
        <v>5.100778485491861</v>
      </c>
      <c r="E28" s="520">
        <f>E56/E66</f>
        <v>5.0680584476836277</v>
      </c>
      <c r="F28" s="520">
        <f t="shared" si="15"/>
        <v>6.7315492957746477</v>
      </c>
      <c r="G28" s="520"/>
      <c r="H28" s="520">
        <f t="shared" si="15"/>
        <v>4.7925798713335519</v>
      </c>
      <c r="I28" s="543">
        <f t="shared" si="1"/>
        <v>5.3590509040180709</v>
      </c>
      <c r="J28" s="599">
        <f t="shared" si="2"/>
        <v>0.25676248421140269</v>
      </c>
    </row>
    <row r="29" spans="1:10" ht="14.1" thickBot="1">
      <c r="A29" s="9" t="s">
        <v>254</v>
      </c>
      <c r="B29" s="507" t="s">
        <v>255</v>
      </c>
      <c r="C29" s="513">
        <f>C57/C71</f>
        <v>1.8247341473020864</v>
      </c>
      <c r="D29" s="510">
        <f t="shared" ref="D29:H29" si="16">D57/D71</f>
        <v>14.518209408194233</v>
      </c>
      <c r="E29" s="510">
        <f>E57/E71</f>
        <v>12.68667719852554</v>
      </c>
      <c r="F29" s="510">
        <f>F57/F71</f>
        <v>0.59175084175084169</v>
      </c>
      <c r="G29" s="510"/>
      <c r="H29" s="510">
        <f t="shared" si="16"/>
        <v>17.112785191562633</v>
      </c>
      <c r="I29" s="543">
        <f t="shared" si="1"/>
        <v>9.3468313574670674</v>
      </c>
      <c r="J29" s="596">
        <f t="shared" si="2"/>
        <v>7.522097210164981</v>
      </c>
    </row>
    <row r="30" spans="1:10" ht="14.1" thickBot="1">
      <c r="B30" s="516" t="s">
        <v>256</v>
      </c>
      <c r="C30" s="520">
        <f>C56/C69</f>
        <v>3.775417852711481</v>
      </c>
      <c r="D30" s="520">
        <f t="shared" ref="D30:H30" si="17">D56/D69</f>
        <v>20.440726035167327</v>
      </c>
      <c r="E30" s="520">
        <f t="shared" si="17"/>
        <v>4.9008501996420222</v>
      </c>
      <c r="F30" s="520">
        <f t="shared" si="17"/>
        <v>29.321472392638036</v>
      </c>
      <c r="G30" s="520"/>
      <c r="H30" s="520">
        <f t="shared" si="17"/>
        <v>6.6196392936481043</v>
      </c>
      <c r="I30" s="543">
        <f t="shared" si="1"/>
        <v>13.011621154761395</v>
      </c>
      <c r="J30" s="599">
        <f t="shared" si="2"/>
        <v>9.2362033020499137</v>
      </c>
    </row>
    <row r="31" spans="1:10" ht="14.1" thickBot="1">
      <c r="B31" s="505" t="s">
        <v>257</v>
      </c>
      <c r="C31" s="522">
        <f>C56/C70</f>
        <v>0.69160215528191138</v>
      </c>
      <c r="D31" s="522">
        <f t="shared" ref="D31:H31" si="18">D56/D70</f>
        <v>0.48670695884120602</v>
      </c>
      <c r="E31" s="522">
        <f t="shared" si="18"/>
        <v>4.9008501996420222</v>
      </c>
      <c r="F31" s="522">
        <f t="shared" si="18"/>
        <v>0.44238138432773655</v>
      </c>
      <c r="G31" s="522"/>
      <c r="H31" s="522">
        <f t="shared" si="18"/>
        <v>0.52237950071013017</v>
      </c>
      <c r="I31" s="543">
        <f t="shared" si="1"/>
        <v>1.4087840397606013</v>
      </c>
      <c r="J31" s="600">
        <f t="shared" si="2"/>
        <v>0.71718188447868991</v>
      </c>
    </row>
    <row r="32" spans="1:10" ht="17.100000000000001" thickBot="1">
      <c r="B32" s="179" t="s">
        <v>104</v>
      </c>
      <c r="C32" s="183"/>
      <c r="D32" s="183"/>
      <c r="E32" s="183"/>
      <c r="F32" s="183"/>
      <c r="G32" s="183"/>
      <c r="H32" s="183"/>
      <c r="I32" s="547" t="str">
        <f t="shared" si="1"/>
        <v/>
      </c>
      <c r="J32" s="590"/>
    </row>
    <row r="33" spans="2:10" ht="14.1" thickBot="1">
      <c r="B33" s="177" t="s">
        <v>258</v>
      </c>
      <c r="C33" s="531">
        <f>C10/C62</f>
        <v>34.040149474233075</v>
      </c>
      <c r="D33" s="838">
        <v>144.16999999999999</v>
      </c>
      <c r="E33" s="532" t="s">
        <v>259</v>
      </c>
      <c r="F33" s="843">
        <f t="shared" ref="F33" ca="1" si="19">F10/F62</f>
        <v>24.895807200929152</v>
      </c>
      <c r="G33" s="532"/>
      <c r="H33" s="532" t="s">
        <v>259</v>
      </c>
      <c r="I33" s="546">
        <f t="shared" ca="1" si="1"/>
        <v>67.701985558387392</v>
      </c>
      <c r="J33" s="601">
        <f t="shared" ca="1" si="2"/>
        <v>33.661836084154316</v>
      </c>
    </row>
    <row r="34" spans="2:10" ht="14.1" thickBot="1">
      <c r="B34" s="507" t="s">
        <v>254</v>
      </c>
      <c r="C34" s="514">
        <f>C10/C56</f>
        <v>7.5724476578962632</v>
      </c>
      <c r="D34" s="514">
        <f t="shared" ref="D34:H34" ca="1" si="20">D10/D56</f>
        <v>15.702194966284653</v>
      </c>
      <c r="E34" s="514">
        <f t="shared" ca="1" si="20"/>
        <v>21.824383493410217</v>
      </c>
      <c r="F34" s="514">
        <f t="shared" ca="1" si="20"/>
        <v>8.9698665104406423</v>
      </c>
      <c r="G34" s="514"/>
      <c r="H34" s="514">
        <f t="shared" ca="1" si="20"/>
        <v>13.902611873546025</v>
      </c>
      <c r="I34" s="543">
        <f t="shared" ca="1" si="1"/>
        <v>13.594300900315559</v>
      </c>
      <c r="J34" s="602">
        <f t="shared" ca="1" si="2"/>
        <v>6.0218532424192963</v>
      </c>
    </row>
    <row r="35" spans="2:10" ht="14.1" thickBot="1">
      <c r="B35" s="516" t="s">
        <v>260</v>
      </c>
      <c r="C35" s="836">
        <f>C10/C74</f>
        <v>528.60998650472334</v>
      </c>
      <c r="D35" s="534">
        <f ca="1">D10/D74</f>
        <v>52.140981340704904</v>
      </c>
      <c r="E35" s="534">
        <f ca="1">E10/E74</f>
        <v>30.155953219302717</v>
      </c>
      <c r="F35" s="534">
        <f ca="1">F10/F74</f>
        <v>7.6989045327203511</v>
      </c>
      <c r="G35" s="534"/>
      <c r="H35" s="534">
        <f t="shared" ref="H35" ca="1" si="21">H10/H74</f>
        <v>30.268003617203078</v>
      </c>
      <c r="I35" s="543">
        <f t="shared" ca="1" si="1"/>
        <v>129.77476584293089</v>
      </c>
      <c r="J35" s="603">
        <f t="shared" ca="1" si="2"/>
        <v>398.83522066179245</v>
      </c>
    </row>
    <row r="36" spans="2:10" ht="14.1" thickBot="1">
      <c r="B36" s="507" t="s">
        <v>261</v>
      </c>
      <c r="C36" s="514">
        <f>(C73+C10-C65)/C56</f>
        <v>7.3535097724592573</v>
      </c>
      <c r="D36" s="514">
        <f t="shared" ref="D36" ca="1" si="22">(D73+D10-D65)/D56</f>
        <v>15.664941587812526</v>
      </c>
      <c r="E36" s="514">
        <f ca="1">(E73+E10-E65)/E56</f>
        <v>21.060948448337012</v>
      </c>
      <c r="F36" s="514">
        <f ca="1">(F73+F10-F65)/F56</f>
        <v>9.9420805958906993</v>
      </c>
      <c r="G36" s="514"/>
      <c r="H36" s="514">
        <f ca="1">(H73+H10-H65)/H56</f>
        <v>13.819596590088221</v>
      </c>
      <c r="I36" s="543">
        <f t="shared" ca="1" si="1"/>
        <v>13.568215398917545</v>
      </c>
      <c r="J36" s="602">
        <f t="shared" ca="1" si="2"/>
        <v>6.2147056264582874</v>
      </c>
    </row>
    <row r="37" spans="2:10" ht="14.1" thickBot="1">
      <c r="B37" s="519" t="s">
        <v>262</v>
      </c>
      <c r="C37" s="530">
        <f>(C73+C10-C65)/C58</f>
        <v>27.030628197839683</v>
      </c>
      <c r="D37" s="530">
        <f t="shared" ref="D37:H37" ca="1" si="23">(D73+D10-D65)/D58</f>
        <v>126.90064066539283</v>
      </c>
      <c r="E37" s="530">
        <f ca="1">(E73+E10-E65)/E58</f>
        <v>1596.2988073462868</v>
      </c>
      <c r="F37" s="530">
        <f ca="1">(F73+F10-F65)/F58</f>
        <v>25.342496000000001</v>
      </c>
      <c r="G37" s="530"/>
      <c r="H37" s="530">
        <f t="shared" ca="1" si="23"/>
        <v>-170.84854061599043</v>
      </c>
      <c r="I37" s="544">
        <f t="shared" ca="1" si="1"/>
        <v>320.94480631870573</v>
      </c>
      <c r="J37" s="604">
        <f t="shared" ca="1" si="2"/>
        <v>293.91417812086604</v>
      </c>
    </row>
    <row r="38" spans="2:10" ht="17.100000000000001" thickBot="1">
      <c r="B38" s="179" t="s">
        <v>263</v>
      </c>
      <c r="C38" s="183"/>
      <c r="D38" s="183"/>
      <c r="E38" s="183"/>
      <c r="F38" s="183"/>
      <c r="G38" s="183"/>
      <c r="H38" s="183"/>
      <c r="I38" s="548" t="str">
        <f t="shared" si="1"/>
        <v/>
      </c>
      <c r="J38" s="590"/>
    </row>
    <row r="39" spans="2:10" ht="14.1" thickBot="1">
      <c r="B39" s="177" t="s">
        <v>42</v>
      </c>
      <c r="C39" s="535">
        <f>OP!M20</f>
        <v>0.84199999999999997</v>
      </c>
      <c r="D39" s="535">
        <v>0.98860000000000003</v>
      </c>
      <c r="E39" s="535" t="s">
        <v>264</v>
      </c>
      <c r="F39" s="535" t="s">
        <v>265</v>
      </c>
      <c r="G39" s="535"/>
      <c r="H39" s="535" t="s">
        <v>266</v>
      </c>
      <c r="I39" s="539">
        <f t="shared" si="1"/>
        <v>0.9153</v>
      </c>
      <c r="J39" s="605">
        <f t="shared" si="2"/>
        <v>7.3300000000000032E-2</v>
      </c>
    </row>
    <row r="40" spans="2:10" ht="14.1" thickBot="1">
      <c r="B40" s="523" t="s">
        <v>267</v>
      </c>
      <c r="C40" s="524" t="s">
        <v>268</v>
      </c>
      <c r="D40" s="524" t="s">
        <v>269</v>
      </c>
      <c r="E40" s="524" t="s">
        <v>268</v>
      </c>
      <c r="F40" s="524" t="s">
        <v>270</v>
      </c>
      <c r="G40" s="524"/>
      <c r="H40" s="524" t="s">
        <v>271</v>
      </c>
      <c r="I40" s="549" t="str">
        <f>IFERROR(AVERAGE(C40:H40),"")</f>
        <v/>
      </c>
      <c r="J40" s="606" t="e">
        <f t="shared" si="2"/>
        <v>#VALUE!</v>
      </c>
    </row>
    <row r="41" spans="2:10" ht="14.1" thickBot="1">
      <c r="B41" s="519" t="s">
        <v>272</v>
      </c>
      <c r="C41" s="528">
        <f ca="1">OP!M32</f>
        <v>0</v>
      </c>
      <c r="D41" s="529">
        <v>0</v>
      </c>
      <c r="E41" s="529">
        <v>0</v>
      </c>
      <c r="F41" s="529">
        <v>0</v>
      </c>
      <c r="G41" s="529"/>
      <c r="H41" s="529">
        <v>0</v>
      </c>
      <c r="I41" s="540">
        <f ca="1">IFERROR(AVERAGE(C41:H41),"")</f>
        <v>0</v>
      </c>
      <c r="J41" s="607">
        <f t="shared" ca="1" si="2"/>
        <v>0</v>
      </c>
    </row>
    <row r="42" spans="2:10" ht="17.100000000000001" thickBot="1">
      <c r="B42" s="179" t="s">
        <v>273</v>
      </c>
      <c r="C42" s="183"/>
      <c r="D42" s="183"/>
      <c r="E42" s="183"/>
      <c r="F42" s="183"/>
      <c r="G42" s="183"/>
      <c r="H42" s="183"/>
      <c r="I42" s="550"/>
      <c r="J42" s="590"/>
    </row>
    <row r="43" spans="2:10" ht="14.1" thickBot="1">
      <c r="B43" s="181" t="s">
        <v>274</v>
      </c>
      <c r="C43" s="689" t="s">
        <v>275</v>
      </c>
      <c r="D43" s="689" t="s">
        <v>276</v>
      </c>
      <c r="E43" s="689" t="s">
        <v>277</v>
      </c>
      <c r="F43" s="689" t="s">
        <v>278</v>
      </c>
      <c r="G43" s="689"/>
      <c r="H43" s="689" t="s">
        <v>279</v>
      </c>
      <c r="I43" s="539" t="str">
        <f>IFERROR(AVERAGE(C43:H43),"")</f>
        <v/>
      </c>
      <c r="J43" s="583" t="e">
        <f t="shared" si="2"/>
        <v>#VALUE!</v>
      </c>
    </row>
    <row r="44" spans="2:10" ht="14.1" thickBot="1">
      <c r="B44" s="507" t="s">
        <v>280</v>
      </c>
      <c r="C44" s="842" t="s">
        <v>281</v>
      </c>
      <c r="D44" s="842" t="s">
        <v>282</v>
      </c>
      <c r="E44" s="690">
        <v>1.56</v>
      </c>
      <c r="F44" s="690" t="s">
        <v>283</v>
      </c>
      <c r="G44" s="690"/>
      <c r="H44" s="690" t="s">
        <v>284</v>
      </c>
      <c r="I44" s="539">
        <f t="shared" ref="I44:I47" si="24">IFERROR(AVERAGE(C44:H44),"")</f>
        <v>1.56</v>
      </c>
      <c r="J44" s="608" t="e">
        <f t="shared" si="2"/>
        <v>#VALUE!</v>
      </c>
    </row>
    <row r="45" spans="2:10" ht="14.1" thickBot="1">
      <c r="B45" s="182" t="s">
        <v>285</v>
      </c>
      <c r="C45" s="688">
        <v>51.01</v>
      </c>
      <c r="D45" s="688" t="s">
        <v>286</v>
      </c>
      <c r="E45" s="688" t="s">
        <v>287</v>
      </c>
      <c r="F45" s="688" t="s">
        <v>288</v>
      </c>
      <c r="G45" s="688"/>
      <c r="H45" s="688" t="s">
        <v>289</v>
      </c>
      <c r="I45" s="539">
        <f t="shared" si="24"/>
        <v>51.01</v>
      </c>
      <c r="J45" s="609">
        <f t="shared" si="2"/>
        <v>0</v>
      </c>
    </row>
    <row r="46" spans="2:10" ht="14.1" thickBot="1">
      <c r="B46" s="507" t="s">
        <v>290</v>
      </c>
      <c r="C46" s="525">
        <v>57.08</v>
      </c>
      <c r="D46" s="525" t="s">
        <v>291</v>
      </c>
      <c r="E46" s="525" t="s">
        <v>292</v>
      </c>
      <c r="F46" s="525" t="s">
        <v>293</v>
      </c>
      <c r="G46" s="525"/>
      <c r="H46" s="525" t="s">
        <v>294</v>
      </c>
      <c r="I46" s="539">
        <f t="shared" si="24"/>
        <v>57.08</v>
      </c>
      <c r="J46" s="610">
        <f t="shared" si="2"/>
        <v>0</v>
      </c>
    </row>
    <row r="47" spans="2:10" ht="14.1" thickBot="1">
      <c r="B47" s="526" t="s">
        <v>295</v>
      </c>
      <c r="C47" s="527">
        <f>C46/C45-1</f>
        <v>0.118996275240149</v>
      </c>
      <c r="D47" s="527">
        <f>D46/D45-1</f>
        <v>-3.7228788446472816E-2</v>
      </c>
      <c r="E47" s="527">
        <f>E46/E45-1</f>
        <v>-1.5518104455197745E-2</v>
      </c>
      <c r="F47" s="527">
        <f>F46/F45-1</f>
        <v>-9.7577854671280218E-3</v>
      </c>
      <c r="G47" s="527" t="e">
        <f>G46/G45-1</f>
        <v>#DIV/0!</v>
      </c>
      <c r="H47" s="527">
        <f t="shared" ref="H47" si="25">H46/H45-1</f>
        <v>4.9650349650349535E-2</v>
      </c>
      <c r="I47" s="551" t="str">
        <f t="shared" si="24"/>
        <v/>
      </c>
      <c r="J47" s="611" t="e">
        <f t="shared" si="2"/>
        <v>#VALUE!</v>
      </c>
    </row>
    <row r="48" spans="2:10" ht="17.100000000000001" thickBot="1">
      <c r="B48" s="179" t="s">
        <v>296</v>
      </c>
      <c r="C48" s="179"/>
      <c r="D48" s="179"/>
      <c r="E48" s="179"/>
      <c r="F48" s="179"/>
      <c r="G48" s="179"/>
      <c r="H48" s="179"/>
      <c r="I48" s="179" t="str">
        <f>IFERROR(AVERAGE(C48:H48),"")</f>
        <v/>
      </c>
      <c r="J48" s="582"/>
    </row>
    <row r="49" spans="2:10" ht="14.1" thickBot="1">
      <c r="B49" s="181" t="s">
        <v>297</v>
      </c>
      <c r="C49" s="613">
        <f>(Inputs!C59-Inputs!F59)/Inputs!F59</f>
        <v>1.1418316831683166</v>
      </c>
      <c r="D49" s="429" t="s">
        <v>298</v>
      </c>
      <c r="E49" s="832" t="s">
        <v>299</v>
      </c>
      <c r="F49" s="429">
        <v>-0.09</v>
      </c>
      <c r="G49" s="429"/>
      <c r="H49" s="429" t="s">
        <v>300</v>
      </c>
      <c r="I49" s="551">
        <f>IFERROR(AVERAGE(C49:H49),"")</f>
        <v>0.52591584158415827</v>
      </c>
      <c r="J49" s="583">
        <f t="shared" si="2"/>
        <v>0.61591584158415835</v>
      </c>
    </row>
    <row r="50" spans="2:10" ht="14.1" thickBot="1">
      <c r="B50" s="584" t="s">
        <v>301</v>
      </c>
      <c r="C50" s="585">
        <f t="shared" ref="C50:H50" si="26">C63/C11</f>
        <v>0.11725017882343844</v>
      </c>
      <c r="D50" s="585">
        <f t="shared" si="26"/>
        <v>0.22777978189083445</v>
      </c>
      <c r="E50" s="585">
        <f t="shared" si="26"/>
        <v>0.26209531568800282</v>
      </c>
      <c r="F50" s="585">
        <f t="shared" si="26"/>
        <v>0.15052098589781146</v>
      </c>
      <c r="G50" s="585">
        <f t="shared" si="26"/>
        <v>0</v>
      </c>
      <c r="H50" s="585">
        <f t="shared" si="26"/>
        <v>0.22087923963802039</v>
      </c>
      <c r="I50" s="551">
        <f>IFERROR(AVERAGE(C50:H50),"")</f>
        <v>0.16308758365635126</v>
      </c>
      <c r="J50" s="586">
        <f t="shared" si="2"/>
        <v>4.583740483291282E-2</v>
      </c>
    </row>
    <row r="51" spans="2:10" ht="14.1" thickBot="1"/>
    <row r="52" spans="2:10" ht="51">
      <c r="B52" s="499" t="s">
        <v>302</v>
      </c>
      <c r="C52" s="498" t="e" vm="1">
        <f>OP!E2</f>
        <v>#VALUE!</v>
      </c>
      <c r="D52" s="367" t="e" vm="3">
        <f>D8</f>
        <v>#VALUE!</v>
      </c>
      <c r="E52" s="368" t="e" vm="4">
        <f>E8</f>
        <v>#VALUE!</v>
      </c>
      <c r="F52" s="369" t="e" vm="5">
        <v>#VALUE!</v>
      </c>
      <c r="G52" s="370" t="e" vm="6">
        <f>G8</f>
        <v>#VALUE!</v>
      </c>
      <c r="H52" s="653" t="e" vm="7">
        <f>H8</f>
        <v>#VALUE!</v>
      </c>
    </row>
    <row r="53" spans="2:10" ht="14.1" thickBot="1">
      <c r="B53" s="174" t="s">
        <v>303</v>
      </c>
      <c r="C53" s="175"/>
      <c r="D53" s="175"/>
      <c r="E53" s="175"/>
      <c r="F53" s="175"/>
      <c r="G53" s="175"/>
      <c r="H53" s="176"/>
    </row>
    <row r="54" spans="2:10" ht="14.1" thickBot="1">
      <c r="B54" s="172" t="s">
        <v>304</v>
      </c>
      <c r="C54" s="723">
        <f>'Fin. Data'!E5</f>
        <v>2594.4</v>
      </c>
      <c r="D54" s="724">
        <v>3408.4</v>
      </c>
      <c r="E54" s="724">
        <v>761.62</v>
      </c>
      <c r="F54" s="724">
        <v>2064.9</v>
      </c>
      <c r="G54" s="724">
        <f>3154+861-816</f>
        <v>3199</v>
      </c>
      <c r="H54" s="725">
        <v>480.26</v>
      </c>
    </row>
    <row r="55" spans="2:10" ht="14.1" thickBot="1">
      <c r="B55" s="172" t="s">
        <v>305</v>
      </c>
      <c r="C55" s="723">
        <f>'Fin. Data'!C5</f>
        <v>4417.3999999999996</v>
      </c>
      <c r="D55" s="724">
        <v>5501.5</v>
      </c>
      <c r="E55" s="724">
        <v>2034.88</v>
      </c>
      <c r="F55" s="724">
        <v>2290.5</v>
      </c>
      <c r="G55" s="724">
        <f>3699+895-861</f>
        <v>3733</v>
      </c>
      <c r="H55" s="725">
        <v>1215.98</v>
      </c>
    </row>
    <row r="56" spans="2:10" ht="14.1" thickBot="1">
      <c r="B56" s="172" t="s">
        <v>236</v>
      </c>
      <c r="C56" s="723">
        <f>'Fin. Data'!B5</f>
        <v>5172.7</v>
      </c>
      <c r="D56" s="724">
        <v>7207.4</v>
      </c>
      <c r="E56" s="724">
        <v>2847.59</v>
      </c>
      <c r="F56" s="724">
        <v>2389.6999999999998</v>
      </c>
      <c r="G56" s="724">
        <f>3859+1010-971</f>
        <v>3898</v>
      </c>
      <c r="H56" s="725">
        <v>1758.11</v>
      </c>
    </row>
    <row r="57" spans="2:10" ht="14.1" thickBot="1">
      <c r="B57" s="172" t="s">
        <v>306</v>
      </c>
      <c r="C57" s="723">
        <f>'Fin. Data'!C5-'Fin. Data'!B7</f>
        <v>463.29999999999973</v>
      </c>
      <c r="D57" s="724">
        <v>1913.5</v>
      </c>
      <c r="E57" s="724">
        <v>722.76</v>
      </c>
      <c r="F57" s="724">
        <v>281.2</v>
      </c>
      <c r="G57" s="724"/>
      <c r="H57" s="725">
        <v>397.53</v>
      </c>
    </row>
    <row r="58" spans="2:10" ht="14.1" thickBot="1">
      <c r="B58" s="172" t="s">
        <v>50</v>
      </c>
      <c r="C58" s="723">
        <f>'Fin. Data'!B19</f>
        <v>1407.2</v>
      </c>
      <c r="D58" s="724">
        <v>889.7</v>
      </c>
      <c r="E58" s="726">
        <v>37.57</v>
      </c>
      <c r="F58" s="724">
        <v>937.5</v>
      </c>
      <c r="G58" s="724"/>
      <c r="H58" s="725">
        <v>-142.21</v>
      </c>
    </row>
    <row r="59" spans="2:10" ht="14.1" thickBot="1">
      <c r="B59" s="172" t="s">
        <v>307</v>
      </c>
      <c r="C59" s="727">
        <f>'Fin. Data'!B11</f>
        <v>1213.5</v>
      </c>
      <c r="D59" s="724">
        <v>613.9</v>
      </c>
      <c r="E59" s="724">
        <v>-93.17</v>
      </c>
      <c r="F59" s="724">
        <v>901.3</v>
      </c>
      <c r="G59" s="724"/>
      <c r="H59" s="725">
        <v>-211.59</v>
      </c>
    </row>
    <row r="60" spans="2:10" ht="14.1" thickBot="1">
      <c r="B60" s="172" t="s">
        <v>308</v>
      </c>
      <c r="C60" s="727">
        <f>'Fin. Data'!B14</f>
        <v>78.2</v>
      </c>
      <c r="D60" s="724">
        <v>-17.3</v>
      </c>
      <c r="E60" s="724">
        <v>25.69</v>
      </c>
      <c r="F60" s="728">
        <v>23.6</v>
      </c>
      <c r="G60" s="724"/>
      <c r="H60" s="725">
        <v>-8.3699999999999992</v>
      </c>
    </row>
    <row r="61" spans="2:10" ht="14.1" thickBot="1">
      <c r="B61" s="172" t="s">
        <v>309</v>
      </c>
      <c r="C61" s="727">
        <f>'Fin. Data'!B21</f>
        <v>-57.8</v>
      </c>
      <c r="D61" s="724">
        <v>200.6</v>
      </c>
      <c r="E61" s="724">
        <v>23.94</v>
      </c>
      <c r="F61" s="724">
        <v>113.7</v>
      </c>
      <c r="G61" s="724"/>
      <c r="H61" s="725">
        <v>24.02</v>
      </c>
    </row>
    <row r="62" spans="2:10" ht="14.1" thickBot="1">
      <c r="B62" s="172" t="s">
        <v>63</v>
      </c>
      <c r="C62" s="727">
        <f>'Fin. Data'!B23</f>
        <v>1150.7</v>
      </c>
      <c r="D62" s="724">
        <v>613.9</v>
      </c>
      <c r="E62" s="724">
        <v>-13.29</v>
      </c>
      <c r="F62" s="724">
        <v>861</v>
      </c>
      <c r="G62" s="724"/>
      <c r="H62" s="725">
        <v>-100.69</v>
      </c>
    </row>
    <row r="63" spans="2:10">
      <c r="B63" s="172" t="s">
        <v>310</v>
      </c>
      <c r="C63" s="788">
        <v>606.5</v>
      </c>
      <c r="D63" s="724">
        <v>1641.7</v>
      </c>
      <c r="E63" s="724">
        <v>746.34</v>
      </c>
      <c r="F63" s="724">
        <v>359.7</v>
      </c>
      <c r="G63" s="724"/>
      <c r="H63" s="725">
        <v>388.33</v>
      </c>
    </row>
    <row r="65" spans="2:8" ht="14.1" thickBot="1">
      <c r="B65" s="172" t="s">
        <v>311</v>
      </c>
      <c r="C65" s="723">
        <f>'Fin. Data'!B39</f>
        <v>2186.8000000000002</v>
      </c>
      <c r="D65" s="724">
        <v>2491</v>
      </c>
      <c r="E65" s="724">
        <v>2968.87</v>
      </c>
      <c r="F65" s="724">
        <v>294.39999999999998</v>
      </c>
      <c r="G65" s="724"/>
      <c r="H65" s="725">
        <v>1361.72</v>
      </c>
    </row>
    <row r="66" spans="2:8" ht="14.1" thickBot="1">
      <c r="B66" s="172" t="s">
        <v>312</v>
      </c>
      <c r="C66" s="723">
        <f>'Fin. Data'!B40</f>
        <v>1013.8</v>
      </c>
      <c r="D66" s="724">
        <v>1413</v>
      </c>
      <c r="E66" s="724">
        <v>561.87</v>
      </c>
      <c r="F66" s="724">
        <v>355</v>
      </c>
      <c r="G66" s="724"/>
      <c r="H66" s="725">
        <v>366.84</v>
      </c>
    </row>
    <row r="67" spans="2:8" ht="14.1" thickBot="1">
      <c r="B67" s="172" t="s">
        <v>313</v>
      </c>
      <c r="C67" s="723">
        <f>'Fin. Data'!B41</f>
        <v>467.5</v>
      </c>
      <c r="D67" s="724">
        <v>0</v>
      </c>
      <c r="E67" s="724">
        <v>0</v>
      </c>
      <c r="F67" s="724">
        <v>0</v>
      </c>
      <c r="G67" s="724"/>
      <c r="H67" s="725">
        <v>0</v>
      </c>
    </row>
    <row r="68" spans="2:8" ht="14.1" thickBot="1">
      <c r="B68" s="172" t="s">
        <v>314</v>
      </c>
      <c r="C68" s="723">
        <f>Inputs!B27</f>
        <v>4752.7</v>
      </c>
      <c r="D68" s="724">
        <v>6477.6</v>
      </c>
      <c r="E68" s="724">
        <v>4079.13</v>
      </c>
      <c r="F68" s="724">
        <v>1864.9</v>
      </c>
      <c r="G68" s="724"/>
      <c r="H68" s="725">
        <v>2891.59</v>
      </c>
    </row>
    <row r="69" spans="2:8" ht="14.1" thickBot="1">
      <c r="B69" s="172" t="s">
        <v>315</v>
      </c>
      <c r="C69" s="723">
        <f>'Fin. Data'!B42</f>
        <v>1370.1</v>
      </c>
      <c r="D69" s="724">
        <v>352.6</v>
      </c>
      <c r="E69" s="724">
        <v>581.04</v>
      </c>
      <c r="F69" s="724">
        <v>81.5</v>
      </c>
      <c r="G69" s="724"/>
      <c r="H69" s="725">
        <v>265.58999999999997</v>
      </c>
    </row>
    <row r="70" spans="2:8" ht="14.1" thickBot="1">
      <c r="B70" s="172" t="s">
        <v>38</v>
      </c>
      <c r="C70" s="723">
        <f>'Fin. Data'!B44</f>
        <v>7479.3</v>
      </c>
      <c r="D70" s="724">
        <v>14808.5</v>
      </c>
      <c r="E70" s="724">
        <v>581.04</v>
      </c>
      <c r="F70" s="724">
        <v>5401.9</v>
      </c>
      <c r="G70" s="724"/>
      <c r="H70" s="725">
        <v>3365.58</v>
      </c>
    </row>
    <row r="71" spans="2:8" ht="14.1" thickBot="1">
      <c r="B71" s="172" t="s">
        <v>316</v>
      </c>
      <c r="C71" s="723">
        <f>Inputs!B43</f>
        <v>253.9</v>
      </c>
      <c r="D71" s="724">
        <v>131.80000000000001</v>
      </c>
      <c r="E71" s="724">
        <v>56.97</v>
      </c>
      <c r="F71" s="724">
        <v>475.2</v>
      </c>
      <c r="G71" s="724"/>
      <c r="H71" s="725">
        <v>23.23</v>
      </c>
    </row>
    <row r="72" spans="2:8" ht="14.1" thickBot="1">
      <c r="B72" s="172" t="s">
        <v>317</v>
      </c>
      <c r="C72" s="723">
        <f>Inputs!B42</f>
        <v>3649</v>
      </c>
      <c r="D72" s="724">
        <v>7513.4</v>
      </c>
      <c r="E72" s="724">
        <v>2350.42</v>
      </c>
      <c r="F72" s="724">
        <v>896.2</v>
      </c>
      <c r="G72" s="724"/>
      <c r="H72" s="725">
        <v>1474.42</v>
      </c>
    </row>
    <row r="73" spans="2:8" ht="14.1" thickBot="1">
      <c r="B73" s="172" t="s">
        <v>318</v>
      </c>
      <c r="C73" s="723">
        <f>'Fin. Data'!B58</f>
        <v>1054.3</v>
      </c>
      <c r="D73" s="724">
        <v>2222.5</v>
      </c>
      <c r="E73" s="724">
        <v>794.92</v>
      </c>
      <c r="F73" s="724">
        <v>2617.6999999999998</v>
      </c>
      <c r="G73" s="724"/>
      <c r="H73" s="725">
        <v>1215.77</v>
      </c>
    </row>
    <row r="74" spans="2:8" ht="14.1" thickBot="1">
      <c r="B74" s="173" t="s">
        <v>319</v>
      </c>
      <c r="C74" s="729">
        <f>'Fin. Data'!B64</f>
        <v>74.099999999999994</v>
      </c>
      <c r="D74" s="730">
        <v>2170.5</v>
      </c>
      <c r="E74" s="730">
        <v>2060.85</v>
      </c>
      <c r="F74" s="730">
        <v>2784.2</v>
      </c>
      <c r="G74" s="730"/>
      <c r="H74" s="731">
        <v>807.53</v>
      </c>
    </row>
    <row r="75" spans="2:8">
      <c r="C75" s="750"/>
    </row>
    <row r="76" spans="2:8">
      <c r="D76" t="s">
        <v>320</v>
      </c>
      <c r="G76" t="s">
        <v>321</v>
      </c>
    </row>
    <row r="77" spans="2:8">
      <c r="C77">
        <f>C73/C59</f>
        <v>0.86880922950144213</v>
      </c>
      <c r="D77" t="s">
        <v>322</v>
      </c>
      <c r="G77" t="s">
        <v>323</v>
      </c>
    </row>
    <row r="78" spans="2:8">
      <c r="D78" t="s">
        <v>324</v>
      </c>
      <c r="G78" t="s">
        <v>325</v>
      </c>
    </row>
    <row r="79" spans="2:8">
      <c r="D79" t="s">
        <v>326</v>
      </c>
      <c r="G79" t="s">
        <v>327</v>
      </c>
    </row>
    <row r="80" spans="2:8">
      <c r="D80" t="s">
        <v>328</v>
      </c>
      <c r="G80" t="s">
        <v>329</v>
      </c>
    </row>
    <row r="85" spans="2:8">
      <c r="B85" s="878" t="s">
        <v>330</v>
      </c>
      <c r="C85" s="879">
        <f>C66+C67-C71</f>
        <v>1227.3999999999999</v>
      </c>
      <c r="D85" s="879">
        <f t="shared" ref="D85:H85" si="27">D66+D67-D71</f>
        <v>1281.2</v>
      </c>
      <c r="E85" s="879">
        <f t="shared" si="27"/>
        <v>504.9</v>
      </c>
      <c r="F85" s="879">
        <f t="shared" si="27"/>
        <v>-120.19999999999999</v>
      </c>
      <c r="G85" s="879">
        <f t="shared" si="27"/>
        <v>0</v>
      </c>
      <c r="H85" s="879">
        <f t="shared" si="27"/>
        <v>343.60999999999996</v>
      </c>
    </row>
    <row r="86" spans="2:8">
      <c r="B86" s="880" t="s">
        <v>331</v>
      </c>
      <c r="C86" s="879">
        <f>C85/C56</f>
        <v>0.23728420360740038</v>
      </c>
      <c r="D86" s="879">
        <f t="shared" ref="D86:H86" si="28">D85/D56</f>
        <v>0.17776174487332466</v>
      </c>
      <c r="E86" s="879">
        <f t="shared" si="28"/>
        <v>0.17730782872534318</v>
      </c>
      <c r="F86" s="879">
        <f t="shared" si="28"/>
        <v>-5.0299200736494118E-2</v>
      </c>
      <c r="G86" s="879">
        <f t="shared" si="28"/>
        <v>0</v>
      </c>
      <c r="H86" s="879">
        <f t="shared" si="28"/>
        <v>0.19544283349733518</v>
      </c>
    </row>
    <row r="87" spans="2:8">
      <c r="B87" s="880" t="s">
        <v>332</v>
      </c>
      <c r="C87" s="879">
        <f>AVERAGE(D86:F86,H86)</f>
        <v>0.12505330158987724</v>
      </c>
    </row>
    <row r="89" spans="2:8">
      <c r="D89" t="s">
        <v>333</v>
      </c>
    </row>
    <row r="91" spans="2:8">
      <c r="D91" s="835"/>
      <c r="E91" t="s">
        <v>334</v>
      </c>
    </row>
    <row r="92" spans="2:8">
      <c r="D92" s="26"/>
      <c r="E92" t="s">
        <v>335</v>
      </c>
    </row>
    <row r="93" spans="2:8">
      <c r="D93" s="834"/>
      <c r="E93" t="s">
        <v>336</v>
      </c>
    </row>
    <row r="95" spans="2:8">
      <c r="D95" s="26"/>
      <c r="E95" t="s">
        <v>337</v>
      </c>
    </row>
    <row r="97" spans="5:5">
      <c r="E97" t="s">
        <v>338</v>
      </c>
    </row>
    <row r="98" spans="5:5">
      <c r="E98" t="s">
        <v>339</v>
      </c>
    </row>
  </sheetData>
  <mergeCells count="13">
    <mergeCell ref="L12:L13"/>
    <mergeCell ref="M12:N13"/>
    <mergeCell ref="L9:N9"/>
    <mergeCell ref="L10:L11"/>
    <mergeCell ref="L14:L15"/>
    <mergeCell ref="M14:N15"/>
    <mergeCell ref="M10:N11"/>
    <mergeCell ref="D6:H6"/>
    <mergeCell ref="D4:H4"/>
    <mergeCell ref="D1:H1"/>
    <mergeCell ref="D2:H2"/>
    <mergeCell ref="D3:H3"/>
    <mergeCell ref="D5:H5"/>
  </mergeCells>
  <pageMargins left="0.7" right="0.7" top="0.75" bottom="0.75" header="0.3" footer="0.3"/>
  <pageSetup orientation="portrait" r:id="rId1"/>
  <ignoredErrors>
    <ignoredError sqref="J46" evalError="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74F75-56E5-4EBB-ADC2-DFE62BF08BD2}">
  <dimension ref="A1:AN1770"/>
  <sheetViews>
    <sheetView showGridLines="0" zoomScale="80" zoomScaleNormal="80" workbookViewId="0">
      <selection activeCell="H11" sqref="C11:H11"/>
    </sheetView>
  </sheetViews>
  <sheetFormatPr defaultColWidth="8.85546875" defaultRowHeight="12.75" customHeight="1"/>
  <cols>
    <col min="1" max="1" width="12.42578125" style="659" customWidth="1"/>
    <col min="2" max="2" width="14.28515625" style="679" customWidth="1"/>
    <col min="3" max="3" width="47.85546875" style="659" customWidth="1"/>
    <col min="4" max="4" width="22.7109375" style="659" customWidth="1"/>
    <col min="5" max="5" width="22.140625" style="659" bestFit="1" customWidth="1"/>
    <col min="6" max="6" width="9.28515625" style="659" bestFit="1" customWidth="1"/>
    <col min="7" max="7" width="11" style="659" customWidth="1"/>
    <col min="8" max="8" width="21.28515625" style="659" customWidth="1"/>
    <col min="9" max="9" width="11.28515625" style="659" customWidth="1"/>
    <col min="10" max="10" width="10.7109375" style="659" customWidth="1"/>
    <col min="11" max="11" width="20.42578125" style="659" bestFit="1" customWidth="1"/>
    <col min="12" max="12" width="10" style="659" customWidth="1"/>
    <col min="13" max="13" width="8.85546875" style="659"/>
    <col min="14" max="14" width="10.85546875" style="659" bestFit="1" customWidth="1"/>
    <col min="15" max="15" width="8.85546875" style="659"/>
    <col min="16" max="16" width="10.85546875" style="659" bestFit="1" customWidth="1"/>
    <col min="17" max="17" width="10.42578125" style="659" customWidth="1"/>
    <col min="18" max="19" width="8.85546875" style="659"/>
    <col min="20" max="20" width="18.7109375" style="659" bestFit="1" customWidth="1"/>
    <col min="21" max="24" width="8.85546875" style="659"/>
    <col min="25" max="26" width="11.42578125" style="659" customWidth="1"/>
    <col min="27" max="27" width="8.85546875" style="659"/>
    <col min="28" max="28" width="12.7109375" style="659" customWidth="1"/>
    <col min="29" max="30" width="8.85546875" style="659"/>
    <col min="31" max="31" width="17.140625" style="659" customWidth="1"/>
    <col min="32" max="32" width="10" style="659" customWidth="1"/>
    <col min="33" max="33" width="14.28515625" style="659" customWidth="1"/>
    <col min="34" max="34" width="28.42578125" style="659" customWidth="1"/>
    <col min="35" max="35" width="12.85546875" style="659" customWidth="1"/>
    <col min="36" max="38" width="15" style="659" customWidth="1"/>
    <col min="39" max="40" width="20.28515625" style="659" customWidth="1"/>
    <col min="41" max="16384" width="8.85546875" style="659"/>
  </cols>
  <sheetData>
    <row r="1" spans="1:40" ht="18.95">
      <c r="A1" s="659">
        <v>1769</v>
      </c>
      <c r="B1"/>
      <c r="C1"/>
      <c r="D1"/>
      <c r="E1"/>
      <c r="F1" s="1265" t="s">
        <v>340</v>
      </c>
      <c r="G1" s="1265"/>
      <c r="H1" s="1265"/>
      <c r="I1" s="1265"/>
      <c r="J1" s="1265"/>
      <c r="K1" s="1265" t="s">
        <v>341</v>
      </c>
      <c r="L1" s="1265"/>
      <c r="M1" s="1265"/>
      <c r="N1" s="1265"/>
      <c r="O1" s="1265"/>
      <c r="P1" s="1265" t="s">
        <v>342</v>
      </c>
      <c r="Q1" s="1265"/>
      <c r="R1" s="1265"/>
      <c r="S1" s="1265"/>
      <c r="T1" s="1265"/>
      <c r="U1" s="1266" t="s">
        <v>343</v>
      </c>
      <c r="V1" s="1266"/>
      <c r="W1" s="1266"/>
      <c r="X1" s="669"/>
      <c r="Y1" s="1266" t="s">
        <v>344</v>
      </c>
      <c r="Z1" s="1266"/>
      <c r="AA1" s="1266"/>
      <c r="AB1" s="1266"/>
      <c r="AD1" s="1256" t="e">
        <f>#REF!</f>
        <v>#REF!</v>
      </c>
      <c r="AE1" s="1256" t="s">
        <v>345</v>
      </c>
      <c r="AF1" s="1256"/>
      <c r="AG1" s="1256"/>
      <c r="AH1" s="1256"/>
      <c r="AI1" s="1256"/>
      <c r="AJ1" s="1257" t="s">
        <v>346</v>
      </c>
      <c r="AK1" s="1257"/>
      <c r="AL1" s="1257"/>
      <c r="AM1" s="1257" t="s">
        <v>347</v>
      </c>
      <c r="AN1" s="1257"/>
    </row>
    <row r="2" spans="1:40" ht="80.099999999999994">
      <c r="B2" s="655" t="s">
        <v>348</v>
      </c>
      <c r="C2" s="655" t="s">
        <v>349</v>
      </c>
      <c r="D2" s="655" t="s">
        <v>350</v>
      </c>
      <c r="E2" s="655" t="s">
        <v>351</v>
      </c>
      <c r="F2" s="656" t="s">
        <v>352</v>
      </c>
      <c r="G2" s="855" t="s">
        <v>353</v>
      </c>
      <c r="H2" s="856" t="s">
        <v>234</v>
      </c>
      <c r="I2" s="656" t="s">
        <v>354</v>
      </c>
      <c r="J2" s="656" t="s">
        <v>355</v>
      </c>
      <c r="K2" s="683" t="s">
        <v>352</v>
      </c>
      <c r="L2" s="684" t="s">
        <v>353</v>
      </c>
      <c r="M2" s="683" t="s">
        <v>234</v>
      </c>
      <c r="N2" s="683" t="s">
        <v>356</v>
      </c>
      <c r="O2" s="683" t="s">
        <v>355</v>
      </c>
      <c r="P2" s="656" t="s">
        <v>352</v>
      </c>
      <c r="Q2" s="855" t="s">
        <v>353</v>
      </c>
      <c r="R2" s="656" t="s">
        <v>234</v>
      </c>
      <c r="S2" s="656" t="s">
        <v>356</v>
      </c>
      <c r="T2" s="656" t="s">
        <v>355</v>
      </c>
      <c r="U2" s="859" t="s">
        <v>357</v>
      </c>
      <c r="V2" s="683" t="s">
        <v>358</v>
      </c>
      <c r="W2" s="656" t="s">
        <v>359</v>
      </c>
      <c r="X2" s="658"/>
      <c r="Y2" s="657" t="s">
        <v>360</v>
      </c>
      <c r="Z2" s="656" t="s">
        <v>361</v>
      </c>
      <c r="AA2" s="656" t="s">
        <v>362</v>
      </c>
      <c r="AB2" s="656" t="s">
        <v>363</v>
      </c>
      <c r="AD2" s="1256"/>
      <c r="AE2" s="685" t="s">
        <v>359</v>
      </c>
      <c r="AF2" s="667" t="s">
        <v>357</v>
      </c>
      <c r="AG2" s="667" t="s">
        <v>348</v>
      </c>
      <c r="AH2" s="667" t="s">
        <v>349</v>
      </c>
      <c r="AI2" s="667" t="s">
        <v>351</v>
      </c>
      <c r="AJ2" s="667" t="s">
        <v>364</v>
      </c>
      <c r="AK2" s="667" t="s">
        <v>365</v>
      </c>
      <c r="AL2" s="667" t="s">
        <v>366</v>
      </c>
      <c r="AM2" s="667" t="s">
        <v>367</v>
      </c>
      <c r="AN2" s="667" t="s">
        <v>368</v>
      </c>
    </row>
    <row r="3" spans="1:40" ht="15">
      <c r="A3" s="857" t="s">
        <v>369</v>
      </c>
      <c r="B3" s="861"/>
      <c r="C3" s="861" t="s">
        <v>370</v>
      </c>
      <c r="D3" s="671" t="s">
        <v>371</v>
      </c>
      <c r="E3" s="671" t="s">
        <v>372</v>
      </c>
      <c r="F3" s="789">
        <f>Peers!C17%</f>
        <v>0.1552901484480432</v>
      </c>
      <c r="G3" s="876">
        <v>0.86880922950144213</v>
      </c>
      <c r="H3" s="873">
        <f>Peers!C10*1000000</f>
        <v>39170000000</v>
      </c>
      <c r="I3" s="867">
        <v>16.62</v>
      </c>
      <c r="J3" s="789">
        <v>0.2346</v>
      </c>
      <c r="K3" s="868">
        <f>IFERROR(_xlfn.RANK.EQ(F3,F$3:F$1770),"N/A")</f>
        <v>135</v>
      </c>
      <c r="L3" s="671" t="str">
        <f>IFERROR(_xlfn.RANK.EQ(G3,G$3:G$1770),"N/A")</f>
        <v>N/A</v>
      </c>
      <c r="M3" s="671">
        <f>IFERROR(_xlfn.RANK.EQ(H3,H$3:H$1770),"N/A")</f>
        <v>16</v>
      </c>
      <c r="N3" s="671">
        <f>IFERROR(_xlfn.RANK.EQ(I3,I$3:I$1770),"N/A")</f>
        <v>186</v>
      </c>
      <c r="O3" s="671">
        <f>IFERROR(_xlfn.RANK.EQ(J3,J$3:J$1770),"N/A")</f>
        <v>206</v>
      </c>
      <c r="P3" s="671" t="s">
        <v>66</v>
      </c>
      <c r="Q3" s="671" t="s">
        <v>66</v>
      </c>
      <c r="R3" s="671" t="s">
        <v>66</v>
      </c>
      <c r="S3" s="671" t="s">
        <v>66</v>
      </c>
      <c r="T3" s="671" t="s">
        <v>66</v>
      </c>
      <c r="U3" s="673" t="s">
        <v>66</v>
      </c>
      <c r="V3" s="670" t="s">
        <v>66</v>
      </c>
      <c r="W3" s="670" t="s">
        <v>66</v>
      </c>
      <c r="X3" s="364"/>
      <c r="Y3" s="671" t="str">
        <f t="shared" ref="Y3:Y66" si="0">IF(OR(Z3="Y",AA3="Y"),"Not suitable","")</f>
        <v/>
      </c>
      <c r="Z3" s="671" t="str">
        <f>IF(N3="N/A","Y","")</f>
        <v/>
      </c>
      <c r="AA3" s="654"/>
      <c r="AB3" s="670"/>
      <c r="AD3" s="1256"/>
      <c r="AE3" s="660" t="e" cm="1" vm="8">
        <f t="array" aca="1" ref="AE3" ca="1">_xlfn._xlws.SORT(_xlfn._xlws.FILTER(SARD!W3:W61,SARD!W3:W61&lt;=SMALL(W3:W61,6)),,1)</f>
        <v>#VALUE!</v>
      </c>
      <c r="AF3" s="666" t="e" vm="9">
        <f t="shared" ref="AF3:AF8" ca="1" si="1">_xlfn.XLOOKUP($AE3,$W:$W,U:U,,0)</f>
        <v>#VALUE!</v>
      </c>
      <c r="AG3" s="666" t="e" vm="9">
        <f ca="1">_xlfn.XLOOKUP($AE3,$W:$W,B:B,,0)</f>
        <v>#VALUE!</v>
      </c>
      <c r="AH3" s="666" t="e" vm="9">
        <f t="shared" ref="AG3:AH8" ca="1" si="2">_xlfn.XLOOKUP($AE3,$W:$W,C:C,,0)</f>
        <v>#VALUE!</v>
      </c>
      <c r="AI3" s="666" t="e" vm="9">
        <f t="shared" ref="AI3:AI8" ca="1" si="3">_xlfn.XLOOKUP($AE3,$W:$W,E:E,,0)</f>
        <v>#VALUE!</v>
      </c>
      <c r="AJ3" s="661"/>
      <c r="AK3" s="661"/>
      <c r="AL3" s="661"/>
      <c r="AM3" s="661"/>
      <c r="AN3" s="661"/>
    </row>
    <row r="4" spans="1:40" ht="15">
      <c r="A4" s="672" t="s">
        <v>373</v>
      </c>
      <c r="B4" s="861" t="s">
        <v>374</v>
      </c>
      <c r="C4" s="861" t="s">
        <v>375</v>
      </c>
      <c r="D4" s="861" t="s">
        <v>371</v>
      </c>
      <c r="E4" s="861"/>
      <c r="F4" s="862">
        <v>-3.4000000000000002E-2</v>
      </c>
      <c r="G4" s="869">
        <v>2.8040550369999999</v>
      </c>
      <c r="H4" s="874">
        <v>2756997710942.5498</v>
      </c>
      <c r="I4" s="875">
        <v>6.17</v>
      </c>
      <c r="J4" s="862">
        <v>0.503</v>
      </c>
      <c r="K4" s="868">
        <f t="shared" ref="K4:K67" si="4">IFERROR(_xlfn.RANK.EQ(F4,F$3:F$1770),"N/A")</f>
        <v>335</v>
      </c>
      <c r="L4" s="671" t="str">
        <f t="shared" ref="L4:L12" si="5">IFERROR(_xlfn.RANK.EQ(G4,G$3:G$1770),"N/A")</f>
        <v>N/A</v>
      </c>
      <c r="M4" s="671">
        <f t="shared" ref="M4:M67" si="6">IFERROR(_xlfn.RANK.EQ(H4,H$3:H$1770),"N/A")</f>
        <v>1</v>
      </c>
      <c r="N4" s="671">
        <f t="shared" ref="N4:N67" si="7">IFERROR(_xlfn.RANK.EQ(I4,I$3:I$1770),"N/A")</f>
        <v>261</v>
      </c>
      <c r="O4" s="671">
        <f t="shared" ref="O4:O67" si="8">IFERROR(_xlfn.RANK.EQ(J4,J$3:J$1770),"N/A")</f>
        <v>20</v>
      </c>
      <c r="P4" s="861" t="s">
        <v>376</v>
      </c>
      <c r="Q4" s="861" t="s">
        <v>377</v>
      </c>
      <c r="R4" s="861" t="s">
        <v>378</v>
      </c>
      <c r="S4" s="861" t="s">
        <v>379</v>
      </c>
      <c r="T4" s="861" t="s">
        <v>380</v>
      </c>
      <c r="U4" s="860">
        <f t="shared" ref="U4:U35" si="9">SUM(P4:T4)</f>
        <v>0</v>
      </c>
      <c r="V4" s="670">
        <f>_xlfn.RANK.EQ(U4,$U$4:$U$61,1)</f>
        <v>1</v>
      </c>
      <c r="W4" s="673">
        <f t="shared" ref="W4" si="10">IF(Y4="Not suitable","-",V4)</f>
        <v>1</v>
      </c>
      <c r="X4" s="364"/>
      <c r="Y4" s="674" t="str">
        <f t="shared" si="0"/>
        <v/>
      </c>
      <c r="Z4" s="675" t="str">
        <f>IF(N4="N/A","Y","")</f>
        <v/>
      </c>
      <c r="AA4" s="654"/>
      <c r="AB4" s="670"/>
      <c r="AD4" s="1256"/>
      <c r="AE4" s="660"/>
      <c r="AF4" s="666" t="str">
        <f t="shared" si="1"/>
        <v>Results</v>
      </c>
      <c r="AG4" s="666">
        <f t="shared" si="2"/>
        <v>0</v>
      </c>
      <c r="AH4" s="666">
        <f t="shared" si="2"/>
        <v>0</v>
      </c>
      <c r="AI4" s="666">
        <f t="shared" si="3"/>
        <v>0</v>
      </c>
      <c r="AJ4" s="661"/>
      <c r="AK4" s="661"/>
      <c r="AL4" s="661"/>
      <c r="AM4" s="661"/>
      <c r="AN4" s="661"/>
    </row>
    <row r="5" spans="1:40" ht="15">
      <c r="A5" s="676"/>
      <c r="B5" s="861" t="s">
        <v>381</v>
      </c>
      <c r="C5" s="861" t="s">
        <v>382</v>
      </c>
      <c r="D5" s="861" t="s">
        <v>371</v>
      </c>
      <c r="E5" s="861"/>
      <c r="F5" s="862">
        <v>0.39300000000000002</v>
      </c>
      <c r="G5" s="869">
        <v>0.71692643899999997</v>
      </c>
      <c r="H5" s="874">
        <v>309193376005.07001</v>
      </c>
      <c r="I5" s="871">
        <v>4.75</v>
      </c>
      <c r="J5" s="862">
        <v>0.40200000000000002</v>
      </c>
      <c r="K5" s="868">
        <f t="shared" si="4"/>
        <v>32</v>
      </c>
      <c r="L5" s="671" t="str">
        <f t="shared" si="5"/>
        <v>N/A</v>
      </c>
      <c r="M5" s="671">
        <f t="shared" si="6"/>
        <v>2</v>
      </c>
      <c r="N5" s="671">
        <f t="shared" si="7"/>
        <v>272</v>
      </c>
      <c r="O5" s="671">
        <f t="shared" si="8"/>
        <v>56</v>
      </c>
      <c r="P5" s="861" t="s">
        <v>383</v>
      </c>
      <c r="Q5" s="861" t="s">
        <v>384</v>
      </c>
      <c r="R5" s="861" t="s">
        <v>385</v>
      </c>
      <c r="S5" s="861" t="s">
        <v>386</v>
      </c>
      <c r="T5" s="861" t="s">
        <v>387</v>
      </c>
      <c r="U5" s="677">
        <f t="shared" si="9"/>
        <v>0</v>
      </c>
      <c r="V5" s="674">
        <f>_xlfn.RANK.EQ(U5,$U$4:$U$61,1)</f>
        <v>1</v>
      </c>
      <c r="W5" s="674">
        <f t="shared" ref="W5:W36" si="11">IF(Y5="Not suitable","-",V5)</f>
        <v>1</v>
      </c>
      <c r="Y5" s="674" t="str">
        <f t="shared" si="0"/>
        <v/>
      </c>
      <c r="Z5" s="677" t="str">
        <f>IF(N5="N/A","Y","")</f>
        <v/>
      </c>
      <c r="AA5" s="665"/>
      <c r="AB5" s="674"/>
      <c r="AD5" s="1256"/>
      <c r="AE5" s="660"/>
      <c r="AF5" s="666" t="str">
        <f t="shared" si="1"/>
        <v>Results</v>
      </c>
      <c r="AG5" s="666">
        <f t="shared" si="2"/>
        <v>0</v>
      </c>
      <c r="AH5" s="666">
        <f t="shared" si="2"/>
        <v>0</v>
      </c>
      <c r="AI5" s="666">
        <f t="shared" si="3"/>
        <v>0</v>
      </c>
      <c r="AJ5" s="661"/>
      <c r="AK5" s="661"/>
      <c r="AL5" s="661"/>
      <c r="AM5" s="661"/>
      <c r="AN5" s="661"/>
    </row>
    <row r="6" spans="1:40" ht="15">
      <c r="A6" s="672"/>
      <c r="B6" s="861" t="s">
        <v>388</v>
      </c>
      <c r="C6" s="861" t="s">
        <v>389</v>
      </c>
      <c r="D6" s="861" t="s">
        <v>371</v>
      </c>
      <c r="E6" s="861"/>
      <c r="F6" s="862">
        <v>-6.0789999999999997</v>
      </c>
      <c r="G6" s="869">
        <v>6.5694474700000001</v>
      </c>
      <c r="H6" s="874">
        <v>277177534000</v>
      </c>
      <c r="I6" s="871">
        <v>9.84</v>
      </c>
      <c r="J6" s="862">
        <v>0.38500000000000001</v>
      </c>
      <c r="K6" s="868">
        <f t="shared" si="4"/>
        <v>506</v>
      </c>
      <c r="L6" s="671" t="str">
        <f t="shared" si="5"/>
        <v>N/A</v>
      </c>
      <c r="M6" s="671">
        <f t="shared" si="6"/>
        <v>3</v>
      </c>
      <c r="N6" s="671">
        <f t="shared" si="7"/>
        <v>230</v>
      </c>
      <c r="O6" s="671">
        <f t="shared" si="8"/>
        <v>63</v>
      </c>
      <c r="P6" s="861" t="s">
        <v>390</v>
      </c>
      <c r="Q6" s="861" t="s">
        <v>391</v>
      </c>
      <c r="R6" s="861"/>
      <c r="S6" s="861" t="s">
        <v>392</v>
      </c>
      <c r="T6" s="861" t="s">
        <v>393</v>
      </c>
      <c r="U6" s="677">
        <f t="shared" si="9"/>
        <v>0</v>
      </c>
      <c r="V6" s="674">
        <f t="shared" ref="V6:V35" si="12">_xlfn.RANK.EQ(U6,$U$4:$U$61,1)</f>
        <v>1</v>
      </c>
      <c r="W6" s="674">
        <f t="shared" si="11"/>
        <v>1</v>
      </c>
      <c r="Y6" s="674" t="str">
        <f t="shared" si="0"/>
        <v/>
      </c>
      <c r="Z6" s="677" t="str">
        <f t="shared" ref="Z6:Z69" si="13">IF(N6="N/A","Y","")</f>
        <v/>
      </c>
      <c r="AA6" s="665"/>
      <c r="AB6" s="674"/>
      <c r="AD6" s="1256"/>
      <c r="AE6" s="663"/>
      <c r="AF6" s="666" t="str">
        <f t="shared" si="1"/>
        <v>Results</v>
      </c>
      <c r="AG6" s="666">
        <f t="shared" si="2"/>
        <v>0</v>
      </c>
      <c r="AH6" s="666">
        <f t="shared" si="2"/>
        <v>0</v>
      </c>
      <c r="AI6" s="666">
        <f t="shared" si="3"/>
        <v>0</v>
      </c>
      <c r="AJ6" s="664"/>
      <c r="AK6" s="664"/>
      <c r="AL6" s="664"/>
      <c r="AM6" s="664"/>
      <c r="AN6" s="664"/>
    </row>
    <row r="7" spans="1:40" ht="15">
      <c r="A7" s="672"/>
      <c r="B7" s="861" t="s">
        <v>394</v>
      </c>
      <c r="C7" s="861" t="s">
        <v>395</v>
      </c>
      <c r="D7" s="861" t="s">
        <v>371</v>
      </c>
      <c r="E7" s="861"/>
      <c r="F7" s="862">
        <v>0.44800000000000001</v>
      </c>
      <c r="G7" s="869">
        <v>0.65167297999999996</v>
      </c>
      <c r="H7" s="874">
        <v>195025925175.85999</v>
      </c>
      <c r="I7" s="872" t="s">
        <v>396</v>
      </c>
      <c r="J7" s="862">
        <v>0.254</v>
      </c>
      <c r="K7" s="868">
        <f t="shared" si="4"/>
        <v>20</v>
      </c>
      <c r="L7" s="671" t="str">
        <f t="shared" si="5"/>
        <v>N/A</v>
      </c>
      <c r="M7" s="671">
        <f t="shared" si="6"/>
        <v>4</v>
      </c>
      <c r="N7" s="671" t="str">
        <f t="shared" si="7"/>
        <v>N/A</v>
      </c>
      <c r="O7" s="671">
        <f t="shared" si="8"/>
        <v>175</v>
      </c>
      <c r="P7" s="861" t="s">
        <v>397</v>
      </c>
      <c r="Q7" s="861" t="s">
        <v>398</v>
      </c>
      <c r="R7" s="861" t="s">
        <v>399</v>
      </c>
      <c r="S7" s="861" t="s">
        <v>400</v>
      </c>
      <c r="T7" s="861" t="s">
        <v>401</v>
      </c>
      <c r="U7" s="677">
        <f t="shared" si="9"/>
        <v>0</v>
      </c>
      <c r="V7" s="674">
        <f t="shared" si="12"/>
        <v>1</v>
      </c>
      <c r="W7" s="674" t="str">
        <f t="shared" si="11"/>
        <v>-</v>
      </c>
      <c r="Y7" s="674" t="str">
        <f t="shared" si="0"/>
        <v>Not suitable</v>
      </c>
      <c r="Z7" s="677" t="str">
        <f t="shared" si="13"/>
        <v>Y</v>
      </c>
      <c r="AA7" s="665"/>
      <c r="AB7" s="674"/>
      <c r="AD7" s="1256"/>
      <c r="AE7" s="660"/>
      <c r="AF7" s="666" t="str">
        <f t="shared" si="1"/>
        <v>Results</v>
      </c>
      <c r="AG7" s="666">
        <f t="shared" si="2"/>
        <v>0</v>
      </c>
      <c r="AH7" s="666">
        <f t="shared" si="2"/>
        <v>0</v>
      </c>
      <c r="AI7" s="666">
        <f t="shared" si="3"/>
        <v>0</v>
      </c>
      <c r="AJ7" s="661"/>
      <c r="AK7" s="661"/>
      <c r="AL7" s="661"/>
      <c r="AM7" s="661"/>
      <c r="AN7" s="661"/>
    </row>
    <row r="8" spans="1:40" ht="15">
      <c r="A8" s="672"/>
      <c r="B8" s="861" t="s">
        <v>402</v>
      </c>
      <c r="C8" s="861" t="s">
        <v>403</v>
      </c>
      <c r="D8" s="861" t="s">
        <v>371</v>
      </c>
      <c r="E8" s="861"/>
      <c r="F8" s="862">
        <v>0.121</v>
      </c>
      <c r="G8" s="869">
        <v>2.4128711049999998</v>
      </c>
      <c r="H8" s="874">
        <v>140974400000</v>
      </c>
      <c r="I8" s="871">
        <v>12.87</v>
      </c>
      <c r="J8" s="862">
        <v>0.13800000000000001</v>
      </c>
      <c r="K8" s="868">
        <f t="shared" si="4"/>
        <v>173</v>
      </c>
      <c r="L8" s="671" t="str">
        <f t="shared" si="5"/>
        <v>N/A</v>
      </c>
      <c r="M8" s="671">
        <f t="shared" si="6"/>
        <v>5</v>
      </c>
      <c r="N8" s="671">
        <f t="shared" si="7"/>
        <v>207</v>
      </c>
      <c r="O8" s="671">
        <f t="shared" si="8"/>
        <v>372</v>
      </c>
      <c r="P8" s="861"/>
      <c r="Q8" s="861"/>
      <c r="R8" s="861"/>
      <c r="S8" s="861" t="s">
        <v>404</v>
      </c>
      <c r="T8" s="861" t="s">
        <v>405</v>
      </c>
      <c r="U8" s="677">
        <f t="shared" si="9"/>
        <v>0</v>
      </c>
      <c r="V8" s="674">
        <f t="shared" si="12"/>
        <v>1</v>
      </c>
      <c r="W8" s="674">
        <f t="shared" si="11"/>
        <v>1</v>
      </c>
      <c r="Y8" s="674" t="str">
        <f t="shared" si="0"/>
        <v/>
      </c>
      <c r="Z8" s="677" t="str">
        <f t="shared" si="13"/>
        <v/>
      </c>
      <c r="AA8" s="665"/>
      <c r="AB8" s="674"/>
      <c r="AD8" s="1256"/>
      <c r="AE8" s="660"/>
      <c r="AF8" s="666" t="str">
        <f t="shared" si="1"/>
        <v>Results</v>
      </c>
      <c r="AG8" s="666">
        <f t="shared" si="2"/>
        <v>0</v>
      </c>
      <c r="AH8" s="666">
        <f t="shared" si="2"/>
        <v>0</v>
      </c>
      <c r="AI8" s="666">
        <f t="shared" si="3"/>
        <v>0</v>
      </c>
      <c r="AJ8" s="661"/>
      <c r="AK8" s="661"/>
      <c r="AL8" s="661"/>
      <c r="AM8" s="661"/>
      <c r="AN8" s="661"/>
    </row>
    <row r="9" spans="1:40" ht="15">
      <c r="A9" s="672"/>
      <c r="B9" s="861" t="s">
        <v>406</v>
      </c>
      <c r="C9" s="861" t="s">
        <v>407</v>
      </c>
      <c r="D9" s="861" t="s">
        <v>371</v>
      </c>
      <c r="E9" s="861"/>
      <c r="F9" s="862">
        <v>0.35399999999999998</v>
      </c>
      <c r="G9" s="869">
        <v>4.1859154930000004</v>
      </c>
      <c r="H9" s="874">
        <v>92575233000</v>
      </c>
      <c r="I9" s="871">
        <v>18.39</v>
      </c>
      <c r="J9" s="862">
        <v>0.11700000000000001</v>
      </c>
      <c r="K9" s="868">
        <f t="shared" si="4"/>
        <v>38</v>
      </c>
      <c r="L9" s="671" t="str">
        <f t="shared" si="5"/>
        <v>N/A</v>
      </c>
      <c r="M9" s="671">
        <f t="shared" si="6"/>
        <v>6</v>
      </c>
      <c r="N9" s="671">
        <f t="shared" si="7"/>
        <v>180</v>
      </c>
      <c r="O9" s="671">
        <f t="shared" si="8"/>
        <v>439</v>
      </c>
      <c r="P9" s="861" t="s">
        <v>408</v>
      </c>
      <c r="Q9" s="861"/>
      <c r="R9" s="861" t="s">
        <v>409</v>
      </c>
      <c r="S9" s="861" t="s">
        <v>410</v>
      </c>
      <c r="T9" s="861" t="s">
        <v>411</v>
      </c>
      <c r="U9" s="677">
        <f t="shared" si="9"/>
        <v>0</v>
      </c>
      <c r="V9" s="674">
        <f t="shared" si="12"/>
        <v>1</v>
      </c>
      <c r="W9" s="674">
        <f t="shared" si="11"/>
        <v>1</v>
      </c>
      <c r="Y9" s="674" t="str">
        <f t="shared" si="0"/>
        <v/>
      </c>
      <c r="Z9" s="677" t="str">
        <f t="shared" si="13"/>
        <v/>
      </c>
      <c r="AA9" s="665"/>
      <c r="AB9" s="674"/>
      <c r="AD9" s="1256"/>
      <c r="AE9" s="1262" t="s">
        <v>412</v>
      </c>
      <c r="AF9" s="1263"/>
      <c r="AG9" s="1263"/>
      <c r="AH9" s="1263"/>
      <c r="AI9" s="1264"/>
      <c r="AJ9" s="662" t="e">
        <f>MEDIAN(AJ3:AJ8)</f>
        <v>#NUM!</v>
      </c>
      <c r="AK9" s="662" t="e">
        <f t="shared" ref="AK9:AN9" si="14">MEDIAN(AK3:AK8)</f>
        <v>#NUM!</v>
      </c>
      <c r="AL9" s="662" t="e">
        <f t="shared" si="14"/>
        <v>#NUM!</v>
      </c>
      <c r="AM9" s="662" t="e">
        <f t="shared" si="14"/>
        <v>#NUM!</v>
      </c>
      <c r="AN9" s="662" t="e">
        <f t="shared" si="14"/>
        <v>#NUM!</v>
      </c>
    </row>
    <row r="10" spans="1:40" ht="18.95">
      <c r="A10" s="672"/>
      <c r="B10" s="861" t="s">
        <v>413</v>
      </c>
      <c r="C10" s="861" t="s">
        <v>414</v>
      </c>
      <c r="D10" s="861" t="s">
        <v>371</v>
      </c>
      <c r="E10" s="861"/>
      <c r="F10" s="862">
        <v>1.4710000000000001</v>
      </c>
      <c r="G10" s="869">
        <v>5.1420087790000002</v>
      </c>
      <c r="H10" s="874">
        <v>81219109950</v>
      </c>
      <c r="I10" s="871">
        <v>10.029999999999999</v>
      </c>
      <c r="J10" s="862">
        <v>0.27400000000000002</v>
      </c>
      <c r="K10" s="868">
        <f t="shared" si="4"/>
        <v>3</v>
      </c>
      <c r="L10" s="671" t="str">
        <f t="shared" si="5"/>
        <v>N/A</v>
      </c>
      <c r="M10" s="671">
        <f t="shared" si="6"/>
        <v>7</v>
      </c>
      <c r="N10" s="671">
        <f t="shared" si="7"/>
        <v>229</v>
      </c>
      <c r="O10" s="671">
        <f t="shared" si="8"/>
        <v>153</v>
      </c>
      <c r="P10" s="861" t="s">
        <v>415</v>
      </c>
      <c r="Q10" s="861" t="s">
        <v>416</v>
      </c>
      <c r="R10" s="861" t="s">
        <v>417</v>
      </c>
      <c r="S10" s="861" t="s">
        <v>418</v>
      </c>
      <c r="T10" s="861" t="s">
        <v>419</v>
      </c>
      <c r="U10" s="677">
        <f t="shared" si="9"/>
        <v>0</v>
      </c>
      <c r="V10" s="674">
        <f t="shared" si="12"/>
        <v>1</v>
      </c>
      <c r="W10" s="674">
        <f t="shared" si="11"/>
        <v>1</v>
      </c>
      <c r="Y10" s="674" t="str">
        <f t="shared" si="0"/>
        <v/>
      </c>
      <c r="Z10" s="677" t="str">
        <f t="shared" si="13"/>
        <v/>
      </c>
      <c r="AA10" s="665"/>
      <c r="AB10" s="674"/>
      <c r="AD10" s="1256"/>
      <c r="AE10" s="1256" t="s">
        <v>420</v>
      </c>
      <c r="AF10" s="1256"/>
      <c r="AG10" s="1256"/>
      <c r="AH10" s="1256"/>
      <c r="AI10" s="1256"/>
      <c r="AJ10" s="1257" t="s">
        <v>421</v>
      </c>
      <c r="AK10" s="1257"/>
      <c r="AL10" s="1257"/>
      <c r="AM10" s="1257"/>
      <c r="AN10" s="1257"/>
    </row>
    <row r="11" spans="1:40" ht="15.95">
      <c r="A11" s="672"/>
      <c r="B11" s="861" t="s">
        <v>422</v>
      </c>
      <c r="C11" s="861" t="s">
        <v>423</v>
      </c>
      <c r="D11" s="861" t="s">
        <v>371</v>
      </c>
      <c r="E11" s="861"/>
      <c r="F11" s="862">
        <v>0.29799999999999999</v>
      </c>
      <c r="G11" s="869">
        <v>1.3279358E-2</v>
      </c>
      <c r="H11" s="874">
        <v>71635940000</v>
      </c>
      <c r="I11" s="871">
        <v>6.89</v>
      </c>
      <c r="J11" s="862">
        <v>4.2999999999999997E-2</v>
      </c>
      <c r="K11" s="868">
        <f t="shared" si="4"/>
        <v>51</v>
      </c>
      <c r="L11" s="671" t="str">
        <f t="shared" si="5"/>
        <v>N/A</v>
      </c>
      <c r="M11" s="671">
        <f t="shared" si="6"/>
        <v>8</v>
      </c>
      <c r="N11" s="671">
        <f t="shared" si="7"/>
        <v>254</v>
      </c>
      <c r="O11" s="671">
        <f t="shared" si="8"/>
        <v>617</v>
      </c>
      <c r="P11" s="861"/>
      <c r="Q11" s="861"/>
      <c r="R11" s="861"/>
      <c r="S11" s="861" t="s">
        <v>424</v>
      </c>
      <c r="T11" s="861" t="s">
        <v>425</v>
      </c>
      <c r="U11" s="677">
        <f t="shared" si="9"/>
        <v>0</v>
      </c>
      <c r="V11" s="674">
        <f t="shared" si="12"/>
        <v>1</v>
      </c>
      <c r="W11" s="674">
        <f t="shared" si="11"/>
        <v>1</v>
      </c>
      <c r="Y11" s="674" t="str">
        <f t="shared" si="0"/>
        <v/>
      </c>
      <c r="Z11" s="677" t="str">
        <f t="shared" si="13"/>
        <v/>
      </c>
      <c r="AA11" s="665"/>
      <c r="AB11" s="674"/>
      <c r="AD11" s="1256"/>
      <c r="AE11" s="667" t="s">
        <v>369</v>
      </c>
      <c r="AF11" s="668" t="s">
        <v>426</v>
      </c>
      <c r="AG11" s="667" t="s">
        <v>427</v>
      </c>
      <c r="AH11" s="1258" t="s">
        <v>428</v>
      </c>
      <c r="AI11" s="1259"/>
      <c r="AJ11" s="667" t="s">
        <v>364</v>
      </c>
      <c r="AK11" s="667" t="s">
        <v>365</v>
      </c>
      <c r="AL11" s="667" t="s">
        <v>366</v>
      </c>
      <c r="AM11" s="667" t="s">
        <v>367</v>
      </c>
      <c r="AN11" s="667" t="s">
        <v>368</v>
      </c>
    </row>
    <row r="12" spans="1:40" ht="15">
      <c r="A12" s="672"/>
      <c r="B12" s="861" t="s">
        <v>429</v>
      </c>
      <c r="C12" s="861" t="s">
        <v>430</v>
      </c>
      <c r="D12" s="861" t="s">
        <v>371</v>
      </c>
      <c r="E12" s="861"/>
      <c r="F12" s="862">
        <v>0.188</v>
      </c>
      <c r="G12" s="870" t="s">
        <v>431</v>
      </c>
      <c r="H12" s="874">
        <v>70591927140</v>
      </c>
      <c r="I12" s="871">
        <v>9.26</v>
      </c>
      <c r="J12" s="862">
        <v>0.32500000000000001</v>
      </c>
      <c r="K12" s="868">
        <f t="shared" si="4"/>
        <v>105</v>
      </c>
      <c r="L12" s="671" t="str">
        <f t="shared" si="5"/>
        <v>N/A</v>
      </c>
      <c r="M12" s="671">
        <f t="shared" si="6"/>
        <v>9</v>
      </c>
      <c r="N12" s="671">
        <f t="shared" si="7"/>
        <v>233</v>
      </c>
      <c r="O12" s="671">
        <f t="shared" si="8"/>
        <v>99</v>
      </c>
      <c r="P12" s="861" t="s">
        <v>432</v>
      </c>
      <c r="Q12" s="861" t="s">
        <v>433</v>
      </c>
      <c r="R12" s="861" t="s">
        <v>434</v>
      </c>
      <c r="S12" s="861" t="s">
        <v>435</v>
      </c>
      <c r="T12" s="861" t="s">
        <v>436</v>
      </c>
      <c r="U12" s="677">
        <f t="shared" si="9"/>
        <v>0</v>
      </c>
      <c r="V12" s="674">
        <f t="shared" si="12"/>
        <v>1</v>
      </c>
      <c r="W12" s="674">
        <f t="shared" si="11"/>
        <v>1</v>
      </c>
      <c r="Y12" s="674" t="str">
        <f t="shared" si="0"/>
        <v/>
      </c>
      <c r="Z12" s="677" t="str">
        <f t="shared" si="13"/>
        <v/>
      </c>
      <c r="AA12" s="665"/>
      <c r="AB12" s="674"/>
      <c r="AD12" s="1256"/>
      <c r="AE12" s="660" t="str">
        <f>C3</f>
        <v>Fortinet</v>
      </c>
      <c r="AF12" s="437">
        <v>1000000</v>
      </c>
      <c r="AG12" s="437"/>
      <c r="AH12" s="1260">
        <f>-'Fin. Data'!C58*SARD!AF12+'Fin. Data'!C39*SARD!AF12</f>
        <v>596800000</v>
      </c>
      <c r="AI12" s="1261"/>
      <c r="AJ12" s="661" t="e">
        <f>AJ9*'Fin. Data'!C23*AF$12/AG$12</f>
        <v>#NUM!</v>
      </c>
      <c r="AK12" s="661" t="e">
        <f>AK9*'Fin. Data'!C64*AF$12/AG$12</f>
        <v>#NUM!</v>
      </c>
      <c r="AL12" s="682" t="e">
        <f>AL9*'Fin. Data'!C5*AF$12/AG$12</f>
        <v>#NUM!</v>
      </c>
      <c r="AM12" s="661" t="e">
        <f>(AM9*'Fin. Data'!C5*$AF12+$AH12)/$AG12</f>
        <v>#NUM!</v>
      </c>
      <c r="AN12" s="661" t="e">
        <f>(AN9*'Fin. Data'!C19*$AF12+$AH12)/$AG12</f>
        <v>#NUM!</v>
      </c>
    </row>
    <row r="13" spans="1:40" ht="18.95">
      <c r="A13" s="672"/>
      <c r="B13" s="861" t="s">
        <v>437</v>
      </c>
      <c r="C13" s="861" t="s">
        <v>438</v>
      </c>
      <c r="D13" s="861" t="s">
        <v>371</v>
      </c>
      <c r="E13" s="861"/>
      <c r="F13" s="862">
        <v>0.42799999999999999</v>
      </c>
      <c r="G13" s="869">
        <v>0.69670246400000002</v>
      </c>
      <c r="H13" s="874">
        <v>63032617981.489998</v>
      </c>
      <c r="I13" s="871">
        <v>5.7</v>
      </c>
      <c r="J13" s="861"/>
      <c r="K13" s="868">
        <f t="shared" si="4"/>
        <v>25</v>
      </c>
      <c r="L13" s="671" t="str">
        <f t="shared" ref="L13:L28" si="15">IFERROR(_xlfn.RANK.EQ(G13,G$3:G$1770),"N/A")</f>
        <v>N/A</v>
      </c>
      <c r="M13" s="671">
        <f t="shared" si="6"/>
        <v>10</v>
      </c>
      <c r="N13" s="671">
        <f t="shared" si="7"/>
        <v>264</v>
      </c>
      <c r="O13" s="671">
        <f t="shared" si="8"/>
        <v>708</v>
      </c>
      <c r="P13" s="861" t="s">
        <v>439</v>
      </c>
      <c r="Q13" s="861" t="s">
        <v>440</v>
      </c>
      <c r="R13" s="861" t="s">
        <v>441</v>
      </c>
      <c r="S13" s="861" t="s">
        <v>442</v>
      </c>
      <c r="T13" s="861" t="s">
        <v>443</v>
      </c>
      <c r="U13" s="677">
        <f t="shared" si="9"/>
        <v>0</v>
      </c>
      <c r="V13" s="674">
        <f t="shared" si="12"/>
        <v>1</v>
      </c>
      <c r="W13" s="674">
        <f t="shared" si="11"/>
        <v>1</v>
      </c>
      <c r="Y13" s="674" t="str">
        <f t="shared" si="0"/>
        <v/>
      </c>
      <c r="Z13" s="677" t="str">
        <f t="shared" si="13"/>
        <v/>
      </c>
      <c r="AA13" s="665"/>
      <c r="AB13" s="674"/>
      <c r="AE13" s="1253" t="s">
        <v>444</v>
      </c>
      <c r="AF13" s="1253"/>
      <c r="AG13" s="1254"/>
      <c r="AH13" s="1254"/>
      <c r="AI13" s="1253"/>
      <c r="AJ13" s="1255" t="e">
        <f>AVERAGE(AJ12:AL12)</f>
        <v>#NUM!</v>
      </c>
      <c r="AK13" s="1255"/>
      <c r="AL13" s="1255"/>
      <c r="AM13" s="1255" t="e">
        <f>AVERAGE(AM12:AN12)</f>
        <v>#NUM!</v>
      </c>
      <c r="AN13" s="1255"/>
    </row>
    <row r="14" spans="1:40" ht="18.75" customHeight="1">
      <c r="A14" s="672"/>
      <c r="B14" s="861" t="s">
        <v>445</v>
      </c>
      <c r="C14" s="861" t="s">
        <v>446</v>
      </c>
      <c r="D14" s="861" t="s">
        <v>371</v>
      </c>
      <c r="E14" s="861"/>
      <c r="F14" s="862">
        <v>0.224</v>
      </c>
      <c r="G14" s="869">
        <v>2.7048498150000002</v>
      </c>
      <c r="H14" s="874">
        <v>57128468171.599998</v>
      </c>
      <c r="I14" s="871">
        <v>3.39</v>
      </c>
      <c r="J14" s="862">
        <v>0.40699999999999997</v>
      </c>
      <c r="K14" s="868">
        <f t="shared" si="4"/>
        <v>84</v>
      </c>
      <c r="L14" s="671" t="str">
        <f t="shared" si="15"/>
        <v>N/A</v>
      </c>
      <c r="M14" s="671">
        <f t="shared" si="6"/>
        <v>11</v>
      </c>
      <c r="N14" s="671">
        <f t="shared" si="7"/>
        <v>284</v>
      </c>
      <c r="O14" s="671">
        <f t="shared" si="8"/>
        <v>55</v>
      </c>
      <c r="P14" s="861" t="s">
        <v>447</v>
      </c>
      <c r="Q14" s="861"/>
      <c r="R14" s="863" t="s">
        <v>448</v>
      </c>
      <c r="S14" s="861" t="s">
        <v>449</v>
      </c>
      <c r="T14" s="861" t="s">
        <v>450</v>
      </c>
      <c r="U14" s="677">
        <f t="shared" si="9"/>
        <v>0</v>
      </c>
      <c r="V14" s="674">
        <f t="shared" si="12"/>
        <v>1</v>
      </c>
      <c r="W14" s="674">
        <f t="shared" si="11"/>
        <v>1</v>
      </c>
      <c r="Y14" s="674" t="str">
        <f t="shared" si="0"/>
        <v/>
      </c>
      <c r="Z14" s="677" t="str">
        <f t="shared" si="13"/>
        <v/>
      </c>
      <c r="AA14" s="665"/>
      <c r="AB14" s="674"/>
      <c r="AD14" s="678"/>
      <c r="AE14" s="1248" t="s">
        <v>112</v>
      </c>
      <c r="AF14" s="1249"/>
      <c r="AG14" s="1249"/>
      <c r="AH14" s="1249"/>
      <c r="AI14" s="1250"/>
      <c r="AJ14" s="1251" t="e">
        <f ca="1">AJ13/OP!C20-1</f>
        <v>#NUM!</v>
      </c>
      <c r="AK14" s="1252"/>
      <c r="AL14" s="1252"/>
      <c r="AM14" s="1252" t="e">
        <f ca="1">AM13/OP!C20-1</f>
        <v>#NUM!</v>
      </c>
      <c r="AN14" s="1252"/>
    </row>
    <row r="15" spans="1:40" ht="15">
      <c r="A15" s="672"/>
      <c r="B15" s="861" t="s">
        <v>451</v>
      </c>
      <c r="C15" s="861" t="s">
        <v>452</v>
      </c>
      <c r="D15" s="861" t="s">
        <v>371</v>
      </c>
      <c r="E15" s="861"/>
      <c r="F15" s="862">
        <v>7.0000000000000007E-2</v>
      </c>
      <c r="G15" s="869">
        <v>4.3697605770000001</v>
      </c>
      <c r="H15" s="874">
        <v>51019146291.529999</v>
      </c>
      <c r="I15" s="871">
        <v>0.44</v>
      </c>
      <c r="J15" s="862">
        <v>0.25900000000000001</v>
      </c>
      <c r="K15" s="868">
        <f t="shared" si="4"/>
        <v>229</v>
      </c>
      <c r="L15" s="671" t="str">
        <f t="shared" si="15"/>
        <v>N/A</v>
      </c>
      <c r="M15" s="671">
        <f t="shared" si="6"/>
        <v>12</v>
      </c>
      <c r="N15" s="671">
        <f t="shared" si="7"/>
        <v>306</v>
      </c>
      <c r="O15" s="671">
        <f t="shared" si="8"/>
        <v>168</v>
      </c>
      <c r="P15" s="861" t="s">
        <v>453</v>
      </c>
      <c r="Q15" s="861"/>
      <c r="R15" s="861"/>
      <c r="S15" s="861" t="s">
        <v>454</v>
      </c>
      <c r="T15" s="861" t="s">
        <v>455</v>
      </c>
      <c r="U15" s="677">
        <f t="shared" si="9"/>
        <v>0</v>
      </c>
      <c r="V15" s="674">
        <f t="shared" si="12"/>
        <v>1</v>
      </c>
      <c r="W15" s="674">
        <f t="shared" si="11"/>
        <v>1</v>
      </c>
      <c r="Y15" s="674" t="str">
        <f t="shared" si="0"/>
        <v/>
      </c>
      <c r="Z15" s="677" t="str">
        <f t="shared" si="13"/>
        <v/>
      </c>
      <c r="AA15" s="665"/>
      <c r="AB15" s="674"/>
      <c r="AE15" s="678"/>
      <c r="AF15" s="678"/>
      <c r="AG15" s="678"/>
      <c r="AH15" s="678"/>
      <c r="AI15" s="678"/>
      <c r="AJ15" s="678"/>
      <c r="AK15" s="678"/>
      <c r="AL15" s="678"/>
      <c r="AM15" s="678"/>
      <c r="AN15" s="678"/>
    </row>
    <row r="16" spans="1:40" ht="15">
      <c r="A16" s="672"/>
      <c r="B16" s="861" t="s">
        <v>456</v>
      </c>
      <c r="C16" s="861" t="s">
        <v>457</v>
      </c>
      <c r="D16" s="861" t="s">
        <v>371</v>
      </c>
      <c r="E16" s="861"/>
      <c r="F16" s="862"/>
      <c r="G16" s="869">
        <v>2.0261363640000001</v>
      </c>
      <c r="H16" s="874">
        <v>48476348773.449997</v>
      </c>
      <c r="I16" s="871">
        <v>7.46</v>
      </c>
      <c r="J16" s="863" t="s">
        <v>458</v>
      </c>
      <c r="K16" s="868">
        <f t="shared" si="4"/>
        <v>316</v>
      </c>
      <c r="L16" s="671" t="str">
        <f t="shared" si="15"/>
        <v>N/A</v>
      </c>
      <c r="M16" s="671">
        <f t="shared" si="6"/>
        <v>13</v>
      </c>
      <c r="N16" s="671">
        <f t="shared" si="7"/>
        <v>248</v>
      </c>
      <c r="O16" s="671" t="str">
        <f t="shared" si="8"/>
        <v>N/A</v>
      </c>
      <c r="P16" s="861" t="s">
        <v>459</v>
      </c>
      <c r="Q16" s="861"/>
      <c r="R16" s="861"/>
      <c r="S16" s="861" t="s">
        <v>460</v>
      </c>
      <c r="T16" s="861" t="s">
        <v>461</v>
      </c>
      <c r="U16" s="677">
        <f t="shared" si="9"/>
        <v>0</v>
      </c>
      <c r="V16" s="674">
        <f t="shared" si="12"/>
        <v>1</v>
      </c>
      <c r="W16" s="674">
        <f t="shared" si="11"/>
        <v>1</v>
      </c>
      <c r="Y16" s="674" t="str">
        <f t="shared" si="0"/>
        <v/>
      </c>
      <c r="Z16" s="677" t="str">
        <f t="shared" si="13"/>
        <v/>
      </c>
      <c r="AA16" s="665"/>
      <c r="AB16" s="674"/>
      <c r="AE16" s="678"/>
      <c r="AF16" s="678"/>
      <c r="AG16" s="678"/>
      <c r="AH16" s="678"/>
      <c r="AI16" s="678"/>
      <c r="AJ16" s="678"/>
      <c r="AK16" s="678"/>
      <c r="AL16" s="678"/>
      <c r="AM16" s="678"/>
      <c r="AN16" s="678"/>
    </row>
    <row r="17" spans="1:28" ht="15">
      <c r="A17" s="672"/>
      <c r="B17" s="861" t="s">
        <v>462</v>
      </c>
      <c r="C17" s="861" t="s">
        <v>463</v>
      </c>
      <c r="D17" s="861" t="s">
        <v>371</v>
      </c>
      <c r="E17" s="861"/>
      <c r="F17" s="862">
        <v>1.0029999999999999</v>
      </c>
      <c r="G17" s="870" t="s">
        <v>464</v>
      </c>
      <c r="H17" s="874">
        <v>47882806348</v>
      </c>
      <c r="I17" s="871">
        <v>11.13</v>
      </c>
      <c r="J17" s="862">
        <v>0.23599999999999999</v>
      </c>
      <c r="K17" s="868">
        <f t="shared" si="4"/>
        <v>9</v>
      </c>
      <c r="L17" s="671" t="str">
        <f t="shared" si="15"/>
        <v>N/A</v>
      </c>
      <c r="M17" s="671">
        <f t="shared" si="6"/>
        <v>14</v>
      </c>
      <c r="N17" s="671">
        <f t="shared" si="7"/>
        <v>219</v>
      </c>
      <c r="O17" s="671">
        <f t="shared" si="8"/>
        <v>204</v>
      </c>
      <c r="P17" s="861" t="s">
        <v>465</v>
      </c>
      <c r="Q17" s="861" t="s">
        <v>466</v>
      </c>
      <c r="R17" s="861" t="s">
        <v>467</v>
      </c>
      <c r="S17" s="861" t="s">
        <v>468</v>
      </c>
      <c r="T17" s="861" t="s">
        <v>469</v>
      </c>
      <c r="U17" s="677">
        <f t="shared" si="9"/>
        <v>0</v>
      </c>
      <c r="V17" s="674">
        <f t="shared" si="12"/>
        <v>1</v>
      </c>
      <c r="W17" s="674">
        <f t="shared" si="11"/>
        <v>1</v>
      </c>
      <c r="Y17" s="674" t="str">
        <f t="shared" si="0"/>
        <v/>
      </c>
      <c r="Z17" s="677" t="str">
        <f t="shared" si="13"/>
        <v/>
      </c>
      <c r="AA17" s="665"/>
      <c r="AB17" s="674"/>
    </row>
    <row r="18" spans="1:28" ht="15">
      <c r="A18" s="672"/>
      <c r="B18" s="861" t="s">
        <v>470</v>
      </c>
      <c r="C18" s="861" t="s">
        <v>471</v>
      </c>
      <c r="D18" s="861" t="s">
        <v>371</v>
      </c>
      <c r="E18" s="861"/>
      <c r="F18" s="862">
        <v>1.409</v>
      </c>
      <c r="G18" s="869">
        <v>2.2102713180000002</v>
      </c>
      <c r="H18" s="874">
        <v>39409120825.959999</v>
      </c>
      <c r="I18" s="871">
        <v>16.62</v>
      </c>
      <c r="J18" s="862">
        <v>0.255</v>
      </c>
      <c r="K18" s="868">
        <f>IFERROR(_xlfn.RANK.EQ(F18,F$3:F$1770),"N/A")</f>
        <v>4</v>
      </c>
      <c r="L18" s="671" t="str">
        <f t="shared" si="15"/>
        <v>N/A</v>
      </c>
      <c r="M18" s="671">
        <f t="shared" si="6"/>
        <v>15</v>
      </c>
      <c r="N18" s="671">
        <f t="shared" si="7"/>
        <v>186</v>
      </c>
      <c r="O18" s="671">
        <f t="shared" si="8"/>
        <v>173</v>
      </c>
      <c r="P18" s="861" t="s">
        <v>472</v>
      </c>
      <c r="Q18" s="861"/>
      <c r="R18" s="861"/>
      <c r="S18" s="861" t="s">
        <v>473</v>
      </c>
      <c r="T18" s="861" t="s">
        <v>474</v>
      </c>
      <c r="U18" s="677">
        <f t="shared" si="9"/>
        <v>0</v>
      </c>
      <c r="V18" s="674">
        <f t="shared" si="12"/>
        <v>1</v>
      </c>
      <c r="W18" s="674">
        <f t="shared" si="11"/>
        <v>1</v>
      </c>
      <c r="Y18" s="674" t="str">
        <f t="shared" si="0"/>
        <v/>
      </c>
      <c r="Z18" s="677" t="str">
        <f t="shared" si="13"/>
        <v/>
      </c>
      <c r="AA18" s="665"/>
      <c r="AB18" s="674"/>
    </row>
    <row r="19" spans="1:28" ht="15">
      <c r="A19" s="672"/>
      <c r="B19" s="861" t="s">
        <v>475</v>
      </c>
      <c r="C19" s="861" t="s">
        <v>476</v>
      </c>
      <c r="D19" s="861" t="s">
        <v>371</v>
      </c>
      <c r="E19" s="861"/>
      <c r="F19" s="862">
        <v>-6.4859999999999998</v>
      </c>
      <c r="G19" s="869">
        <v>1.026321244</v>
      </c>
      <c r="H19" s="874">
        <v>37783672740</v>
      </c>
      <c r="I19" s="871">
        <v>31.03</v>
      </c>
      <c r="J19" s="863" t="s">
        <v>477</v>
      </c>
      <c r="K19" s="868">
        <f t="shared" si="4"/>
        <v>507</v>
      </c>
      <c r="L19" s="671" t="str">
        <f t="shared" si="15"/>
        <v>N/A</v>
      </c>
      <c r="M19" s="671">
        <f t="shared" si="6"/>
        <v>17</v>
      </c>
      <c r="N19" s="671">
        <f t="shared" si="7"/>
        <v>141</v>
      </c>
      <c r="O19" s="671" t="str">
        <f t="shared" si="8"/>
        <v>N/A</v>
      </c>
      <c r="P19" s="861" t="s">
        <v>478</v>
      </c>
      <c r="Q19" s="861" t="s">
        <v>479</v>
      </c>
      <c r="R19" s="861"/>
      <c r="S19" s="861" t="s">
        <v>480</v>
      </c>
      <c r="T19" s="861" t="s">
        <v>481</v>
      </c>
      <c r="U19" s="677">
        <f t="shared" si="9"/>
        <v>0</v>
      </c>
      <c r="V19" s="674">
        <f t="shared" si="12"/>
        <v>1</v>
      </c>
      <c r="W19" s="674">
        <f t="shared" si="11"/>
        <v>1</v>
      </c>
      <c r="Y19" s="674" t="str">
        <f t="shared" si="0"/>
        <v/>
      </c>
      <c r="Z19" s="677" t="str">
        <f t="shared" si="13"/>
        <v/>
      </c>
      <c r="AA19" s="665"/>
      <c r="AB19" s="674"/>
    </row>
    <row r="20" spans="1:28" ht="15">
      <c r="A20" s="672"/>
      <c r="B20" s="861" t="s">
        <v>482</v>
      </c>
      <c r="C20" s="861" t="s">
        <v>483</v>
      </c>
      <c r="D20" s="861" t="s">
        <v>371</v>
      </c>
      <c r="E20" s="861"/>
      <c r="F20" s="862">
        <v>0.27600000000000002</v>
      </c>
      <c r="G20" s="870" t="s">
        <v>484</v>
      </c>
      <c r="H20" s="874">
        <v>37453230834.18</v>
      </c>
      <c r="I20" s="871">
        <v>11.11</v>
      </c>
      <c r="J20" s="862">
        <v>3.1E-2</v>
      </c>
      <c r="K20" s="868">
        <f t="shared" si="4"/>
        <v>60</v>
      </c>
      <c r="L20" s="671" t="str">
        <f t="shared" si="15"/>
        <v>N/A</v>
      </c>
      <c r="M20" s="671">
        <f t="shared" si="6"/>
        <v>18</v>
      </c>
      <c r="N20" s="671">
        <f t="shared" si="7"/>
        <v>220</v>
      </c>
      <c r="O20" s="671">
        <f t="shared" si="8"/>
        <v>651</v>
      </c>
      <c r="P20" s="861" t="s">
        <v>485</v>
      </c>
      <c r="Q20" s="861" t="s">
        <v>486</v>
      </c>
      <c r="R20" s="861" t="s">
        <v>487</v>
      </c>
      <c r="S20" s="861" t="s">
        <v>488</v>
      </c>
      <c r="T20" s="861" t="s">
        <v>489</v>
      </c>
      <c r="U20" s="677">
        <f t="shared" si="9"/>
        <v>0</v>
      </c>
      <c r="V20" s="674">
        <f t="shared" si="12"/>
        <v>1</v>
      </c>
      <c r="W20" s="674">
        <f t="shared" si="11"/>
        <v>1</v>
      </c>
      <c r="Y20" s="674" t="str">
        <f t="shared" si="0"/>
        <v/>
      </c>
      <c r="Z20" s="677" t="str">
        <f t="shared" si="13"/>
        <v/>
      </c>
      <c r="AA20" s="665"/>
      <c r="AB20" s="674"/>
    </row>
    <row r="21" spans="1:28" ht="15">
      <c r="A21" s="672"/>
      <c r="B21" s="861" t="s">
        <v>490</v>
      </c>
      <c r="C21" s="861" t="s">
        <v>491</v>
      </c>
      <c r="D21" s="861" t="s">
        <v>371</v>
      </c>
      <c r="E21" s="861"/>
      <c r="F21" s="862">
        <v>3.7999999999999999E-2</v>
      </c>
      <c r="G21" s="869">
        <v>0</v>
      </c>
      <c r="H21" s="874">
        <v>36458401890.849998</v>
      </c>
      <c r="I21" s="871">
        <v>3.9</v>
      </c>
      <c r="J21" s="862">
        <v>0.26200000000000001</v>
      </c>
      <c r="K21" s="868">
        <f t="shared" si="4"/>
        <v>270</v>
      </c>
      <c r="L21" s="671" t="str">
        <f t="shared" si="15"/>
        <v>N/A</v>
      </c>
      <c r="M21" s="671">
        <f t="shared" si="6"/>
        <v>19</v>
      </c>
      <c r="N21" s="671">
        <f t="shared" si="7"/>
        <v>279</v>
      </c>
      <c r="O21" s="671">
        <f t="shared" si="8"/>
        <v>162</v>
      </c>
      <c r="P21" s="861" t="s">
        <v>492</v>
      </c>
      <c r="Q21" s="861" t="s">
        <v>493</v>
      </c>
      <c r="R21" s="861" t="s">
        <v>454</v>
      </c>
      <c r="S21" s="861" t="s">
        <v>494</v>
      </c>
      <c r="T21" s="861" t="s">
        <v>495</v>
      </c>
      <c r="U21" s="677">
        <f t="shared" si="9"/>
        <v>0</v>
      </c>
      <c r="V21" s="674">
        <f t="shared" si="12"/>
        <v>1</v>
      </c>
      <c r="W21" s="674">
        <f t="shared" si="11"/>
        <v>1</v>
      </c>
      <c r="Y21" s="674" t="str">
        <f t="shared" si="0"/>
        <v/>
      </c>
      <c r="Z21" s="677" t="str">
        <f t="shared" si="13"/>
        <v/>
      </c>
      <c r="AA21" s="665"/>
      <c r="AB21" s="674"/>
    </row>
    <row r="22" spans="1:28" ht="15">
      <c r="A22" s="672"/>
      <c r="B22" s="861" t="s">
        <v>496</v>
      </c>
      <c r="C22" s="861" t="s">
        <v>497</v>
      </c>
      <c r="D22" s="861" t="s">
        <v>371</v>
      </c>
      <c r="E22" s="861"/>
      <c r="F22" s="862">
        <v>0.24099999999999999</v>
      </c>
      <c r="G22" s="869">
        <v>1.2677006070000001</v>
      </c>
      <c r="H22" s="874">
        <v>33722628554.139999</v>
      </c>
      <c r="I22" s="871">
        <v>9.1999999999999993</v>
      </c>
      <c r="J22" s="862">
        <v>0.12</v>
      </c>
      <c r="K22" s="868">
        <f t="shared" si="4"/>
        <v>72</v>
      </c>
      <c r="L22" s="671" t="str">
        <f t="shared" si="15"/>
        <v>N/A</v>
      </c>
      <c r="M22" s="671">
        <f t="shared" si="6"/>
        <v>20</v>
      </c>
      <c r="N22" s="671">
        <f t="shared" si="7"/>
        <v>235</v>
      </c>
      <c r="O22" s="671">
        <f t="shared" si="8"/>
        <v>424</v>
      </c>
      <c r="P22" s="861" t="s">
        <v>498</v>
      </c>
      <c r="Q22" s="861" t="s">
        <v>499</v>
      </c>
      <c r="R22" s="861" t="s">
        <v>500</v>
      </c>
      <c r="S22" s="861" t="s">
        <v>501</v>
      </c>
      <c r="T22" s="861" t="s">
        <v>502</v>
      </c>
      <c r="U22" s="677">
        <f t="shared" si="9"/>
        <v>0</v>
      </c>
      <c r="V22" s="674">
        <f t="shared" si="12"/>
        <v>1</v>
      </c>
      <c r="W22" s="674">
        <f t="shared" si="11"/>
        <v>1</v>
      </c>
      <c r="Y22" s="674" t="str">
        <f t="shared" si="0"/>
        <v/>
      </c>
      <c r="Z22" s="677" t="str">
        <f t="shared" si="13"/>
        <v/>
      </c>
      <c r="AA22" s="665"/>
      <c r="AB22" s="674"/>
    </row>
    <row r="23" spans="1:28" ht="15">
      <c r="A23" s="672"/>
      <c r="B23" s="861" t="s">
        <v>503</v>
      </c>
      <c r="C23" s="861" t="s">
        <v>504</v>
      </c>
      <c r="D23" s="861" t="s">
        <v>371</v>
      </c>
      <c r="E23" s="861"/>
      <c r="F23" s="862">
        <v>0.28699999999999998</v>
      </c>
      <c r="G23" s="869">
        <v>0</v>
      </c>
      <c r="H23" s="874">
        <v>29672105772.400002</v>
      </c>
      <c r="I23" s="871">
        <v>32.92</v>
      </c>
      <c r="J23" s="863" t="s">
        <v>505</v>
      </c>
      <c r="K23" s="868">
        <f t="shared" si="4"/>
        <v>58</v>
      </c>
      <c r="L23" s="671" t="str">
        <f t="shared" si="15"/>
        <v>N/A</v>
      </c>
      <c r="M23" s="671">
        <f t="shared" si="6"/>
        <v>21</v>
      </c>
      <c r="N23" s="671">
        <f t="shared" si="7"/>
        <v>134</v>
      </c>
      <c r="O23" s="671" t="str">
        <f t="shared" si="8"/>
        <v>N/A</v>
      </c>
      <c r="P23" s="861" t="s">
        <v>506</v>
      </c>
      <c r="Q23" s="861" t="s">
        <v>467</v>
      </c>
      <c r="R23" s="861"/>
      <c r="S23" s="861" t="s">
        <v>507</v>
      </c>
      <c r="T23" s="861" t="s">
        <v>508</v>
      </c>
      <c r="U23" s="677">
        <f t="shared" si="9"/>
        <v>0</v>
      </c>
      <c r="V23" s="674">
        <f t="shared" si="12"/>
        <v>1</v>
      </c>
      <c r="W23" s="674">
        <f t="shared" si="11"/>
        <v>1</v>
      </c>
      <c r="Y23" s="674" t="str">
        <f t="shared" si="0"/>
        <v/>
      </c>
      <c r="Z23" s="677" t="str">
        <f t="shared" si="13"/>
        <v/>
      </c>
      <c r="AA23" s="665"/>
      <c r="AB23" s="674"/>
    </row>
    <row r="24" spans="1:28" ht="15">
      <c r="A24" s="672"/>
      <c r="B24" s="861" t="s">
        <v>509</v>
      </c>
      <c r="C24" s="861" t="s">
        <v>510</v>
      </c>
      <c r="D24" s="861" t="s">
        <v>371</v>
      </c>
      <c r="E24" s="861"/>
      <c r="F24" s="862">
        <v>0.42899999999999999</v>
      </c>
      <c r="G24" s="870" t="s">
        <v>511</v>
      </c>
      <c r="H24" s="874">
        <v>27649709058.240002</v>
      </c>
      <c r="I24" s="871"/>
      <c r="J24" s="863" t="s">
        <v>512</v>
      </c>
      <c r="K24" s="868">
        <f t="shared" si="4"/>
        <v>23</v>
      </c>
      <c r="L24" s="671" t="str">
        <f t="shared" si="15"/>
        <v>N/A</v>
      </c>
      <c r="M24" s="671">
        <f t="shared" si="6"/>
        <v>22</v>
      </c>
      <c r="N24" s="671" t="str">
        <f t="shared" si="7"/>
        <v>N/A</v>
      </c>
      <c r="O24" s="671" t="str">
        <f t="shared" si="8"/>
        <v>N/A</v>
      </c>
      <c r="P24" s="861"/>
      <c r="Q24" s="861"/>
      <c r="R24" s="861"/>
      <c r="S24" s="861" t="s">
        <v>424</v>
      </c>
      <c r="T24" s="861" t="s">
        <v>513</v>
      </c>
      <c r="U24" s="677">
        <f t="shared" si="9"/>
        <v>0</v>
      </c>
      <c r="V24" s="674">
        <f t="shared" si="12"/>
        <v>1</v>
      </c>
      <c r="W24" s="674" t="str">
        <f t="shared" si="11"/>
        <v>-</v>
      </c>
      <c r="Y24" s="674" t="str">
        <f t="shared" si="0"/>
        <v>Not suitable</v>
      </c>
      <c r="Z24" s="677" t="str">
        <f t="shared" si="13"/>
        <v>Y</v>
      </c>
      <c r="AA24" s="665"/>
      <c r="AB24" s="674"/>
    </row>
    <row r="25" spans="1:28" ht="15">
      <c r="A25" s="672"/>
      <c r="B25" s="861" t="s">
        <v>514</v>
      </c>
      <c r="C25" s="861" t="s">
        <v>515</v>
      </c>
      <c r="D25" s="861" t="s">
        <v>371</v>
      </c>
      <c r="E25" s="861"/>
      <c r="F25" s="862">
        <v>9.1999999999999998E-2</v>
      </c>
      <c r="G25" s="870" t="s">
        <v>516</v>
      </c>
      <c r="H25" s="874">
        <v>27631239539.419998</v>
      </c>
      <c r="I25" s="871">
        <v>10.62</v>
      </c>
      <c r="J25" s="862">
        <v>0.432</v>
      </c>
      <c r="K25" s="868">
        <f t="shared" si="4"/>
        <v>203</v>
      </c>
      <c r="L25" s="671" t="str">
        <f t="shared" si="15"/>
        <v>N/A</v>
      </c>
      <c r="M25" s="671">
        <f t="shared" si="6"/>
        <v>23</v>
      </c>
      <c r="N25" s="671">
        <f t="shared" si="7"/>
        <v>222</v>
      </c>
      <c r="O25" s="671">
        <f t="shared" si="8"/>
        <v>45</v>
      </c>
      <c r="P25" s="861" t="s">
        <v>517</v>
      </c>
      <c r="Q25" s="861" t="s">
        <v>518</v>
      </c>
      <c r="R25" s="861"/>
      <c r="S25" s="861" t="s">
        <v>519</v>
      </c>
      <c r="T25" s="861" t="s">
        <v>520</v>
      </c>
      <c r="U25" s="677">
        <f t="shared" si="9"/>
        <v>0</v>
      </c>
      <c r="V25" s="674">
        <f t="shared" si="12"/>
        <v>1</v>
      </c>
      <c r="W25" s="674">
        <f t="shared" si="11"/>
        <v>1</v>
      </c>
      <c r="Y25" s="674" t="str">
        <f t="shared" si="0"/>
        <v/>
      </c>
      <c r="Z25" s="677" t="str">
        <f t="shared" si="13"/>
        <v/>
      </c>
      <c r="AA25" s="665"/>
      <c r="AB25" s="674"/>
    </row>
    <row r="26" spans="1:28" ht="15">
      <c r="A26" s="672"/>
      <c r="B26" s="861" t="s">
        <v>521</v>
      </c>
      <c r="C26" s="861" t="s">
        <v>522</v>
      </c>
      <c r="D26" s="861" t="s">
        <v>371</v>
      </c>
      <c r="E26" s="861"/>
      <c r="F26" s="862">
        <v>-0.67100000000000004</v>
      </c>
      <c r="G26" s="869">
        <v>2.9048056679999998</v>
      </c>
      <c r="H26" s="874">
        <v>26226127680.200001</v>
      </c>
      <c r="I26" s="872" t="s">
        <v>523</v>
      </c>
      <c r="J26" s="862">
        <v>0.13200000000000001</v>
      </c>
      <c r="K26" s="868">
        <f t="shared" si="4"/>
        <v>485</v>
      </c>
      <c r="L26" s="671" t="str">
        <f t="shared" si="15"/>
        <v>N/A</v>
      </c>
      <c r="M26" s="671">
        <f t="shared" si="6"/>
        <v>24</v>
      </c>
      <c r="N26" s="671" t="str">
        <f t="shared" si="7"/>
        <v>N/A</v>
      </c>
      <c r="O26" s="671">
        <f t="shared" si="8"/>
        <v>391</v>
      </c>
      <c r="P26" s="861" t="s">
        <v>524</v>
      </c>
      <c r="Q26" s="861" t="s">
        <v>525</v>
      </c>
      <c r="R26" s="861" t="s">
        <v>526</v>
      </c>
      <c r="S26" s="861" t="s">
        <v>485</v>
      </c>
      <c r="T26" s="861" t="s">
        <v>527</v>
      </c>
      <c r="U26" s="677">
        <f t="shared" si="9"/>
        <v>0</v>
      </c>
      <c r="V26" s="674">
        <f t="shared" si="12"/>
        <v>1</v>
      </c>
      <c r="W26" s="674" t="str">
        <f t="shared" si="11"/>
        <v>-</v>
      </c>
      <c r="Y26" s="674" t="str">
        <f t="shared" si="0"/>
        <v>Not suitable</v>
      </c>
      <c r="Z26" s="677" t="str">
        <f t="shared" si="13"/>
        <v>Y</v>
      </c>
      <c r="AA26" s="665"/>
      <c r="AB26" s="674"/>
    </row>
    <row r="27" spans="1:28" ht="15">
      <c r="A27" s="672"/>
      <c r="B27" s="861" t="s">
        <v>528</v>
      </c>
      <c r="C27" s="861" t="s">
        <v>529</v>
      </c>
      <c r="D27" s="861" t="s">
        <v>371</v>
      </c>
      <c r="E27" s="861"/>
      <c r="F27" s="862">
        <v>0.35199999999999998</v>
      </c>
      <c r="G27" s="870" t="s">
        <v>530</v>
      </c>
      <c r="H27" s="874">
        <v>25445185000</v>
      </c>
      <c r="I27" s="871"/>
      <c r="J27" s="862">
        <v>1.9E-2</v>
      </c>
      <c r="K27" s="868">
        <f t="shared" si="4"/>
        <v>39</v>
      </c>
      <c r="L27" s="671" t="str">
        <f t="shared" si="15"/>
        <v>N/A</v>
      </c>
      <c r="M27" s="671">
        <f t="shared" si="6"/>
        <v>25</v>
      </c>
      <c r="N27" s="671" t="str">
        <f t="shared" si="7"/>
        <v>N/A</v>
      </c>
      <c r="O27" s="671">
        <f t="shared" si="8"/>
        <v>668</v>
      </c>
      <c r="P27" s="861" t="s">
        <v>531</v>
      </c>
      <c r="Q27" s="861" t="s">
        <v>532</v>
      </c>
      <c r="R27" s="861" t="s">
        <v>533</v>
      </c>
      <c r="S27" s="861" t="s">
        <v>534</v>
      </c>
      <c r="T27" s="861" t="s">
        <v>535</v>
      </c>
      <c r="U27" s="677">
        <f t="shared" si="9"/>
        <v>0</v>
      </c>
      <c r="V27" s="674">
        <f t="shared" si="12"/>
        <v>1</v>
      </c>
      <c r="W27" s="674" t="str">
        <f t="shared" si="11"/>
        <v>-</v>
      </c>
      <c r="Y27" s="674" t="str">
        <f t="shared" si="0"/>
        <v>Not suitable</v>
      </c>
      <c r="Z27" s="677" t="str">
        <f t="shared" si="13"/>
        <v>Y</v>
      </c>
      <c r="AA27" s="665"/>
      <c r="AB27" s="674"/>
    </row>
    <row r="28" spans="1:28" ht="15">
      <c r="A28" s="672"/>
      <c r="B28" s="861" t="s">
        <v>536</v>
      </c>
      <c r="C28" s="861" t="s">
        <v>537</v>
      </c>
      <c r="D28" s="861" t="s">
        <v>371</v>
      </c>
      <c r="E28" s="861"/>
      <c r="F28" s="862">
        <v>8.9009999999999998</v>
      </c>
      <c r="G28" s="870" t="s">
        <v>538</v>
      </c>
      <c r="H28" s="874">
        <v>24862156740.279999</v>
      </c>
      <c r="I28" s="871">
        <v>38.380000000000003</v>
      </c>
      <c r="J28" s="863" t="s">
        <v>539</v>
      </c>
      <c r="K28" s="868">
        <f t="shared" si="4"/>
        <v>1</v>
      </c>
      <c r="L28" s="671" t="str">
        <f t="shared" si="15"/>
        <v>N/A</v>
      </c>
      <c r="M28" s="671">
        <f t="shared" si="6"/>
        <v>26</v>
      </c>
      <c r="N28" s="671">
        <f t="shared" si="7"/>
        <v>113</v>
      </c>
      <c r="O28" s="671" t="str">
        <f t="shared" si="8"/>
        <v>N/A</v>
      </c>
      <c r="P28" s="861" t="s">
        <v>540</v>
      </c>
      <c r="Q28" s="861" t="s">
        <v>541</v>
      </c>
      <c r="R28" s="861"/>
      <c r="S28" s="861" t="s">
        <v>542</v>
      </c>
      <c r="T28" s="861" t="s">
        <v>543</v>
      </c>
      <c r="U28" s="677">
        <f t="shared" si="9"/>
        <v>0</v>
      </c>
      <c r="V28" s="674">
        <f t="shared" si="12"/>
        <v>1</v>
      </c>
      <c r="W28" s="674">
        <f t="shared" si="11"/>
        <v>1</v>
      </c>
      <c r="Y28" s="674" t="str">
        <f t="shared" si="0"/>
        <v/>
      </c>
      <c r="Z28" s="677" t="str">
        <f t="shared" si="13"/>
        <v/>
      </c>
      <c r="AA28" s="665"/>
      <c r="AB28" s="674"/>
    </row>
    <row r="29" spans="1:28" ht="15">
      <c r="A29" s="672"/>
      <c r="B29" s="861" t="s">
        <v>544</v>
      </c>
      <c r="C29" s="861" t="s">
        <v>545</v>
      </c>
      <c r="D29" s="861" t="s">
        <v>371</v>
      </c>
      <c r="E29" s="861"/>
      <c r="F29" s="862">
        <v>-2.0750000000000002</v>
      </c>
      <c r="G29" s="870" t="s">
        <v>546</v>
      </c>
      <c r="H29" s="874">
        <v>24855177666.330002</v>
      </c>
      <c r="I29" s="871">
        <v>3.39</v>
      </c>
      <c r="J29" s="862">
        <v>0.308</v>
      </c>
      <c r="K29" s="868">
        <f t="shared" si="4"/>
        <v>499</v>
      </c>
      <c r="L29" s="861" t="s">
        <v>547</v>
      </c>
      <c r="M29" s="671">
        <f t="shared" si="6"/>
        <v>27</v>
      </c>
      <c r="N29" s="671">
        <f t="shared" si="7"/>
        <v>284</v>
      </c>
      <c r="O29" s="671">
        <f t="shared" si="8"/>
        <v>118</v>
      </c>
      <c r="P29" s="861" t="s">
        <v>548</v>
      </c>
      <c r="Q29" s="861" t="s">
        <v>549</v>
      </c>
      <c r="R29" s="861" t="s">
        <v>550</v>
      </c>
      <c r="S29" s="861" t="s">
        <v>551</v>
      </c>
      <c r="T29" s="861" t="s">
        <v>552</v>
      </c>
      <c r="U29" s="677">
        <f t="shared" si="9"/>
        <v>0</v>
      </c>
      <c r="V29" s="674">
        <f t="shared" si="12"/>
        <v>1</v>
      </c>
      <c r="W29" s="674">
        <f t="shared" si="11"/>
        <v>1</v>
      </c>
      <c r="Y29" s="674" t="str">
        <f t="shared" si="0"/>
        <v/>
      </c>
      <c r="Z29" s="677" t="str">
        <f t="shared" si="13"/>
        <v/>
      </c>
      <c r="AA29" s="665"/>
      <c r="AB29" s="674"/>
    </row>
    <row r="30" spans="1:28" ht="15">
      <c r="A30" s="672"/>
      <c r="B30" s="861" t="s">
        <v>553</v>
      </c>
      <c r="C30" s="861" t="s">
        <v>554</v>
      </c>
      <c r="D30" s="861" t="s">
        <v>371</v>
      </c>
      <c r="E30" s="861"/>
      <c r="F30" s="862">
        <v>0.14899999999999999</v>
      </c>
      <c r="G30" s="869">
        <v>1.2497226340000001</v>
      </c>
      <c r="H30" s="874">
        <v>24764640377.720001</v>
      </c>
      <c r="I30" s="871">
        <v>25.84</v>
      </c>
      <c r="J30" s="863" t="s">
        <v>555</v>
      </c>
      <c r="K30" s="868">
        <f t="shared" si="4"/>
        <v>142</v>
      </c>
      <c r="L30" s="861"/>
      <c r="M30" s="671">
        <f t="shared" si="6"/>
        <v>28</v>
      </c>
      <c r="N30" s="671">
        <f t="shared" si="7"/>
        <v>156</v>
      </c>
      <c r="O30" s="671" t="str">
        <f t="shared" si="8"/>
        <v>N/A</v>
      </c>
      <c r="P30" s="861" t="s">
        <v>478</v>
      </c>
      <c r="Q30" s="861" t="s">
        <v>556</v>
      </c>
      <c r="R30" s="861"/>
      <c r="S30" s="861" t="s">
        <v>557</v>
      </c>
      <c r="T30" s="861" t="s">
        <v>558</v>
      </c>
      <c r="U30" s="677">
        <f t="shared" si="9"/>
        <v>0</v>
      </c>
      <c r="V30" s="674">
        <f t="shared" si="12"/>
        <v>1</v>
      </c>
      <c r="W30" s="674">
        <f t="shared" si="11"/>
        <v>1</v>
      </c>
      <c r="Y30" s="674" t="str">
        <f t="shared" si="0"/>
        <v/>
      </c>
      <c r="Z30" s="677" t="str">
        <f t="shared" si="13"/>
        <v/>
      </c>
      <c r="AA30" s="665"/>
      <c r="AB30" s="674"/>
    </row>
    <row r="31" spans="1:28" ht="15">
      <c r="A31" s="672"/>
      <c r="B31" s="861" t="s">
        <v>559</v>
      </c>
      <c r="C31" s="861" t="s">
        <v>560</v>
      </c>
      <c r="D31" s="861" t="s">
        <v>371</v>
      </c>
      <c r="E31" s="861"/>
      <c r="F31" s="862">
        <v>0.152</v>
      </c>
      <c r="G31" s="870" t="s">
        <v>561</v>
      </c>
      <c r="H31" s="874">
        <v>24300797358.599998</v>
      </c>
      <c r="I31" s="871">
        <v>7.58</v>
      </c>
      <c r="J31" s="863" t="s">
        <v>562</v>
      </c>
      <c r="K31" s="868">
        <f t="shared" si="4"/>
        <v>139</v>
      </c>
      <c r="L31" s="861"/>
      <c r="M31" s="671">
        <f t="shared" si="6"/>
        <v>29</v>
      </c>
      <c r="N31" s="671">
        <f t="shared" si="7"/>
        <v>247</v>
      </c>
      <c r="O31" s="671" t="str">
        <f t="shared" si="8"/>
        <v>N/A</v>
      </c>
      <c r="P31" s="861"/>
      <c r="Q31" s="861"/>
      <c r="R31" s="861"/>
      <c r="S31" s="861" t="s">
        <v>563</v>
      </c>
      <c r="T31" s="861" t="s">
        <v>564</v>
      </c>
      <c r="U31" s="677">
        <f t="shared" si="9"/>
        <v>0</v>
      </c>
      <c r="V31" s="674">
        <f t="shared" si="12"/>
        <v>1</v>
      </c>
      <c r="W31" s="674">
        <f t="shared" si="11"/>
        <v>1</v>
      </c>
      <c r="Y31" s="674" t="str">
        <f t="shared" si="0"/>
        <v/>
      </c>
      <c r="Z31" s="677" t="str">
        <f t="shared" si="13"/>
        <v/>
      </c>
      <c r="AA31" s="665"/>
      <c r="AB31" s="674"/>
    </row>
    <row r="32" spans="1:28" ht="15">
      <c r="A32" s="672"/>
      <c r="B32" s="861" t="s">
        <v>565</v>
      </c>
      <c r="C32" s="861" t="s">
        <v>566</v>
      </c>
      <c r="D32" s="861" t="s">
        <v>371</v>
      </c>
      <c r="E32" s="861"/>
      <c r="F32" s="862">
        <v>8.6999999999999994E-2</v>
      </c>
      <c r="G32" s="870" t="s">
        <v>567</v>
      </c>
      <c r="H32" s="874">
        <v>23903670230.400002</v>
      </c>
      <c r="I32" s="872" t="s">
        <v>568</v>
      </c>
      <c r="J32" s="862">
        <v>0.106</v>
      </c>
      <c r="K32" s="868">
        <f t="shared" si="4"/>
        <v>207</v>
      </c>
      <c r="L32" s="861" t="s">
        <v>569</v>
      </c>
      <c r="M32" s="671">
        <f t="shared" si="6"/>
        <v>30</v>
      </c>
      <c r="N32" s="671" t="str">
        <f t="shared" si="7"/>
        <v>N/A</v>
      </c>
      <c r="O32" s="671">
        <f t="shared" si="8"/>
        <v>468</v>
      </c>
      <c r="P32" s="861" t="s">
        <v>570</v>
      </c>
      <c r="Q32" s="861" t="s">
        <v>571</v>
      </c>
      <c r="R32" s="861" t="s">
        <v>572</v>
      </c>
      <c r="S32" s="861" t="s">
        <v>573</v>
      </c>
      <c r="T32" s="861" t="s">
        <v>574</v>
      </c>
      <c r="U32" s="677">
        <f t="shared" si="9"/>
        <v>0</v>
      </c>
      <c r="V32" s="674">
        <f t="shared" si="12"/>
        <v>1</v>
      </c>
      <c r="W32" s="674" t="str">
        <f t="shared" si="11"/>
        <v>-</v>
      </c>
      <c r="Y32" s="674" t="str">
        <f t="shared" si="0"/>
        <v>Not suitable</v>
      </c>
      <c r="Z32" s="677" t="str">
        <f t="shared" si="13"/>
        <v>Y</v>
      </c>
      <c r="AA32" s="665"/>
      <c r="AB32" s="674"/>
    </row>
    <row r="33" spans="1:28" ht="15">
      <c r="A33" s="672"/>
      <c r="B33" s="861" t="s">
        <v>575</v>
      </c>
      <c r="C33" s="861" t="s">
        <v>576</v>
      </c>
      <c r="D33" s="861" t="s">
        <v>371</v>
      </c>
      <c r="E33" s="861"/>
      <c r="F33" s="862">
        <v>-0.34399999999999997</v>
      </c>
      <c r="G33" s="870" t="s">
        <v>577</v>
      </c>
      <c r="H33" s="874">
        <v>21897182426.93</v>
      </c>
      <c r="I33" s="871">
        <v>2.0299999999999998</v>
      </c>
      <c r="J33" s="862">
        <v>8.7999999999999995E-2</v>
      </c>
      <c r="K33" s="868">
        <f t="shared" si="4"/>
        <v>455</v>
      </c>
      <c r="L33" s="861" t="s">
        <v>578</v>
      </c>
      <c r="M33" s="671">
        <f t="shared" si="6"/>
        <v>31</v>
      </c>
      <c r="N33" s="671">
        <f t="shared" si="7"/>
        <v>294</v>
      </c>
      <c r="O33" s="671">
        <f t="shared" si="8"/>
        <v>524</v>
      </c>
      <c r="P33" s="861" t="s">
        <v>579</v>
      </c>
      <c r="Q33" s="861" t="s">
        <v>580</v>
      </c>
      <c r="R33" s="861" t="s">
        <v>581</v>
      </c>
      <c r="S33" s="861" t="s">
        <v>582</v>
      </c>
      <c r="T33" s="861" t="s">
        <v>583</v>
      </c>
      <c r="U33" s="677">
        <f t="shared" si="9"/>
        <v>0</v>
      </c>
      <c r="V33" s="674">
        <f t="shared" si="12"/>
        <v>1</v>
      </c>
      <c r="W33" s="674">
        <f t="shared" si="11"/>
        <v>1</v>
      </c>
      <c r="Y33" s="674" t="str">
        <f t="shared" si="0"/>
        <v/>
      </c>
      <c r="Z33" s="677" t="str">
        <f t="shared" si="13"/>
        <v/>
      </c>
      <c r="AA33" s="665"/>
      <c r="AB33" s="674"/>
    </row>
    <row r="34" spans="1:28" ht="15">
      <c r="A34" s="672"/>
      <c r="B34" s="861" t="s">
        <v>584</v>
      </c>
      <c r="C34" s="861" t="s">
        <v>585</v>
      </c>
      <c r="D34" s="861" t="s">
        <v>371</v>
      </c>
      <c r="E34" s="861"/>
      <c r="F34" s="862">
        <v>0.222</v>
      </c>
      <c r="G34" s="869">
        <v>0</v>
      </c>
      <c r="H34" s="874">
        <v>20106473975.73</v>
      </c>
      <c r="I34" s="871">
        <v>1.54</v>
      </c>
      <c r="J34" s="862">
        <v>0.214</v>
      </c>
      <c r="K34" s="868">
        <f t="shared" si="4"/>
        <v>85</v>
      </c>
      <c r="L34" s="861" t="s">
        <v>586</v>
      </c>
      <c r="M34" s="671">
        <f t="shared" si="6"/>
        <v>32</v>
      </c>
      <c r="N34" s="671">
        <f t="shared" si="7"/>
        <v>300</v>
      </c>
      <c r="O34" s="671">
        <f t="shared" si="8"/>
        <v>231</v>
      </c>
      <c r="P34" s="861" t="s">
        <v>587</v>
      </c>
      <c r="Q34" s="861" t="s">
        <v>588</v>
      </c>
      <c r="R34" s="861" t="s">
        <v>589</v>
      </c>
      <c r="S34" s="861" t="s">
        <v>590</v>
      </c>
      <c r="T34" s="861" t="s">
        <v>591</v>
      </c>
      <c r="U34" s="677">
        <f t="shared" si="9"/>
        <v>0</v>
      </c>
      <c r="V34" s="674">
        <f t="shared" si="12"/>
        <v>1</v>
      </c>
      <c r="W34" s="674">
        <f t="shared" si="11"/>
        <v>1</v>
      </c>
      <c r="Y34" s="674" t="str">
        <f t="shared" si="0"/>
        <v/>
      </c>
      <c r="Z34" s="677" t="str">
        <f t="shared" si="13"/>
        <v/>
      </c>
      <c r="AA34" s="665"/>
      <c r="AB34" s="674"/>
    </row>
    <row r="35" spans="1:28" ht="15">
      <c r="A35" s="672"/>
      <c r="B35" s="861" t="s">
        <v>592</v>
      </c>
      <c r="C35" s="861" t="s">
        <v>593</v>
      </c>
      <c r="D35" s="861" t="s">
        <v>371</v>
      </c>
      <c r="E35" s="861"/>
      <c r="F35" s="862">
        <v>0.13600000000000001</v>
      </c>
      <c r="G35" s="869">
        <v>0.15017723899999999</v>
      </c>
      <c r="H35" s="874">
        <v>19465513642.959999</v>
      </c>
      <c r="I35" s="871">
        <v>5.78</v>
      </c>
      <c r="J35" s="862">
        <v>0.27700000000000002</v>
      </c>
      <c r="K35" s="868">
        <f t="shared" si="4"/>
        <v>155</v>
      </c>
      <c r="L35" s="861" t="s">
        <v>569</v>
      </c>
      <c r="M35" s="671">
        <f t="shared" si="6"/>
        <v>33</v>
      </c>
      <c r="N35" s="671">
        <f t="shared" si="7"/>
        <v>263</v>
      </c>
      <c r="O35" s="671">
        <f t="shared" si="8"/>
        <v>151</v>
      </c>
      <c r="P35" s="861" t="s">
        <v>594</v>
      </c>
      <c r="Q35" s="861" t="s">
        <v>595</v>
      </c>
      <c r="R35" s="861" t="s">
        <v>570</v>
      </c>
      <c r="S35" s="861" t="s">
        <v>596</v>
      </c>
      <c r="T35" s="861" t="s">
        <v>597</v>
      </c>
      <c r="U35" s="677">
        <f t="shared" si="9"/>
        <v>0</v>
      </c>
      <c r="V35" s="674">
        <f t="shared" si="12"/>
        <v>1</v>
      </c>
      <c r="W35" s="674">
        <f t="shared" si="11"/>
        <v>1</v>
      </c>
      <c r="Y35" s="674" t="str">
        <f t="shared" si="0"/>
        <v/>
      </c>
      <c r="Z35" s="677" t="str">
        <f t="shared" si="13"/>
        <v/>
      </c>
      <c r="AA35" s="665"/>
      <c r="AB35" s="674"/>
    </row>
    <row r="36" spans="1:28" ht="15">
      <c r="A36" s="672"/>
      <c r="B36" s="861" t="s">
        <v>598</v>
      </c>
      <c r="C36" s="861" t="s">
        <v>599</v>
      </c>
      <c r="D36" s="861" t="s">
        <v>371</v>
      </c>
      <c r="E36" s="861"/>
      <c r="F36" s="862">
        <v>0.20799999999999999</v>
      </c>
      <c r="G36" s="869">
        <v>3.5572376729999999</v>
      </c>
      <c r="H36" s="874">
        <v>18611963591.599998</v>
      </c>
      <c r="I36" s="871"/>
      <c r="J36" s="863" t="s">
        <v>600</v>
      </c>
      <c r="K36" s="868">
        <f t="shared" si="4"/>
        <v>92</v>
      </c>
      <c r="L36" s="861" t="s">
        <v>601</v>
      </c>
      <c r="M36" s="671">
        <f t="shared" si="6"/>
        <v>34</v>
      </c>
      <c r="N36" s="671" t="str">
        <f t="shared" si="7"/>
        <v>N/A</v>
      </c>
      <c r="O36" s="671" t="str">
        <f t="shared" si="8"/>
        <v>N/A</v>
      </c>
      <c r="P36" s="861" t="s">
        <v>602</v>
      </c>
      <c r="Q36" s="861" t="s">
        <v>603</v>
      </c>
      <c r="R36" s="861" t="s">
        <v>604</v>
      </c>
      <c r="S36" s="861" t="s">
        <v>605</v>
      </c>
      <c r="T36" s="861" t="s">
        <v>606</v>
      </c>
      <c r="U36" s="677">
        <f t="shared" ref="U36:U67" si="16">SUM(P36:T36)</f>
        <v>0</v>
      </c>
      <c r="V36" s="674">
        <f t="shared" ref="V36:V67" si="17">_xlfn.RANK.EQ(U36,$U$4:$U$61,1)</f>
        <v>1</v>
      </c>
      <c r="W36" s="674" t="str">
        <f t="shared" si="11"/>
        <v>-</v>
      </c>
      <c r="Y36" s="674" t="str">
        <f t="shared" si="0"/>
        <v>Not suitable</v>
      </c>
      <c r="Z36" s="677" t="str">
        <f t="shared" si="13"/>
        <v>Y</v>
      </c>
      <c r="AA36" s="665"/>
      <c r="AB36" s="674"/>
    </row>
    <row r="37" spans="1:28" ht="15">
      <c r="A37" s="672"/>
      <c r="B37" s="861" t="s">
        <v>607</v>
      </c>
      <c r="C37" s="861" t="s">
        <v>608</v>
      </c>
      <c r="D37" s="861" t="s">
        <v>371</v>
      </c>
      <c r="E37" s="861"/>
      <c r="F37" s="862"/>
      <c r="G37" s="870" t="s">
        <v>609</v>
      </c>
      <c r="H37" s="874">
        <v>18220804907.41</v>
      </c>
      <c r="I37" s="871">
        <v>46.44</v>
      </c>
      <c r="J37" s="863" t="s">
        <v>610</v>
      </c>
      <c r="K37" s="868">
        <f t="shared" si="4"/>
        <v>316</v>
      </c>
      <c r="L37" s="861"/>
      <c r="M37" s="671">
        <f t="shared" si="6"/>
        <v>35</v>
      </c>
      <c r="N37" s="671">
        <f t="shared" si="7"/>
        <v>90</v>
      </c>
      <c r="O37" s="671" t="str">
        <f t="shared" si="8"/>
        <v>N/A</v>
      </c>
      <c r="P37" s="861" t="s">
        <v>611</v>
      </c>
      <c r="Q37" s="861"/>
      <c r="R37" s="861"/>
      <c r="S37" s="861" t="s">
        <v>404</v>
      </c>
      <c r="T37" s="861" t="s">
        <v>612</v>
      </c>
      <c r="U37" s="677">
        <f t="shared" si="16"/>
        <v>0</v>
      </c>
      <c r="V37" s="674">
        <f t="shared" si="17"/>
        <v>1</v>
      </c>
      <c r="W37" s="674">
        <f t="shared" ref="W37:W68" si="18">IF(Y37="Not suitable","-",V37)</f>
        <v>1</v>
      </c>
      <c r="Y37" s="674" t="str">
        <f t="shared" si="0"/>
        <v/>
      </c>
      <c r="Z37" s="677" t="str">
        <f t="shared" si="13"/>
        <v/>
      </c>
      <c r="AA37" s="665"/>
      <c r="AB37" s="674"/>
    </row>
    <row r="38" spans="1:28" ht="15">
      <c r="A38" s="672"/>
      <c r="B38" s="861" t="s">
        <v>613</v>
      </c>
      <c r="C38" s="861" t="s">
        <v>614</v>
      </c>
      <c r="D38" s="861" t="s">
        <v>371</v>
      </c>
      <c r="E38" s="861"/>
      <c r="F38" s="862">
        <v>-6.7000000000000004E-2</v>
      </c>
      <c r="G38" s="869">
        <v>0</v>
      </c>
      <c r="H38" s="874">
        <v>16939820158.040001</v>
      </c>
      <c r="I38" s="871">
        <v>5.28</v>
      </c>
      <c r="J38" s="862">
        <v>0.182</v>
      </c>
      <c r="K38" s="868">
        <f t="shared" si="4"/>
        <v>360</v>
      </c>
      <c r="L38" s="861" t="s">
        <v>615</v>
      </c>
      <c r="M38" s="671">
        <f t="shared" si="6"/>
        <v>36</v>
      </c>
      <c r="N38" s="671">
        <f t="shared" si="7"/>
        <v>268</v>
      </c>
      <c r="O38" s="671">
        <f t="shared" si="8"/>
        <v>285</v>
      </c>
      <c r="P38" s="861" t="s">
        <v>616</v>
      </c>
      <c r="Q38" s="861" t="s">
        <v>617</v>
      </c>
      <c r="R38" s="861" t="s">
        <v>524</v>
      </c>
      <c r="S38" s="861" t="s">
        <v>618</v>
      </c>
      <c r="T38" s="861" t="s">
        <v>619</v>
      </c>
      <c r="U38" s="677">
        <f t="shared" si="16"/>
        <v>0</v>
      </c>
      <c r="V38" s="674">
        <f t="shared" si="17"/>
        <v>1</v>
      </c>
      <c r="W38" s="674">
        <f t="shared" si="18"/>
        <v>1</v>
      </c>
      <c r="Y38" s="674" t="str">
        <f t="shared" si="0"/>
        <v/>
      </c>
      <c r="Z38" s="677" t="str">
        <f t="shared" si="13"/>
        <v/>
      </c>
      <c r="AA38" s="665"/>
      <c r="AB38" s="674"/>
    </row>
    <row r="39" spans="1:28" ht="15">
      <c r="A39" s="672"/>
      <c r="B39" s="861" t="s">
        <v>620</v>
      </c>
      <c r="C39" s="861" t="s">
        <v>621</v>
      </c>
      <c r="D39" s="861" t="s">
        <v>371</v>
      </c>
      <c r="E39" s="861"/>
      <c r="F39" s="862">
        <v>0.129</v>
      </c>
      <c r="G39" s="869">
        <v>4.5076170170000003</v>
      </c>
      <c r="H39" s="874">
        <v>16911446417.950001</v>
      </c>
      <c r="I39" s="871">
        <v>3.26</v>
      </c>
      <c r="J39" s="862">
        <v>0.39500000000000002</v>
      </c>
      <c r="K39" s="868">
        <f t="shared" si="4"/>
        <v>166</v>
      </c>
      <c r="L39" s="861" t="s">
        <v>473</v>
      </c>
      <c r="M39" s="671">
        <f t="shared" si="6"/>
        <v>37</v>
      </c>
      <c r="N39" s="671">
        <f t="shared" si="7"/>
        <v>287</v>
      </c>
      <c r="O39" s="671">
        <f t="shared" si="8"/>
        <v>59</v>
      </c>
      <c r="P39" s="861" t="s">
        <v>622</v>
      </c>
      <c r="Q39" s="861" t="s">
        <v>623</v>
      </c>
      <c r="R39" s="861" t="s">
        <v>624</v>
      </c>
      <c r="S39" s="861" t="s">
        <v>625</v>
      </c>
      <c r="T39" s="861" t="s">
        <v>626</v>
      </c>
      <c r="U39" s="677">
        <f t="shared" si="16"/>
        <v>0</v>
      </c>
      <c r="V39" s="674">
        <f t="shared" si="17"/>
        <v>1</v>
      </c>
      <c r="W39" s="674">
        <f t="shared" si="18"/>
        <v>1</v>
      </c>
      <c r="Y39" s="674" t="str">
        <f t="shared" si="0"/>
        <v/>
      </c>
      <c r="Z39" s="677" t="str">
        <f t="shared" si="13"/>
        <v/>
      </c>
      <c r="AA39" s="665"/>
      <c r="AB39" s="674"/>
    </row>
    <row r="40" spans="1:28" ht="15">
      <c r="A40" s="672"/>
      <c r="B40" s="861" t="s">
        <v>627</v>
      </c>
      <c r="C40" s="861" t="s">
        <v>628</v>
      </c>
      <c r="D40" s="861" t="s">
        <v>371</v>
      </c>
      <c r="E40" s="861"/>
      <c r="F40" s="862">
        <v>0.30199999999999999</v>
      </c>
      <c r="G40" s="869">
        <v>0</v>
      </c>
      <c r="H40" s="874">
        <v>15228664582.1</v>
      </c>
      <c r="I40" s="871">
        <v>19.09</v>
      </c>
      <c r="J40" s="863" t="s">
        <v>629</v>
      </c>
      <c r="K40" s="868">
        <f t="shared" si="4"/>
        <v>49</v>
      </c>
      <c r="L40" s="861" t="s">
        <v>630</v>
      </c>
      <c r="M40" s="671">
        <f t="shared" si="6"/>
        <v>38</v>
      </c>
      <c r="N40" s="671">
        <f t="shared" si="7"/>
        <v>179</v>
      </c>
      <c r="O40" s="671" t="str">
        <f t="shared" si="8"/>
        <v>N/A</v>
      </c>
      <c r="P40" s="861" t="s">
        <v>631</v>
      </c>
      <c r="Q40" s="861" t="s">
        <v>632</v>
      </c>
      <c r="R40" s="861" t="s">
        <v>633</v>
      </c>
      <c r="S40" s="861" t="s">
        <v>634</v>
      </c>
      <c r="T40" s="861" t="s">
        <v>635</v>
      </c>
      <c r="U40" s="677">
        <f t="shared" si="16"/>
        <v>0</v>
      </c>
      <c r="V40" s="674">
        <f t="shared" si="17"/>
        <v>1</v>
      </c>
      <c r="W40" s="674">
        <f t="shared" si="18"/>
        <v>1</v>
      </c>
      <c r="Y40" s="674" t="str">
        <f t="shared" si="0"/>
        <v/>
      </c>
      <c r="Z40" s="677" t="str">
        <f t="shared" si="13"/>
        <v/>
      </c>
      <c r="AA40" s="665"/>
      <c r="AB40" s="674"/>
    </row>
    <row r="41" spans="1:28" ht="15">
      <c r="A41" s="672"/>
      <c r="B41" s="861" t="s">
        <v>636</v>
      </c>
      <c r="C41" s="861" t="s">
        <v>637</v>
      </c>
      <c r="D41" s="861" t="s">
        <v>371</v>
      </c>
      <c r="E41" s="861"/>
      <c r="F41" s="862">
        <v>3.4000000000000002E-2</v>
      </c>
      <c r="G41" s="869">
        <v>12.010567200000001</v>
      </c>
      <c r="H41" s="874">
        <v>15044428296.15</v>
      </c>
      <c r="I41" s="871"/>
      <c r="J41" s="862">
        <v>0.51300000000000001</v>
      </c>
      <c r="K41" s="868">
        <f t="shared" si="4"/>
        <v>275</v>
      </c>
      <c r="L41" s="861"/>
      <c r="M41" s="671">
        <f t="shared" si="6"/>
        <v>39</v>
      </c>
      <c r="N41" s="671" t="str">
        <f t="shared" si="7"/>
        <v>N/A</v>
      </c>
      <c r="O41" s="671">
        <f t="shared" si="8"/>
        <v>19</v>
      </c>
      <c r="P41" s="861"/>
      <c r="Q41" s="861"/>
      <c r="R41" s="861"/>
      <c r="S41" s="861" t="s">
        <v>424</v>
      </c>
      <c r="T41" s="861" t="s">
        <v>638</v>
      </c>
      <c r="U41" s="677">
        <f t="shared" si="16"/>
        <v>0</v>
      </c>
      <c r="V41" s="674">
        <f t="shared" si="17"/>
        <v>1</v>
      </c>
      <c r="W41" s="674" t="str">
        <f t="shared" si="18"/>
        <v>-</v>
      </c>
      <c r="Y41" s="674" t="str">
        <f t="shared" si="0"/>
        <v>Not suitable</v>
      </c>
      <c r="Z41" s="677" t="str">
        <f t="shared" si="13"/>
        <v>Y</v>
      </c>
      <c r="AA41" s="665"/>
      <c r="AB41" s="674"/>
    </row>
    <row r="42" spans="1:28" ht="15">
      <c r="A42" s="672"/>
      <c r="B42" s="861" t="s">
        <v>639</v>
      </c>
      <c r="C42" s="861" t="s">
        <v>640</v>
      </c>
      <c r="D42" s="861" t="s">
        <v>371</v>
      </c>
      <c r="E42" s="861"/>
      <c r="F42" s="862">
        <v>0.154</v>
      </c>
      <c r="G42" s="869">
        <v>0.85097909100000002</v>
      </c>
      <c r="H42" s="874">
        <v>14985498688.799999</v>
      </c>
      <c r="I42" s="871">
        <v>18.37</v>
      </c>
      <c r="J42" s="862">
        <v>0.26600000000000001</v>
      </c>
      <c r="K42" s="868">
        <f t="shared" si="4"/>
        <v>137</v>
      </c>
      <c r="L42" s="861" t="s">
        <v>641</v>
      </c>
      <c r="M42" s="671">
        <f t="shared" si="6"/>
        <v>40</v>
      </c>
      <c r="N42" s="671">
        <f t="shared" si="7"/>
        <v>181</v>
      </c>
      <c r="O42" s="671">
        <f t="shared" si="8"/>
        <v>159</v>
      </c>
      <c r="P42" s="861" t="s">
        <v>642</v>
      </c>
      <c r="Q42" s="861" t="s">
        <v>643</v>
      </c>
      <c r="R42" s="861" t="s">
        <v>644</v>
      </c>
      <c r="S42" s="861" t="s">
        <v>645</v>
      </c>
      <c r="T42" s="861" t="s">
        <v>646</v>
      </c>
      <c r="U42" s="677">
        <f t="shared" si="16"/>
        <v>0</v>
      </c>
      <c r="V42" s="674">
        <f t="shared" si="17"/>
        <v>1</v>
      </c>
      <c r="W42" s="674">
        <f t="shared" si="18"/>
        <v>1</v>
      </c>
      <c r="Y42" s="674" t="str">
        <f t="shared" si="0"/>
        <v/>
      </c>
      <c r="Z42" s="677" t="str">
        <f t="shared" si="13"/>
        <v/>
      </c>
      <c r="AA42" s="665"/>
      <c r="AB42" s="674"/>
    </row>
    <row r="43" spans="1:28" ht="15">
      <c r="A43" s="672"/>
      <c r="B43" s="861" t="s">
        <v>647</v>
      </c>
      <c r="C43" s="861" t="s">
        <v>648</v>
      </c>
      <c r="D43" s="861" t="s">
        <v>371</v>
      </c>
      <c r="E43" s="861"/>
      <c r="F43" s="862">
        <v>0.58799999999999997</v>
      </c>
      <c r="G43" s="869">
        <v>7.5415193189999998</v>
      </c>
      <c r="H43" s="874">
        <v>14895833716.950001</v>
      </c>
      <c r="I43" s="871">
        <v>2.2999999999999998</v>
      </c>
      <c r="J43" s="862">
        <v>0.23799999999999999</v>
      </c>
      <c r="K43" s="868">
        <f t="shared" si="4"/>
        <v>14</v>
      </c>
      <c r="L43" s="861"/>
      <c r="M43" s="671">
        <f t="shared" si="6"/>
        <v>41</v>
      </c>
      <c r="N43" s="671">
        <f t="shared" si="7"/>
        <v>290</v>
      </c>
      <c r="O43" s="671">
        <f t="shared" si="8"/>
        <v>201</v>
      </c>
      <c r="P43" s="863" t="s">
        <v>649</v>
      </c>
      <c r="Q43" s="861"/>
      <c r="R43" s="861"/>
      <c r="S43" s="861" t="s">
        <v>404</v>
      </c>
      <c r="T43" s="861" t="s">
        <v>650</v>
      </c>
      <c r="U43" s="677">
        <f t="shared" si="16"/>
        <v>0</v>
      </c>
      <c r="V43" s="674">
        <f t="shared" si="17"/>
        <v>1</v>
      </c>
      <c r="W43" s="674">
        <f t="shared" si="18"/>
        <v>1</v>
      </c>
      <c r="Y43" s="674" t="str">
        <f t="shared" si="0"/>
        <v/>
      </c>
      <c r="Z43" s="677" t="str">
        <f t="shared" si="13"/>
        <v/>
      </c>
      <c r="AA43" s="665"/>
      <c r="AB43" s="674"/>
    </row>
    <row r="44" spans="1:28" ht="15">
      <c r="A44" s="672"/>
      <c r="B44" s="861" t="s">
        <v>651</v>
      </c>
      <c r="C44" s="861" t="s">
        <v>652</v>
      </c>
      <c r="D44" s="861" t="s">
        <v>371</v>
      </c>
      <c r="E44" s="861"/>
      <c r="F44" s="862">
        <v>0.23499999999999999</v>
      </c>
      <c r="G44" s="869">
        <v>3.0509708739999999</v>
      </c>
      <c r="H44" s="874">
        <v>14268729062.9</v>
      </c>
      <c r="I44" s="871">
        <v>5.07</v>
      </c>
      <c r="J44" s="862">
        <v>0.45200000000000001</v>
      </c>
      <c r="K44" s="868">
        <f t="shared" si="4"/>
        <v>76</v>
      </c>
      <c r="L44" s="861"/>
      <c r="M44" s="671">
        <f t="shared" si="6"/>
        <v>42</v>
      </c>
      <c r="N44" s="671">
        <f t="shared" si="7"/>
        <v>269</v>
      </c>
      <c r="O44" s="671">
        <f t="shared" si="8"/>
        <v>38</v>
      </c>
      <c r="P44" s="861" t="s">
        <v>653</v>
      </c>
      <c r="Q44" s="861" t="s">
        <v>654</v>
      </c>
      <c r="R44" s="861"/>
      <c r="S44" s="861" t="s">
        <v>655</v>
      </c>
      <c r="T44" s="861" t="s">
        <v>656</v>
      </c>
      <c r="U44" s="677">
        <f t="shared" si="16"/>
        <v>0</v>
      </c>
      <c r="V44" s="674">
        <f t="shared" si="17"/>
        <v>1</v>
      </c>
      <c r="W44" s="674">
        <f t="shared" si="18"/>
        <v>1</v>
      </c>
      <c r="Y44" s="674" t="str">
        <f t="shared" si="0"/>
        <v/>
      </c>
      <c r="Z44" s="677" t="str">
        <f t="shared" si="13"/>
        <v/>
      </c>
      <c r="AA44" s="665"/>
      <c r="AB44" s="674"/>
    </row>
    <row r="45" spans="1:28" ht="15">
      <c r="A45" s="672"/>
      <c r="B45" s="861" t="s">
        <v>657</v>
      </c>
      <c r="C45" s="861" t="s">
        <v>658</v>
      </c>
      <c r="D45" s="861" t="s">
        <v>371</v>
      </c>
      <c r="E45" s="861"/>
      <c r="F45" s="862">
        <v>1.0640000000000001</v>
      </c>
      <c r="G45" s="869">
        <v>7.532407407</v>
      </c>
      <c r="H45" s="874">
        <v>13251892043.190001</v>
      </c>
      <c r="I45" s="871">
        <v>97.3</v>
      </c>
      <c r="J45" s="863" t="s">
        <v>659</v>
      </c>
      <c r="K45" s="868">
        <f t="shared" si="4"/>
        <v>7</v>
      </c>
      <c r="L45" s="861"/>
      <c r="M45" s="671">
        <f t="shared" si="6"/>
        <v>43</v>
      </c>
      <c r="N45" s="671">
        <f t="shared" si="7"/>
        <v>36</v>
      </c>
      <c r="O45" s="671" t="str">
        <f t="shared" si="8"/>
        <v>N/A</v>
      </c>
      <c r="P45" s="861" t="s">
        <v>660</v>
      </c>
      <c r="Q45" s="861" t="s">
        <v>661</v>
      </c>
      <c r="R45" s="861"/>
      <c r="S45" s="861" t="s">
        <v>404</v>
      </c>
      <c r="T45" s="861" t="s">
        <v>662</v>
      </c>
      <c r="U45" s="677">
        <f t="shared" si="16"/>
        <v>0</v>
      </c>
      <c r="V45" s="674">
        <f t="shared" si="17"/>
        <v>1</v>
      </c>
      <c r="W45" s="674">
        <f t="shared" si="18"/>
        <v>1</v>
      </c>
      <c r="Y45" s="674" t="str">
        <f t="shared" si="0"/>
        <v/>
      </c>
      <c r="Z45" s="677" t="str">
        <f t="shared" si="13"/>
        <v/>
      </c>
      <c r="AA45" s="665"/>
      <c r="AB45" s="674"/>
    </row>
    <row r="46" spans="1:28" ht="15">
      <c r="A46" s="672"/>
      <c r="B46" s="861" t="s">
        <v>663</v>
      </c>
      <c r="C46" s="861" t="s">
        <v>664</v>
      </c>
      <c r="D46" s="861" t="s">
        <v>371</v>
      </c>
      <c r="E46" s="861"/>
      <c r="F46" s="862">
        <v>4.2000000000000003E-2</v>
      </c>
      <c r="G46" s="869">
        <v>0</v>
      </c>
      <c r="H46" s="874">
        <v>12608930453.370001</v>
      </c>
      <c r="I46" s="871">
        <v>6.98</v>
      </c>
      <c r="J46" s="862">
        <v>0.249</v>
      </c>
      <c r="K46" s="868">
        <f t="shared" si="4"/>
        <v>263</v>
      </c>
      <c r="L46" s="861" t="s">
        <v>622</v>
      </c>
      <c r="M46" s="671">
        <f t="shared" si="6"/>
        <v>44</v>
      </c>
      <c r="N46" s="671">
        <f t="shared" si="7"/>
        <v>252</v>
      </c>
      <c r="O46" s="671">
        <f t="shared" si="8"/>
        <v>180</v>
      </c>
      <c r="P46" s="861" t="s">
        <v>665</v>
      </c>
      <c r="Q46" s="861" t="s">
        <v>666</v>
      </c>
      <c r="R46" s="861" t="s">
        <v>472</v>
      </c>
      <c r="S46" s="861" t="s">
        <v>667</v>
      </c>
      <c r="T46" s="861" t="s">
        <v>668</v>
      </c>
      <c r="U46" s="677">
        <f t="shared" si="16"/>
        <v>0</v>
      </c>
      <c r="V46" s="674">
        <f t="shared" si="17"/>
        <v>1</v>
      </c>
      <c r="W46" s="674">
        <f t="shared" si="18"/>
        <v>1</v>
      </c>
      <c r="Y46" s="674" t="str">
        <f t="shared" si="0"/>
        <v/>
      </c>
      <c r="Z46" s="677" t="str">
        <f t="shared" si="13"/>
        <v/>
      </c>
      <c r="AA46" s="665"/>
      <c r="AB46" s="674"/>
    </row>
    <row r="47" spans="1:28" ht="15">
      <c r="A47" s="672"/>
      <c r="B47" s="861" t="s">
        <v>669</v>
      </c>
      <c r="C47" s="861" t="s">
        <v>670</v>
      </c>
      <c r="D47" s="861" t="s">
        <v>371</v>
      </c>
      <c r="E47" s="861"/>
      <c r="F47" s="862">
        <v>0.152</v>
      </c>
      <c r="G47" s="869">
        <v>1.9827934410000001</v>
      </c>
      <c r="H47" s="874">
        <v>12452128048.360001</v>
      </c>
      <c r="I47" s="871"/>
      <c r="J47" s="863" t="s">
        <v>671</v>
      </c>
      <c r="K47" s="868">
        <f t="shared" si="4"/>
        <v>139</v>
      </c>
      <c r="L47" s="861"/>
      <c r="M47" s="671">
        <f t="shared" si="6"/>
        <v>45</v>
      </c>
      <c r="N47" s="671" t="str">
        <f t="shared" si="7"/>
        <v>N/A</v>
      </c>
      <c r="O47" s="671" t="str">
        <f t="shared" si="8"/>
        <v>N/A</v>
      </c>
      <c r="P47" s="861" t="s">
        <v>672</v>
      </c>
      <c r="Q47" s="861" t="s">
        <v>673</v>
      </c>
      <c r="R47" s="861"/>
      <c r="S47" s="861" t="s">
        <v>674</v>
      </c>
      <c r="T47" s="861" t="s">
        <v>675</v>
      </c>
      <c r="U47" s="677">
        <f t="shared" si="16"/>
        <v>0</v>
      </c>
      <c r="V47" s="674">
        <f t="shared" si="17"/>
        <v>1</v>
      </c>
      <c r="W47" s="674" t="str">
        <f t="shared" si="18"/>
        <v>-</v>
      </c>
      <c r="Y47" s="674" t="str">
        <f t="shared" si="0"/>
        <v>Not suitable</v>
      </c>
      <c r="Z47" s="677" t="str">
        <f t="shared" si="13"/>
        <v>Y</v>
      </c>
      <c r="AA47" s="665"/>
      <c r="AB47" s="674"/>
    </row>
    <row r="48" spans="1:28" ht="15">
      <c r="A48" s="672"/>
      <c r="B48" s="861" t="s">
        <v>676</v>
      </c>
      <c r="C48" s="861" t="s">
        <v>677</v>
      </c>
      <c r="D48" s="861" t="s">
        <v>371</v>
      </c>
      <c r="E48" s="861"/>
      <c r="F48" s="862">
        <v>-0.01</v>
      </c>
      <c r="G48" s="870" t="s">
        <v>678</v>
      </c>
      <c r="H48" s="874">
        <v>12450675732.84</v>
      </c>
      <c r="I48" s="872" t="s">
        <v>679</v>
      </c>
      <c r="J48" s="862">
        <v>0.28599999999999998</v>
      </c>
      <c r="K48" s="868">
        <f t="shared" si="4"/>
        <v>323</v>
      </c>
      <c r="L48" s="861" t="s">
        <v>581</v>
      </c>
      <c r="M48" s="671">
        <f t="shared" si="6"/>
        <v>46</v>
      </c>
      <c r="N48" s="671" t="str">
        <f t="shared" si="7"/>
        <v>N/A</v>
      </c>
      <c r="O48" s="671">
        <f t="shared" si="8"/>
        <v>141</v>
      </c>
      <c r="P48" s="861" t="s">
        <v>680</v>
      </c>
      <c r="Q48" s="861" t="s">
        <v>681</v>
      </c>
      <c r="R48" s="861" t="s">
        <v>682</v>
      </c>
      <c r="S48" s="861" t="s">
        <v>683</v>
      </c>
      <c r="T48" s="861" t="s">
        <v>684</v>
      </c>
      <c r="U48" s="677">
        <f t="shared" si="16"/>
        <v>0</v>
      </c>
      <c r="V48" s="674">
        <f t="shared" si="17"/>
        <v>1</v>
      </c>
      <c r="W48" s="674" t="str">
        <f t="shared" si="18"/>
        <v>-</v>
      </c>
      <c r="Y48" s="674" t="str">
        <f t="shared" si="0"/>
        <v>Not suitable</v>
      </c>
      <c r="Z48" s="677" t="str">
        <f t="shared" si="13"/>
        <v>Y</v>
      </c>
      <c r="AA48" s="665"/>
      <c r="AB48" s="674"/>
    </row>
    <row r="49" spans="1:28" ht="15">
      <c r="A49" s="672"/>
      <c r="B49" s="861" t="s">
        <v>685</v>
      </c>
      <c r="C49" s="861" t="s">
        <v>686</v>
      </c>
      <c r="D49" s="861" t="s">
        <v>371</v>
      </c>
      <c r="E49" s="861"/>
      <c r="F49" s="862">
        <v>2.8000000000000001E-2</v>
      </c>
      <c r="G49" s="869">
        <v>0</v>
      </c>
      <c r="H49" s="874">
        <v>12370929912.48</v>
      </c>
      <c r="I49" s="871">
        <v>8.2899999999999991</v>
      </c>
      <c r="J49" s="862">
        <v>0.35599999999999998</v>
      </c>
      <c r="K49" s="868">
        <f t="shared" si="4"/>
        <v>288</v>
      </c>
      <c r="L49" s="861"/>
      <c r="M49" s="671">
        <f t="shared" si="6"/>
        <v>47</v>
      </c>
      <c r="N49" s="671">
        <f t="shared" si="7"/>
        <v>242</v>
      </c>
      <c r="O49" s="671">
        <f t="shared" si="8"/>
        <v>77</v>
      </c>
      <c r="P49" s="861"/>
      <c r="Q49" s="861"/>
      <c r="R49" s="861"/>
      <c r="S49" s="861" t="s">
        <v>454</v>
      </c>
      <c r="T49" s="861" t="s">
        <v>687</v>
      </c>
      <c r="U49" s="677">
        <f t="shared" si="16"/>
        <v>0</v>
      </c>
      <c r="V49" s="674">
        <f t="shared" si="17"/>
        <v>1</v>
      </c>
      <c r="W49" s="674">
        <f t="shared" si="18"/>
        <v>1</v>
      </c>
      <c r="Y49" s="674" t="str">
        <f t="shared" si="0"/>
        <v/>
      </c>
      <c r="Z49" s="677" t="str">
        <f t="shared" si="13"/>
        <v/>
      </c>
      <c r="AA49" s="665"/>
      <c r="AB49" s="674"/>
    </row>
    <row r="50" spans="1:28" ht="15">
      <c r="A50" s="672"/>
      <c r="B50" s="861" t="s">
        <v>688</v>
      </c>
      <c r="C50" s="861" t="s">
        <v>689</v>
      </c>
      <c r="D50" s="861" t="s">
        <v>371</v>
      </c>
      <c r="E50" s="861"/>
      <c r="F50" s="862">
        <v>-9.5000000000000001E-2</v>
      </c>
      <c r="G50" s="869">
        <v>7.2709371469999997</v>
      </c>
      <c r="H50" s="874">
        <v>12369977544.35</v>
      </c>
      <c r="I50" s="871">
        <v>45.95</v>
      </c>
      <c r="J50" s="862">
        <v>0.20100000000000001</v>
      </c>
      <c r="K50" s="868">
        <f t="shared" si="4"/>
        <v>377</v>
      </c>
      <c r="L50" s="861"/>
      <c r="M50" s="671">
        <f t="shared" si="6"/>
        <v>48</v>
      </c>
      <c r="N50" s="671">
        <f t="shared" si="7"/>
        <v>93</v>
      </c>
      <c r="O50" s="671">
        <f t="shared" si="8"/>
        <v>253</v>
      </c>
      <c r="P50" s="861" t="s">
        <v>690</v>
      </c>
      <c r="Q50" s="861"/>
      <c r="R50" s="861"/>
      <c r="S50" s="861" t="s">
        <v>691</v>
      </c>
      <c r="T50" s="861" t="s">
        <v>692</v>
      </c>
      <c r="U50" s="677">
        <f t="shared" si="16"/>
        <v>0</v>
      </c>
      <c r="V50" s="674">
        <f t="shared" si="17"/>
        <v>1</v>
      </c>
      <c r="W50" s="674">
        <f t="shared" si="18"/>
        <v>1</v>
      </c>
      <c r="Y50" s="674" t="str">
        <f t="shared" si="0"/>
        <v/>
      </c>
      <c r="Z50" s="677" t="str">
        <f t="shared" si="13"/>
        <v/>
      </c>
      <c r="AA50" s="665"/>
      <c r="AB50" s="674"/>
    </row>
    <row r="51" spans="1:28" ht="15">
      <c r="A51" s="672"/>
      <c r="B51" s="861" t="s">
        <v>693</v>
      </c>
      <c r="C51" s="861" t="s">
        <v>694</v>
      </c>
      <c r="D51" s="861" t="s">
        <v>371</v>
      </c>
      <c r="E51" s="861"/>
      <c r="F51" s="862">
        <v>0.23100000000000001</v>
      </c>
      <c r="G51" s="869">
        <v>0.38450835100000003</v>
      </c>
      <c r="H51" s="874">
        <v>12141440000</v>
      </c>
      <c r="I51" s="871">
        <v>86.04</v>
      </c>
      <c r="J51" s="863" t="s">
        <v>695</v>
      </c>
      <c r="K51" s="868">
        <f t="shared" si="4"/>
        <v>78</v>
      </c>
      <c r="L51" s="861"/>
      <c r="M51" s="671">
        <f t="shared" si="6"/>
        <v>49</v>
      </c>
      <c r="N51" s="671">
        <f t="shared" si="7"/>
        <v>44</v>
      </c>
      <c r="O51" s="671" t="str">
        <f t="shared" si="8"/>
        <v>N/A</v>
      </c>
      <c r="P51" s="861" t="s">
        <v>696</v>
      </c>
      <c r="Q51" s="861" t="s">
        <v>697</v>
      </c>
      <c r="R51" s="861"/>
      <c r="S51" s="861" t="s">
        <v>698</v>
      </c>
      <c r="T51" s="861" t="s">
        <v>699</v>
      </c>
      <c r="U51" s="677">
        <f t="shared" si="16"/>
        <v>0</v>
      </c>
      <c r="V51" s="674">
        <f t="shared" si="17"/>
        <v>1</v>
      </c>
      <c r="W51" s="674">
        <f t="shared" si="18"/>
        <v>1</v>
      </c>
      <c r="Y51" s="674" t="str">
        <f t="shared" si="0"/>
        <v/>
      </c>
      <c r="Z51" s="677" t="str">
        <f t="shared" si="13"/>
        <v/>
      </c>
      <c r="AA51" s="665"/>
      <c r="AB51" s="674"/>
    </row>
    <row r="52" spans="1:28" ht="15">
      <c r="A52" s="672"/>
      <c r="B52" s="861" t="s">
        <v>700</v>
      </c>
      <c r="C52" s="861" t="s">
        <v>701</v>
      </c>
      <c r="D52" s="861" t="s">
        <v>371</v>
      </c>
      <c r="E52" s="861"/>
      <c r="F52" s="862">
        <v>-0.23</v>
      </c>
      <c r="G52" s="870" t="s">
        <v>702</v>
      </c>
      <c r="H52" s="874">
        <v>12122606801.799999</v>
      </c>
      <c r="I52" s="871"/>
      <c r="J52" s="863" t="s">
        <v>703</v>
      </c>
      <c r="K52" s="868">
        <f t="shared" si="4"/>
        <v>426</v>
      </c>
      <c r="L52" s="861"/>
      <c r="M52" s="671">
        <f t="shared" si="6"/>
        <v>50</v>
      </c>
      <c r="N52" s="671" t="str">
        <f t="shared" si="7"/>
        <v>N/A</v>
      </c>
      <c r="O52" s="671" t="str">
        <f t="shared" si="8"/>
        <v>N/A</v>
      </c>
      <c r="P52" s="861"/>
      <c r="Q52" s="861"/>
      <c r="R52" s="861"/>
      <c r="S52" s="861" t="s">
        <v>424</v>
      </c>
      <c r="T52" s="861" t="s">
        <v>704</v>
      </c>
      <c r="U52" s="677">
        <f t="shared" si="16"/>
        <v>0</v>
      </c>
      <c r="V52" s="674">
        <f t="shared" si="17"/>
        <v>1</v>
      </c>
      <c r="W52" s="674" t="str">
        <f t="shared" si="18"/>
        <v>-</v>
      </c>
      <c r="Y52" s="674" t="str">
        <f t="shared" si="0"/>
        <v>Not suitable</v>
      </c>
      <c r="Z52" s="677" t="str">
        <f t="shared" si="13"/>
        <v>Y</v>
      </c>
      <c r="AA52" s="665"/>
      <c r="AB52" s="674"/>
    </row>
    <row r="53" spans="1:28" ht="15">
      <c r="A53" s="672"/>
      <c r="B53" s="861" t="s">
        <v>705</v>
      </c>
      <c r="C53" s="861" t="s">
        <v>706</v>
      </c>
      <c r="D53" s="861" t="s">
        <v>371</v>
      </c>
      <c r="E53" s="861"/>
      <c r="F53" s="862">
        <v>-0.16300000000000001</v>
      </c>
      <c r="G53" s="870" t="s">
        <v>707</v>
      </c>
      <c r="H53" s="874">
        <v>11629883663.75</v>
      </c>
      <c r="I53" s="871">
        <v>1.8</v>
      </c>
      <c r="J53" s="862">
        <v>0.20899999999999999</v>
      </c>
      <c r="K53" s="868">
        <f t="shared" si="4"/>
        <v>402</v>
      </c>
      <c r="L53" s="861" t="s">
        <v>708</v>
      </c>
      <c r="M53" s="671">
        <f t="shared" si="6"/>
        <v>51</v>
      </c>
      <c r="N53" s="671">
        <f t="shared" si="7"/>
        <v>297</v>
      </c>
      <c r="O53" s="671">
        <f t="shared" si="8"/>
        <v>240</v>
      </c>
      <c r="P53" s="861" t="s">
        <v>709</v>
      </c>
      <c r="Q53" s="861" t="s">
        <v>710</v>
      </c>
      <c r="R53" s="861" t="s">
        <v>672</v>
      </c>
      <c r="S53" s="861" t="s">
        <v>711</v>
      </c>
      <c r="T53" s="861" t="s">
        <v>712</v>
      </c>
      <c r="U53" s="677">
        <f t="shared" si="16"/>
        <v>0</v>
      </c>
      <c r="V53" s="674">
        <f t="shared" si="17"/>
        <v>1</v>
      </c>
      <c r="W53" s="674">
        <f t="shared" si="18"/>
        <v>1</v>
      </c>
      <c r="Y53" s="674" t="str">
        <f t="shared" si="0"/>
        <v/>
      </c>
      <c r="Z53" s="677" t="str">
        <f t="shared" si="13"/>
        <v/>
      </c>
      <c r="AA53" s="665"/>
      <c r="AB53" s="674"/>
    </row>
    <row r="54" spans="1:28" ht="15">
      <c r="A54" s="672"/>
      <c r="B54" s="861" t="s">
        <v>713</v>
      </c>
      <c r="C54" s="861" t="s">
        <v>714</v>
      </c>
      <c r="D54" s="861" t="s">
        <v>371</v>
      </c>
      <c r="E54" s="861"/>
      <c r="F54" s="862">
        <v>0.16500000000000001</v>
      </c>
      <c r="G54" s="869">
        <v>3.2604032599999999</v>
      </c>
      <c r="H54" s="874">
        <v>11277175842.24</v>
      </c>
      <c r="I54" s="871"/>
      <c r="J54" s="863" t="s">
        <v>715</v>
      </c>
      <c r="K54" s="868">
        <f t="shared" si="4"/>
        <v>124</v>
      </c>
      <c r="L54" s="861" t="s">
        <v>533</v>
      </c>
      <c r="M54" s="671">
        <f t="shared" si="6"/>
        <v>52</v>
      </c>
      <c r="N54" s="671" t="str">
        <f t="shared" si="7"/>
        <v>N/A</v>
      </c>
      <c r="O54" s="671" t="str">
        <f t="shared" si="8"/>
        <v>N/A</v>
      </c>
      <c r="P54" s="861" t="s">
        <v>716</v>
      </c>
      <c r="Q54" s="861" t="s">
        <v>717</v>
      </c>
      <c r="R54" s="861" t="s">
        <v>718</v>
      </c>
      <c r="S54" s="861" t="s">
        <v>719</v>
      </c>
      <c r="T54" s="861" t="s">
        <v>720</v>
      </c>
      <c r="U54" s="677">
        <f t="shared" si="16"/>
        <v>0</v>
      </c>
      <c r="V54" s="674">
        <f t="shared" si="17"/>
        <v>1</v>
      </c>
      <c r="W54" s="674" t="str">
        <f t="shared" si="18"/>
        <v>-</v>
      </c>
      <c r="Y54" s="674" t="str">
        <f t="shared" si="0"/>
        <v>Not suitable</v>
      </c>
      <c r="Z54" s="677" t="str">
        <f t="shared" si="13"/>
        <v>Y</v>
      </c>
      <c r="AA54" s="665"/>
      <c r="AB54" s="674"/>
    </row>
    <row r="55" spans="1:28" ht="15">
      <c r="A55" s="672"/>
      <c r="B55" s="861" t="s">
        <v>721</v>
      </c>
      <c r="C55" s="861" t="s">
        <v>722</v>
      </c>
      <c r="D55" s="861" t="s">
        <v>371</v>
      </c>
      <c r="E55" s="861"/>
      <c r="F55" s="862">
        <v>6.2E-2</v>
      </c>
      <c r="G55" s="870" t="s">
        <v>723</v>
      </c>
      <c r="H55" s="874">
        <v>11157869847.9</v>
      </c>
      <c r="I55" s="871">
        <v>14.3</v>
      </c>
      <c r="J55" s="862">
        <v>0.34100000000000003</v>
      </c>
      <c r="K55" s="868">
        <f t="shared" si="4"/>
        <v>239</v>
      </c>
      <c r="L55" s="861"/>
      <c r="M55" s="671">
        <f t="shared" si="6"/>
        <v>53</v>
      </c>
      <c r="N55" s="671">
        <f t="shared" si="7"/>
        <v>198</v>
      </c>
      <c r="O55" s="671">
        <f t="shared" si="8"/>
        <v>83</v>
      </c>
      <c r="P55" s="861"/>
      <c r="Q55" s="861"/>
      <c r="R55" s="861"/>
      <c r="S55" s="861" t="s">
        <v>424</v>
      </c>
      <c r="T55" s="861" t="s">
        <v>724</v>
      </c>
      <c r="U55" s="677">
        <f t="shared" si="16"/>
        <v>0</v>
      </c>
      <c r="V55" s="674">
        <f t="shared" si="17"/>
        <v>1</v>
      </c>
      <c r="W55" s="674">
        <f t="shared" si="18"/>
        <v>1</v>
      </c>
      <c r="Y55" s="674" t="str">
        <f t="shared" si="0"/>
        <v/>
      </c>
      <c r="Z55" s="677" t="str">
        <f t="shared" si="13"/>
        <v/>
      </c>
      <c r="AA55" s="665"/>
      <c r="AB55" s="674"/>
    </row>
    <row r="56" spans="1:28" ht="15">
      <c r="A56" s="672"/>
      <c r="B56" s="861" t="s">
        <v>725</v>
      </c>
      <c r="C56" s="861" t="s">
        <v>726</v>
      </c>
      <c r="D56" s="861" t="s">
        <v>371</v>
      </c>
      <c r="E56" s="861"/>
      <c r="F56" s="862">
        <v>0.34399999999999997</v>
      </c>
      <c r="G56" s="869">
        <v>7.6582013000000004E-2</v>
      </c>
      <c r="H56" s="874">
        <v>10805463281.450001</v>
      </c>
      <c r="I56" s="872" t="s">
        <v>727</v>
      </c>
      <c r="J56" s="862">
        <v>0.30399999999999999</v>
      </c>
      <c r="K56" s="868">
        <f t="shared" si="4"/>
        <v>40</v>
      </c>
      <c r="L56" s="861"/>
      <c r="M56" s="671">
        <f t="shared" si="6"/>
        <v>54</v>
      </c>
      <c r="N56" s="671" t="str">
        <f t="shared" si="7"/>
        <v>N/A</v>
      </c>
      <c r="O56" s="671">
        <f t="shared" si="8"/>
        <v>125</v>
      </c>
      <c r="P56" s="861"/>
      <c r="Q56" s="861"/>
      <c r="R56" s="861"/>
      <c r="S56" s="861" t="s">
        <v>424</v>
      </c>
      <c r="T56" s="861" t="s">
        <v>728</v>
      </c>
      <c r="U56" s="677">
        <f t="shared" si="16"/>
        <v>0</v>
      </c>
      <c r="V56" s="674">
        <f t="shared" si="17"/>
        <v>1</v>
      </c>
      <c r="W56" s="674" t="str">
        <f t="shared" si="18"/>
        <v>-</v>
      </c>
      <c r="Y56" s="674" t="str">
        <f t="shared" si="0"/>
        <v>Not suitable</v>
      </c>
      <c r="Z56" s="677" t="str">
        <f t="shared" si="13"/>
        <v>Y</v>
      </c>
      <c r="AA56" s="665"/>
      <c r="AB56" s="674"/>
    </row>
    <row r="57" spans="1:28" ht="15">
      <c r="A57" s="672"/>
      <c r="B57" s="861" t="s">
        <v>729</v>
      </c>
      <c r="C57" s="861" t="s">
        <v>730</v>
      </c>
      <c r="D57" s="861" t="s">
        <v>371</v>
      </c>
      <c r="E57" s="861"/>
      <c r="F57" s="862">
        <v>0.221</v>
      </c>
      <c r="G57" s="869">
        <v>12.975000400000001</v>
      </c>
      <c r="H57" s="874">
        <v>10368394800.51</v>
      </c>
      <c r="I57" s="871">
        <v>25.28</v>
      </c>
      <c r="J57" s="862">
        <v>0.152</v>
      </c>
      <c r="K57" s="868">
        <f t="shared" si="4"/>
        <v>86</v>
      </c>
      <c r="L57" s="861"/>
      <c r="M57" s="671">
        <f t="shared" si="6"/>
        <v>55</v>
      </c>
      <c r="N57" s="671">
        <f t="shared" si="7"/>
        <v>159</v>
      </c>
      <c r="O57" s="671">
        <f t="shared" si="8"/>
        <v>333</v>
      </c>
      <c r="P57" s="861"/>
      <c r="Q57" s="861"/>
      <c r="R57" s="861"/>
      <c r="S57" s="861" t="s">
        <v>404</v>
      </c>
      <c r="T57" s="861" t="s">
        <v>731</v>
      </c>
      <c r="U57" s="677">
        <f t="shared" si="16"/>
        <v>0</v>
      </c>
      <c r="V57" s="674">
        <f t="shared" si="17"/>
        <v>1</v>
      </c>
      <c r="W57" s="674">
        <f t="shared" si="18"/>
        <v>1</v>
      </c>
      <c r="Y57" s="674" t="str">
        <f t="shared" si="0"/>
        <v/>
      </c>
      <c r="Z57" s="677" t="str">
        <f t="shared" si="13"/>
        <v/>
      </c>
      <c r="AA57" s="665"/>
      <c r="AB57" s="674"/>
    </row>
    <row r="58" spans="1:28" ht="15">
      <c r="A58" s="672"/>
      <c r="B58" s="861" t="s">
        <v>732</v>
      </c>
      <c r="C58" s="861" t="s">
        <v>733</v>
      </c>
      <c r="D58" s="861" t="s">
        <v>371</v>
      </c>
      <c r="E58" s="861"/>
      <c r="F58" s="862">
        <v>5.6000000000000001E-2</v>
      </c>
      <c r="G58" s="869">
        <v>95.40625</v>
      </c>
      <c r="H58" s="874">
        <v>10359525924.58</v>
      </c>
      <c r="I58" s="871"/>
      <c r="J58" s="862">
        <v>0.251</v>
      </c>
      <c r="K58" s="868">
        <f t="shared" si="4"/>
        <v>250</v>
      </c>
      <c r="L58" s="861"/>
      <c r="M58" s="671">
        <f t="shared" si="6"/>
        <v>56</v>
      </c>
      <c r="N58" s="671" t="str">
        <f t="shared" si="7"/>
        <v>N/A</v>
      </c>
      <c r="O58" s="671">
        <f t="shared" si="8"/>
        <v>178</v>
      </c>
      <c r="P58" s="861"/>
      <c r="Q58" s="861"/>
      <c r="R58" s="861"/>
      <c r="S58" s="861" t="s">
        <v>734</v>
      </c>
      <c r="T58" s="861" t="s">
        <v>735</v>
      </c>
      <c r="U58" s="677">
        <f t="shared" si="16"/>
        <v>0</v>
      </c>
      <c r="V58" s="674">
        <f t="shared" si="17"/>
        <v>1</v>
      </c>
      <c r="W58" s="674" t="str">
        <f t="shared" si="18"/>
        <v>-</v>
      </c>
      <c r="Y58" s="674" t="str">
        <f t="shared" si="0"/>
        <v>Not suitable</v>
      </c>
      <c r="Z58" s="677" t="str">
        <f t="shared" si="13"/>
        <v>Y</v>
      </c>
      <c r="AA58" s="665"/>
      <c r="AB58" s="674"/>
    </row>
    <row r="59" spans="1:28" ht="15">
      <c r="A59" s="672"/>
      <c r="B59" s="861" t="s">
        <v>736</v>
      </c>
      <c r="C59" s="861" t="s">
        <v>737</v>
      </c>
      <c r="D59" s="861" t="s">
        <v>371</v>
      </c>
      <c r="E59" s="861"/>
      <c r="F59" s="862">
        <v>2.9000000000000001E-2</v>
      </c>
      <c r="G59" s="869">
        <v>11.716269540000001</v>
      </c>
      <c r="H59" s="874">
        <v>10053952081.969999</v>
      </c>
      <c r="I59" s="872" t="s">
        <v>738</v>
      </c>
      <c r="J59" s="862">
        <v>0.33400000000000002</v>
      </c>
      <c r="K59" s="868">
        <f t="shared" si="4"/>
        <v>284</v>
      </c>
      <c r="L59" s="861"/>
      <c r="M59" s="671">
        <f t="shared" si="6"/>
        <v>57</v>
      </c>
      <c r="N59" s="671" t="str">
        <f t="shared" si="7"/>
        <v>N/A</v>
      </c>
      <c r="O59" s="671">
        <f t="shared" si="8"/>
        <v>92</v>
      </c>
      <c r="P59" s="861"/>
      <c r="Q59" s="861"/>
      <c r="R59" s="861"/>
      <c r="S59" s="861" t="s">
        <v>734</v>
      </c>
      <c r="T59" s="861" t="s">
        <v>739</v>
      </c>
      <c r="U59" s="677">
        <f t="shared" si="16"/>
        <v>0</v>
      </c>
      <c r="V59" s="674">
        <f t="shared" si="17"/>
        <v>1</v>
      </c>
      <c r="W59" s="674" t="str">
        <f t="shared" si="18"/>
        <v>-</v>
      </c>
      <c r="Y59" s="674" t="str">
        <f t="shared" si="0"/>
        <v>Not suitable</v>
      </c>
      <c r="Z59" s="677" t="str">
        <f t="shared" si="13"/>
        <v>Y</v>
      </c>
      <c r="AA59" s="665"/>
      <c r="AB59" s="674"/>
    </row>
    <row r="60" spans="1:28" ht="15">
      <c r="A60" s="672"/>
      <c r="B60" s="861" t="s">
        <v>740</v>
      </c>
      <c r="C60" s="861" t="s">
        <v>741</v>
      </c>
      <c r="D60" s="861" t="s">
        <v>371</v>
      </c>
      <c r="E60" s="861"/>
      <c r="F60" s="862">
        <v>0.37</v>
      </c>
      <c r="G60" s="869">
        <v>0</v>
      </c>
      <c r="H60" s="874">
        <v>9640049042.6399994</v>
      </c>
      <c r="I60" s="871">
        <v>15.08</v>
      </c>
      <c r="J60" s="862">
        <v>5.6000000000000001E-2</v>
      </c>
      <c r="K60" s="868">
        <f t="shared" si="4"/>
        <v>35</v>
      </c>
      <c r="L60" s="861"/>
      <c r="M60" s="671">
        <f t="shared" si="6"/>
        <v>58</v>
      </c>
      <c r="N60" s="671">
        <f t="shared" si="7"/>
        <v>197</v>
      </c>
      <c r="O60" s="671">
        <f t="shared" si="8"/>
        <v>591</v>
      </c>
      <c r="P60" s="861"/>
      <c r="Q60" s="861"/>
      <c r="R60" s="861"/>
      <c r="S60" s="861" t="s">
        <v>454</v>
      </c>
      <c r="T60" s="861" t="s">
        <v>742</v>
      </c>
      <c r="U60" s="677">
        <f t="shared" si="16"/>
        <v>0</v>
      </c>
      <c r="V60" s="674">
        <f t="shared" si="17"/>
        <v>1</v>
      </c>
      <c r="W60" s="674">
        <f t="shared" si="18"/>
        <v>1</v>
      </c>
      <c r="Y60" s="674" t="str">
        <f t="shared" si="0"/>
        <v/>
      </c>
      <c r="Z60" s="677" t="str">
        <f t="shared" si="13"/>
        <v/>
      </c>
      <c r="AA60" s="665"/>
      <c r="AB60" s="674"/>
    </row>
    <row r="61" spans="1:28" ht="15">
      <c r="A61" s="672"/>
      <c r="B61" s="861" t="s">
        <v>743</v>
      </c>
      <c r="C61" s="861" t="s">
        <v>744</v>
      </c>
      <c r="D61" s="861" t="s">
        <v>371</v>
      </c>
      <c r="E61" s="861"/>
      <c r="F61" s="862">
        <v>0.93799999999999994</v>
      </c>
      <c r="G61" s="870" t="s">
        <v>745</v>
      </c>
      <c r="H61" s="874">
        <v>9583566508.8199997</v>
      </c>
      <c r="I61" s="871">
        <v>4.1399999999999997</v>
      </c>
      <c r="J61" s="862">
        <v>0.29199999999999998</v>
      </c>
      <c r="K61" s="868">
        <f t="shared" si="4"/>
        <v>10</v>
      </c>
      <c r="L61" s="861"/>
      <c r="M61" s="671">
        <f t="shared" si="6"/>
        <v>59</v>
      </c>
      <c r="N61" s="671">
        <f t="shared" si="7"/>
        <v>278</v>
      </c>
      <c r="O61" s="671">
        <f t="shared" si="8"/>
        <v>135</v>
      </c>
      <c r="P61" s="861" t="s">
        <v>746</v>
      </c>
      <c r="Q61" s="861" t="s">
        <v>747</v>
      </c>
      <c r="R61" s="861"/>
      <c r="S61" s="861" t="s">
        <v>748</v>
      </c>
      <c r="T61" s="861" t="s">
        <v>749</v>
      </c>
      <c r="U61" s="677">
        <f t="shared" si="16"/>
        <v>0</v>
      </c>
      <c r="V61" s="674">
        <f t="shared" si="17"/>
        <v>1</v>
      </c>
      <c r="W61" s="674">
        <f t="shared" si="18"/>
        <v>1</v>
      </c>
      <c r="Y61" s="674" t="str">
        <f t="shared" si="0"/>
        <v/>
      </c>
      <c r="Z61" s="364" t="str">
        <f t="shared" si="13"/>
        <v/>
      </c>
      <c r="AA61" s="665"/>
      <c r="AB61" s="677"/>
    </row>
    <row r="62" spans="1:28" ht="15">
      <c r="A62" s="672"/>
      <c r="B62" s="861" t="s">
        <v>750</v>
      </c>
      <c r="C62" s="861" t="s">
        <v>751</v>
      </c>
      <c r="D62" s="861" t="s">
        <v>371</v>
      </c>
      <c r="E62" s="861"/>
      <c r="F62" s="862">
        <v>0.61499999999999999</v>
      </c>
      <c r="G62" s="869">
        <v>0.75315027999999995</v>
      </c>
      <c r="H62" s="874">
        <v>9577507126</v>
      </c>
      <c r="I62" s="871">
        <v>9.26</v>
      </c>
      <c r="J62" s="862">
        <v>0.21199999999999999</v>
      </c>
      <c r="K62" s="868">
        <f t="shared" si="4"/>
        <v>13</v>
      </c>
      <c r="L62" s="861" t="s">
        <v>752</v>
      </c>
      <c r="M62" s="671">
        <f t="shared" si="6"/>
        <v>60</v>
      </c>
      <c r="N62" s="671">
        <f t="shared" si="7"/>
        <v>233</v>
      </c>
      <c r="O62" s="671">
        <f t="shared" si="8"/>
        <v>234</v>
      </c>
      <c r="P62" s="861" t="s">
        <v>753</v>
      </c>
      <c r="Q62" s="861" t="s">
        <v>754</v>
      </c>
      <c r="R62" s="861" t="s">
        <v>755</v>
      </c>
      <c r="S62" s="861" t="s">
        <v>756</v>
      </c>
      <c r="T62" s="861" t="s">
        <v>757</v>
      </c>
      <c r="U62" s="677">
        <f t="shared" si="16"/>
        <v>0</v>
      </c>
      <c r="V62" s="674">
        <f t="shared" si="17"/>
        <v>1</v>
      </c>
      <c r="W62" s="674">
        <f t="shared" si="18"/>
        <v>1</v>
      </c>
      <c r="Y62" s="674" t="str">
        <f t="shared" si="0"/>
        <v/>
      </c>
      <c r="Z62" s="677" t="str">
        <f t="shared" si="13"/>
        <v/>
      </c>
      <c r="AA62" s="674"/>
      <c r="AB62" s="674"/>
    </row>
    <row r="63" spans="1:28" ht="15">
      <c r="A63" s="672"/>
      <c r="B63" s="861" t="s">
        <v>758</v>
      </c>
      <c r="C63" s="861" t="s">
        <v>759</v>
      </c>
      <c r="D63" s="861" t="s">
        <v>371</v>
      </c>
      <c r="E63" s="861"/>
      <c r="F63" s="862">
        <v>-1.258</v>
      </c>
      <c r="G63" s="869">
        <v>4.5849636670000002</v>
      </c>
      <c r="H63" s="874">
        <v>9197199000</v>
      </c>
      <c r="I63" s="871">
        <v>31.72</v>
      </c>
      <c r="J63" s="863" t="s">
        <v>760</v>
      </c>
      <c r="K63" s="868">
        <f t="shared" si="4"/>
        <v>494</v>
      </c>
      <c r="L63" s="861"/>
      <c r="M63" s="671">
        <f t="shared" si="6"/>
        <v>61</v>
      </c>
      <c r="N63" s="671">
        <f t="shared" si="7"/>
        <v>137</v>
      </c>
      <c r="O63" s="671" t="str">
        <f t="shared" si="8"/>
        <v>N/A</v>
      </c>
      <c r="P63" s="861" t="s">
        <v>761</v>
      </c>
      <c r="Q63" s="861" t="s">
        <v>762</v>
      </c>
      <c r="R63" s="861"/>
      <c r="S63" s="861" t="s">
        <v>763</v>
      </c>
      <c r="T63" s="861" t="s">
        <v>764</v>
      </c>
      <c r="U63" s="677">
        <f t="shared" si="16"/>
        <v>0</v>
      </c>
      <c r="V63" s="674">
        <f t="shared" si="17"/>
        <v>1</v>
      </c>
      <c r="W63" s="674">
        <f t="shared" si="18"/>
        <v>1</v>
      </c>
      <c r="Y63" s="674" t="str">
        <f t="shared" si="0"/>
        <v/>
      </c>
      <c r="Z63" s="677" t="str">
        <f t="shared" si="13"/>
        <v/>
      </c>
      <c r="AA63" s="674"/>
      <c r="AB63" s="674"/>
    </row>
    <row r="64" spans="1:28" ht="15">
      <c r="A64" s="672"/>
      <c r="B64" s="861" t="s">
        <v>765</v>
      </c>
      <c r="C64" s="861" t="s">
        <v>766</v>
      </c>
      <c r="D64" s="861" t="s">
        <v>371</v>
      </c>
      <c r="E64" s="861"/>
      <c r="F64" s="862">
        <v>-8.7999999999999995E-2</v>
      </c>
      <c r="G64" s="869">
        <v>0</v>
      </c>
      <c r="H64" s="874">
        <v>9187158797.0300007</v>
      </c>
      <c r="I64" s="871">
        <v>35.26</v>
      </c>
      <c r="J64" s="863" t="s">
        <v>767</v>
      </c>
      <c r="K64" s="868">
        <f t="shared" si="4"/>
        <v>373</v>
      </c>
      <c r="L64" s="861" t="s">
        <v>768</v>
      </c>
      <c r="M64" s="671">
        <f t="shared" si="6"/>
        <v>62</v>
      </c>
      <c r="N64" s="671">
        <f t="shared" si="7"/>
        <v>125</v>
      </c>
      <c r="O64" s="671" t="str">
        <f t="shared" si="8"/>
        <v>N/A</v>
      </c>
      <c r="P64" s="861" t="s">
        <v>769</v>
      </c>
      <c r="Q64" s="861" t="s">
        <v>770</v>
      </c>
      <c r="R64" s="861" t="s">
        <v>771</v>
      </c>
      <c r="S64" s="861" t="s">
        <v>772</v>
      </c>
      <c r="T64" s="861" t="s">
        <v>773</v>
      </c>
      <c r="U64" s="677">
        <f t="shared" si="16"/>
        <v>0</v>
      </c>
      <c r="V64" s="674">
        <f t="shared" si="17"/>
        <v>1</v>
      </c>
      <c r="W64" s="674">
        <f t="shared" si="18"/>
        <v>1</v>
      </c>
      <c r="Y64" s="674" t="str">
        <f t="shared" si="0"/>
        <v/>
      </c>
      <c r="Z64" s="677" t="str">
        <f t="shared" si="13"/>
        <v/>
      </c>
      <c r="AA64" s="674"/>
      <c r="AB64" s="674"/>
    </row>
    <row r="65" spans="1:28" ht="15">
      <c r="A65" s="672"/>
      <c r="B65" s="861" t="s">
        <v>774</v>
      </c>
      <c r="C65" s="861" t="s">
        <v>775</v>
      </c>
      <c r="D65" s="861" t="s">
        <v>371</v>
      </c>
      <c r="E65" s="861"/>
      <c r="F65" s="862">
        <v>-0.23400000000000001</v>
      </c>
      <c r="G65" s="870" t="s">
        <v>776</v>
      </c>
      <c r="H65" s="874">
        <v>8986039165.2999992</v>
      </c>
      <c r="I65" s="871">
        <v>3.01</v>
      </c>
      <c r="J65" s="862">
        <v>0.42899999999999999</v>
      </c>
      <c r="K65" s="868">
        <f t="shared" si="4"/>
        <v>427</v>
      </c>
      <c r="L65" s="861"/>
      <c r="M65" s="671">
        <f t="shared" si="6"/>
        <v>63</v>
      </c>
      <c r="N65" s="671">
        <f t="shared" si="7"/>
        <v>288</v>
      </c>
      <c r="O65" s="671">
        <f t="shared" si="8"/>
        <v>47</v>
      </c>
      <c r="P65" s="861" t="s">
        <v>777</v>
      </c>
      <c r="Q65" s="861"/>
      <c r="R65" s="861"/>
      <c r="S65" s="861" t="s">
        <v>424</v>
      </c>
      <c r="T65" s="861" t="s">
        <v>778</v>
      </c>
      <c r="U65" s="677">
        <f t="shared" si="16"/>
        <v>0</v>
      </c>
      <c r="V65" s="674">
        <f t="shared" si="17"/>
        <v>1</v>
      </c>
      <c r="W65" s="674">
        <f t="shared" si="18"/>
        <v>1</v>
      </c>
      <c r="Y65" s="674" t="str">
        <f t="shared" si="0"/>
        <v/>
      </c>
      <c r="Z65" s="677" t="str">
        <f t="shared" si="13"/>
        <v/>
      </c>
      <c r="AA65" s="674"/>
      <c r="AB65" s="674"/>
    </row>
    <row r="66" spans="1:28" ht="15">
      <c r="A66" s="672"/>
      <c r="B66" s="861" t="s">
        <v>779</v>
      </c>
      <c r="C66" s="861" t="s">
        <v>780</v>
      </c>
      <c r="D66" s="861" t="s">
        <v>371</v>
      </c>
      <c r="E66" s="861"/>
      <c r="F66" s="862">
        <v>0.23899999999999999</v>
      </c>
      <c r="G66" s="869">
        <v>0.231323309</v>
      </c>
      <c r="H66" s="874">
        <v>8624276306.3199997</v>
      </c>
      <c r="I66" s="871">
        <v>20.64</v>
      </c>
      <c r="J66" s="862">
        <v>0.19900000000000001</v>
      </c>
      <c r="K66" s="868">
        <f t="shared" si="4"/>
        <v>74</v>
      </c>
      <c r="L66" s="861" t="s">
        <v>781</v>
      </c>
      <c r="M66" s="671">
        <f t="shared" si="6"/>
        <v>64</v>
      </c>
      <c r="N66" s="671">
        <f t="shared" si="7"/>
        <v>174</v>
      </c>
      <c r="O66" s="671">
        <f t="shared" si="8"/>
        <v>254</v>
      </c>
      <c r="P66" s="861" t="s">
        <v>782</v>
      </c>
      <c r="Q66" s="861" t="s">
        <v>783</v>
      </c>
      <c r="R66" s="861" t="s">
        <v>784</v>
      </c>
      <c r="S66" s="861" t="s">
        <v>785</v>
      </c>
      <c r="T66" s="861" t="s">
        <v>786</v>
      </c>
      <c r="U66" s="677">
        <f t="shared" si="16"/>
        <v>0</v>
      </c>
      <c r="V66" s="674">
        <f t="shared" si="17"/>
        <v>1</v>
      </c>
      <c r="W66" s="674">
        <f t="shared" si="18"/>
        <v>1</v>
      </c>
      <c r="Y66" s="674" t="str">
        <f t="shared" si="0"/>
        <v/>
      </c>
      <c r="Z66" s="677" t="str">
        <f t="shared" si="13"/>
        <v/>
      </c>
      <c r="AA66" s="674"/>
      <c r="AB66" s="674"/>
    </row>
    <row r="67" spans="1:28" ht="15">
      <c r="A67" s="672"/>
      <c r="B67" s="861" t="s">
        <v>787</v>
      </c>
      <c r="C67" s="861" t="s">
        <v>788</v>
      </c>
      <c r="D67" s="861" t="s">
        <v>371</v>
      </c>
      <c r="E67" s="861"/>
      <c r="F67" s="862">
        <v>0.40100000000000002</v>
      </c>
      <c r="G67" s="869">
        <v>0</v>
      </c>
      <c r="H67" s="874">
        <v>8436960982.6599998</v>
      </c>
      <c r="I67" s="871"/>
      <c r="J67" s="863" t="s">
        <v>789</v>
      </c>
      <c r="K67" s="868">
        <f t="shared" si="4"/>
        <v>28</v>
      </c>
      <c r="L67" s="861" t="s">
        <v>790</v>
      </c>
      <c r="M67" s="671">
        <f t="shared" si="6"/>
        <v>65</v>
      </c>
      <c r="N67" s="671" t="str">
        <f t="shared" si="7"/>
        <v>N/A</v>
      </c>
      <c r="O67" s="671" t="str">
        <f t="shared" si="8"/>
        <v>N/A</v>
      </c>
      <c r="P67" s="861" t="s">
        <v>791</v>
      </c>
      <c r="Q67" s="861" t="s">
        <v>792</v>
      </c>
      <c r="R67" s="861" t="s">
        <v>793</v>
      </c>
      <c r="S67" s="861" t="s">
        <v>794</v>
      </c>
      <c r="T67" s="861" t="s">
        <v>795</v>
      </c>
      <c r="U67" s="677">
        <f t="shared" si="16"/>
        <v>0</v>
      </c>
      <c r="V67" s="674">
        <f t="shared" si="17"/>
        <v>1</v>
      </c>
      <c r="W67" s="674" t="str">
        <f t="shared" si="18"/>
        <v>-</v>
      </c>
      <c r="Y67" s="674" t="str">
        <f t="shared" ref="Y67:Y100" si="19">IF(OR(Z67="Y",AA67="Y"),"Not suitable","")</f>
        <v>Not suitable</v>
      </c>
      <c r="Z67" s="677" t="str">
        <f t="shared" si="13"/>
        <v>Y</v>
      </c>
      <c r="AA67" s="674"/>
      <c r="AB67" s="674"/>
    </row>
    <row r="68" spans="1:28" ht="15">
      <c r="A68" s="672"/>
      <c r="B68" s="861" t="s">
        <v>796</v>
      </c>
      <c r="C68" s="861" t="s">
        <v>797</v>
      </c>
      <c r="D68" s="861" t="s">
        <v>371</v>
      </c>
      <c r="E68" s="861"/>
      <c r="F68" s="862">
        <v>-2.5000000000000001E-2</v>
      </c>
      <c r="G68" s="870" t="s">
        <v>798</v>
      </c>
      <c r="H68" s="874">
        <v>8404147025.9200001</v>
      </c>
      <c r="I68" s="871"/>
      <c r="J68" s="863" t="s">
        <v>799</v>
      </c>
      <c r="K68" s="868">
        <f t="shared" ref="K68:K131" si="20">IFERROR(_xlfn.RANK.EQ(F68,F$3:F$1770),"N/A")</f>
        <v>330</v>
      </c>
      <c r="L68" s="861" t="s">
        <v>800</v>
      </c>
      <c r="M68" s="671">
        <f t="shared" ref="M68:M131" si="21">IFERROR(_xlfn.RANK.EQ(H68,H$3:H$1770),"N/A")</f>
        <v>66</v>
      </c>
      <c r="N68" s="671" t="str">
        <f t="shared" ref="N68:N131" si="22">IFERROR(_xlfn.RANK.EQ(I68,I$3:I$1770),"N/A")</f>
        <v>N/A</v>
      </c>
      <c r="O68" s="671" t="str">
        <f t="shared" ref="O68:O131" si="23">IFERROR(_xlfn.RANK.EQ(J68,J$3:J$1770),"N/A")</f>
        <v>N/A</v>
      </c>
      <c r="P68" s="861" t="s">
        <v>801</v>
      </c>
      <c r="Q68" s="861" t="s">
        <v>802</v>
      </c>
      <c r="R68" s="861" t="s">
        <v>803</v>
      </c>
      <c r="S68" s="861" t="s">
        <v>804</v>
      </c>
      <c r="T68" s="861" t="s">
        <v>805</v>
      </c>
      <c r="U68" s="677">
        <f t="shared" ref="U68:U99" si="24">SUM(P68:T68)</f>
        <v>0</v>
      </c>
      <c r="V68" s="674">
        <f t="shared" ref="V68:V99" si="25">_xlfn.RANK.EQ(U68,$U$4:$U$61,1)</f>
        <v>1</v>
      </c>
      <c r="W68" s="674" t="str">
        <f t="shared" si="18"/>
        <v>-</v>
      </c>
      <c r="Y68" s="674" t="str">
        <f t="shared" si="19"/>
        <v>Not suitable</v>
      </c>
      <c r="Z68" s="677" t="str">
        <f t="shared" si="13"/>
        <v>Y</v>
      </c>
      <c r="AA68" s="674"/>
      <c r="AB68" s="674"/>
    </row>
    <row r="69" spans="1:28" ht="15">
      <c r="A69" s="672"/>
      <c r="B69" s="861" t="s">
        <v>806</v>
      </c>
      <c r="C69" s="861" t="s">
        <v>807</v>
      </c>
      <c r="D69" s="861" t="s">
        <v>371</v>
      </c>
      <c r="E69" s="861"/>
      <c r="F69" s="862">
        <v>-0.193</v>
      </c>
      <c r="G69" s="869">
        <v>0</v>
      </c>
      <c r="H69" s="874">
        <v>8400047027.8199997</v>
      </c>
      <c r="I69" s="871">
        <v>25.86</v>
      </c>
      <c r="J69" s="863" t="s">
        <v>808</v>
      </c>
      <c r="K69" s="868">
        <f t="shared" si="20"/>
        <v>411</v>
      </c>
      <c r="L69" s="861" t="s">
        <v>809</v>
      </c>
      <c r="M69" s="671">
        <f t="shared" si="21"/>
        <v>67</v>
      </c>
      <c r="N69" s="671">
        <f t="shared" si="22"/>
        <v>155</v>
      </c>
      <c r="O69" s="671" t="str">
        <f t="shared" si="23"/>
        <v>N/A</v>
      </c>
      <c r="P69" s="861" t="s">
        <v>810</v>
      </c>
      <c r="Q69" s="861" t="s">
        <v>811</v>
      </c>
      <c r="R69" s="861" t="s">
        <v>812</v>
      </c>
      <c r="S69" s="861" t="s">
        <v>813</v>
      </c>
      <c r="T69" s="861" t="s">
        <v>814</v>
      </c>
      <c r="U69" s="677">
        <f t="shared" si="24"/>
        <v>0</v>
      </c>
      <c r="V69" s="674">
        <f t="shared" si="25"/>
        <v>1</v>
      </c>
      <c r="W69" s="674">
        <f t="shared" ref="W69:W100" si="26">IF(Y69="Not suitable","-",V69)</f>
        <v>1</v>
      </c>
      <c r="Y69" s="674" t="str">
        <f t="shared" si="19"/>
        <v/>
      </c>
      <c r="Z69" s="677" t="str">
        <f t="shared" si="13"/>
        <v/>
      </c>
      <c r="AA69" s="674"/>
      <c r="AB69" s="674"/>
    </row>
    <row r="70" spans="1:28" ht="15">
      <c r="A70" s="672"/>
      <c r="B70" s="861" t="s">
        <v>815</v>
      </c>
      <c r="C70" s="861" t="s">
        <v>816</v>
      </c>
      <c r="D70" s="861" t="s">
        <v>371</v>
      </c>
      <c r="E70" s="861"/>
      <c r="F70" s="862">
        <v>-6.0999999999999999E-2</v>
      </c>
      <c r="G70" s="870" t="s">
        <v>817</v>
      </c>
      <c r="H70" s="874">
        <v>8392863192.3599997</v>
      </c>
      <c r="I70" s="872" t="s">
        <v>818</v>
      </c>
      <c r="J70" s="862">
        <v>0.25800000000000001</v>
      </c>
      <c r="K70" s="868">
        <f t="shared" si="20"/>
        <v>351</v>
      </c>
      <c r="L70" s="861"/>
      <c r="M70" s="671">
        <f t="shared" si="21"/>
        <v>68</v>
      </c>
      <c r="N70" s="671" t="str">
        <f t="shared" si="22"/>
        <v>N/A</v>
      </c>
      <c r="O70" s="671">
        <f t="shared" si="23"/>
        <v>169</v>
      </c>
      <c r="P70" s="861" t="s">
        <v>819</v>
      </c>
      <c r="Q70" s="861" t="s">
        <v>820</v>
      </c>
      <c r="R70" s="861"/>
      <c r="S70" s="861" t="s">
        <v>525</v>
      </c>
      <c r="T70" s="861" t="s">
        <v>821</v>
      </c>
      <c r="U70" s="677">
        <f t="shared" si="24"/>
        <v>0</v>
      </c>
      <c r="V70" s="674">
        <f t="shared" si="25"/>
        <v>1</v>
      </c>
      <c r="W70" s="674" t="str">
        <f t="shared" si="26"/>
        <v>-</v>
      </c>
      <c r="Y70" s="674" t="str">
        <f t="shared" si="19"/>
        <v>Not suitable</v>
      </c>
      <c r="Z70" s="677" t="str">
        <f t="shared" ref="Z70:Z100" si="27">IF(N70="N/A","Y","")</f>
        <v>Y</v>
      </c>
      <c r="AA70" s="674"/>
      <c r="AB70" s="674"/>
    </row>
    <row r="71" spans="1:28" ht="15">
      <c r="A71" s="672"/>
      <c r="B71" s="861" t="s">
        <v>822</v>
      </c>
      <c r="C71" s="861" t="s">
        <v>823</v>
      </c>
      <c r="D71" s="861" t="s">
        <v>371</v>
      </c>
      <c r="E71" s="861"/>
      <c r="F71" s="862"/>
      <c r="G71" s="869">
        <v>0</v>
      </c>
      <c r="H71" s="874">
        <v>8232441137.1899996</v>
      </c>
      <c r="I71" s="871"/>
      <c r="J71" s="863" t="s">
        <v>824</v>
      </c>
      <c r="K71" s="868">
        <f t="shared" si="20"/>
        <v>316</v>
      </c>
      <c r="L71" s="861"/>
      <c r="M71" s="671">
        <f t="shared" si="21"/>
        <v>69</v>
      </c>
      <c r="N71" s="671" t="str">
        <f t="shared" si="22"/>
        <v>N/A</v>
      </c>
      <c r="O71" s="671" t="str">
        <f t="shared" si="23"/>
        <v>N/A</v>
      </c>
      <c r="P71" s="861" t="s">
        <v>825</v>
      </c>
      <c r="Q71" s="861" t="s">
        <v>826</v>
      </c>
      <c r="R71" s="861" t="s">
        <v>827</v>
      </c>
      <c r="S71" s="861" t="s">
        <v>828</v>
      </c>
      <c r="T71" s="861" t="s">
        <v>829</v>
      </c>
      <c r="U71" s="677">
        <f t="shared" si="24"/>
        <v>0</v>
      </c>
      <c r="V71" s="674">
        <f t="shared" si="25"/>
        <v>1</v>
      </c>
      <c r="W71" s="674" t="str">
        <f t="shared" si="26"/>
        <v>-</v>
      </c>
      <c r="Y71" s="674" t="str">
        <f t="shared" si="19"/>
        <v>Not suitable</v>
      </c>
      <c r="Z71" s="677" t="str">
        <f t="shared" si="27"/>
        <v>Y</v>
      </c>
      <c r="AA71" s="674"/>
      <c r="AB71" s="674"/>
    </row>
    <row r="72" spans="1:28" ht="15">
      <c r="A72" s="672"/>
      <c r="B72" s="861" t="s">
        <v>830</v>
      </c>
      <c r="C72" s="861" t="s">
        <v>831</v>
      </c>
      <c r="D72" s="861" t="s">
        <v>371</v>
      </c>
      <c r="E72" s="861"/>
      <c r="F72" s="862">
        <v>2.4E-2</v>
      </c>
      <c r="G72" s="869">
        <v>41.505898019999997</v>
      </c>
      <c r="H72" s="874">
        <v>8135530958.9399996</v>
      </c>
      <c r="I72" s="871">
        <v>72.91</v>
      </c>
      <c r="J72" s="863" t="s">
        <v>832</v>
      </c>
      <c r="K72" s="868">
        <f t="shared" si="20"/>
        <v>293</v>
      </c>
      <c r="L72" s="861"/>
      <c r="M72" s="671">
        <f t="shared" si="21"/>
        <v>70</v>
      </c>
      <c r="N72" s="671">
        <f t="shared" si="22"/>
        <v>52</v>
      </c>
      <c r="O72" s="671" t="str">
        <f t="shared" si="23"/>
        <v>N/A</v>
      </c>
      <c r="P72" s="861"/>
      <c r="Q72" s="861"/>
      <c r="R72" s="861"/>
      <c r="S72" s="861" t="s">
        <v>833</v>
      </c>
      <c r="T72" s="861" t="s">
        <v>834</v>
      </c>
      <c r="U72" s="677">
        <f t="shared" si="24"/>
        <v>0</v>
      </c>
      <c r="V72" s="674">
        <f t="shared" si="25"/>
        <v>1</v>
      </c>
      <c r="W72" s="674">
        <f t="shared" si="26"/>
        <v>1</v>
      </c>
      <c r="Y72" s="674" t="str">
        <f t="shared" si="19"/>
        <v/>
      </c>
      <c r="Z72" s="677" t="str">
        <f t="shared" si="27"/>
        <v/>
      </c>
      <c r="AA72" s="674"/>
      <c r="AB72" s="674"/>
    </row>
    <row r="73" spans="1:28" ht="15">
      <c r="A73" s="672"/>
      <c r="B73" s="861" t="s">
        <v>835</v>
      </c>
      <c r="C73" s="861" t="s">
        <v>836</v>
      </c>
      <c r="D73" s="861" t="s">
        <v>371</v>
      </c>
      <c r="E73" s="861"/>
      <c r="F73" s="862">
        <v>-0.251</v>
      </c>
      <c r="G73" s="869">
        <v>0</v>
      </c>
      <c r="H73" s="874">
        <v>8098829331.8999996</v>
      </c>
      <c r="I73" s="871"/>
      <c r="J73" s="863" t="s">
        <v>837</v>
      </c>
      <c r="K73" s="868">
        <f t="shared" si="20"/>
        <v>435</v>
      </c>
      <c r="L73" s="861"/>
      <c r="M73" s="671">
        <f t="shared" si="21"/>
        <v>71</v>
      </c>
      <c r="N73" s="671" t="str">
        <f t="shared" si="22"/>
        <v>N/A</v>
      </c>
      <c r="O73" s="671" t="str">
        <f t="shared" si="23"/>
        <v>N/A</v>
      </c>
      <c r="P73" s="861" t="s">
        <v>838</v>
      </c>
      <c r="Q73" s="861" t="s">
        <v>839</v>
      </c>
      <c r="R73" s="861"/>
      <c r="S73" s="861" t="s">
        <v>524</v>
      </c>
      <c r="T73" s="861" t="s">
        <v>840</v>
      </c>
      <c r="U73" s="677">
        <f t="shared" si="24"/>
        <v>0</v>
      </c>
      <c r="V73" s="674">
        <f t="shared" si="25"/>
        <v>1</v>
      </c>
      <c r="W73" s="674" t="str">
        <f t="shared" si="26"/>
        <v>-</v>
      </c>
      <c r="Y73" s="674" t="str">
        <f t="shared" si="19"/>
        <v>Not suitable</v>
      </c>
      <c r="Z73" s="677" t="str">
        <f t="shared" si="27"/>
        <v>Y</v>
      </c>
      <c r="AA73" s="674"/>
      <c r="AB73" s="674"/>
    </row>
    <row r="74" spans="1:28" ht="15">
      <c r="A74" s="672"/>
      <c r="B74" s="861" t="s">
        <v>841</v>
      </c>
      <c r="C74" s="861" t="s">
        <v>842</v>
      </c>
      <c r="D74" s="861" t="s">
        <v>371</v>
      </c>
      <c r="E74" s="861"/>
      <c r="F74" s="862">
        <v>2.1999999999999999E-2</v>
      </c>
      <c r="G74" s="870" t="s">
        <v>843</v>
      </c>
      <c r="H74" s="874">
        <v>8085090477.1199999</v>
      </c>
      <c r="I74" s="871"/>
      <c r="J74" s="862">
        <v>0.183</v>
      </c>
      <c r="K74" s="868">
        <f t="shared" si="20"/>
        <v>296</v>
      </c>
      <c r="L74" s="861" t="s">
        <v>844</v>
      </c>
      <c r="M74" s="671">
        <f t="shared" si="21"/>
        <v>72</v>
      </c>
      <c r="N74" s="671" t="str">
        <f t="shared" si="22"/>
        <v>N/A</v>
      </c>
      <c r="O74" s="671">
        <f t="shared" si="23"/>
        <v>281</v>
      </c>
      <c r="P74" s="861" t="s">
        <v>845</v>
      </c>
      <c r="Q74" s="861" t="s">
        <v>846</v>
      </c>
      <c r="R74" s="863" t="s">
        <v>847</v>
      </c>
      <c r="S74" s="861" t="s">
        <v>848</v>
      </c>
      <c r="T74" s="861" t="s">
        <v>849</v>
      </c>
      <c r="U74" s="677">
        <f t="shared" si="24"/>
        <v>0</v>
      </c>
      <c r="V74" s="674">
        <f t="shared" si="25"/>
        <v>1</v>
      </c>
      <c r="W74" s="674" t="str">
        <f t="shared" si="26"/>
        <v>-</v>
      </c>
      <c r="Y74" s="674" t="str">
        <f t="shared" si="19"/>
        <v>Not suitable</v>
      </c>
      <c r="Z74" s="677" t="str">
        <f t="shared" si="27"/>
        <v>Y</v>
      </c>
      <c r="AA74" s="674"/>
      <c r="AB74" s="674"/>
    </row>
    <row r="75" spans="1:28" ht="15">
      <c r="A75" s="672"/>
      <c r="B75" s="861" t="s">
        <v>850</v>
      </c>
      <c r="C75" s="861" t="s">
        <v>851</v>
      </c>
      <c r="D75" s="861" t="s">
        <v>371</v>
      </c>
      <c r="E75" s="861"/>
      <c r="F75" s="862">
        <v>7.2999999999999995E-2</v>
      </c>
      <c r="G75" s="869">
        <v>0.51219976</v>
      </c>
      <c r="H75" s="874">
        <v>7886627802.2700005</v>
      </c>
      <c r="I75" s="871">
        <v>59.76</v>
      </c>
      <c r="J75" s="862">
        <v>0.14799999999999999</v>
      </c>
      <c r="K75" s="868">
        <f t="shared" si="20"/>
        <v>222</v>
      </c>
      <c r="L75" s="861" t="s">
        <v>852</v>
      </c>
      <c r="M75" s="671">
        <f t="shared" si="21"/>
        <v>73</v>
      </c>
      <c r="N75" s="671">
        <f t="shared" si="22"/>
        <v>72</v>
      </c>
      <c r="O75" s="671">
        <f t="shared" si="23"/>
        <v>349</v>
      </c>
      <c r="P75" s="861" t="s">
        <v>853</v>
      </c>
      <c r="Q75" s="861" t="s">
        <v>854</v>
      </c>
      <c r="R75" s="861" t="s">
        <v>855</v>
      </c>
      <c r="S75" s="861" t="s">
        <v>856</v>
      </c>
      <c r="T75" s="861" t="s">
        <v>857</v>
      </c>
      <c r="U75" s="677">
        <f t="shared" si="24"/>
        <v>0</v>
      </c>
      <c r="V75" s="674">
        <f t="shared" si="25"/>
        <v>1</v>
      </c>
      <c r="W75" s="674">
        <f t="shared" si="26"/>
        <v>1</v>
      </c>
      <c r="Y75" s="674" t="str">
        <f t="shared" si="19"/>
        <v/>
      </c>
      <c r="Z75" s="677" t="str">
        <f t="shared" si="27"/>
        <v/>
      </c>
      <c r="AA75" s="674"/>
      <c r="AB75" s="674"/>
    </row>
    <row r="76" spans="1:28" ht="15">
      <c r="A76" s="672"/>
      <c r="B76" s="861" t="s">
        <v>858</v>
      </c>
      <c r="C76" s="861" t="s">
        <v>859</v>
      </c>
      <c r="D76" s="861" t="s">
        <v>371</v>
      </c>
      <c r="E76" s="861"/>
      <c r="F76" s="862">
        <v>0.111</v>
      </c>
      <c r="G76" s="869">
        <v>71.886497680000005</v>
      </c>
      <c r="H76" s="874">
        <v>7829959349.3999996</v>
      </c>
      <c r="I76" s="872" t="s">
        <v>860</v>
      </c>
      <c r="J76" s="862">
        <v>0.253</v>
      </c>
      <c r="K76" s="868">
        <f t="shared" si="20"/>
        <v>183</v>
      </c>
      <c r="L76" s="861"/>
      <c r="M76" s="671">
        <f t="shared" si="21"/>
        <v>74</v>
      </c>
      <c r="N76" s="671" t="str">
        <f t="shared" si="22"/>
        <v>N/A</v>
      </c>
      <c r="O76" s="671">
        <f t="shared" si="23"/>
        <v>177</v>
      </c>
      <c r="P76" s="861" t="s">
        <v>828</v>
      </c>
      <c r="Q76" s="861" t="s">
        <v>861</v>
      </c>
      <c r="R76" s="861"/>
      <c r="S76" s="861" t="s">
        <v>390</v>
      </c>
      <c r="T76" s="861" t="s">
        <v>862</v>
      </c>
      <c r="U76" s="677">
        <f t="shared" si="24"/>
        <v>0</v>
      </c>
      <c r="V76" s="674">
        <f t="shared" si="25"/>
        <v>1</v>
      </c>
      <c r="W76" s="674" t="str">
        <f t="shared" si="26"/>
        <v>-</v>
      </c>
      <c r="Y76" s="674" t="str">
        <f t="shared" si="19"/>
        <v>Not suitable</v>
      </c>
      <c r="Z76" s="677" t="str">
        <f t="shared" si="27"/>
        <v>Y</v>
      </c>
      <c r="AA76" s="674"/>
      <c r="AB76" s="674"/>
    </row>
    <row r="77" spans="1:28" ht="15">
      <c r="A77" s="672"/>
      <c r="B77" s="861" t="s">
        <v>863</v>
      </c>
      <c r="C77" s="861" t="s">
        <v>864</v>
      </c>
      <c r="D77" s="861" t="s">
        <v>371</v>
      </c>
      <c r="E77" s="861"/>
      <c r="F77" s="862">
        <v>0.13400000000000001</v>
      </c>
      <c r="G77" s="869">
        <v>0</v>
      </c>
      <c r="H77" s="874">
        <v>7808440470.4799995</v>
      </c>
      <c r="I77" s="871">
        <v>42.35</v>
      </c>
      <c r="J77" s="862">
        <v>4.2000000000000003E-2</v>
      </c>
      <c r="K77" s="868">
        <f t="shared" si="20"/>
        <v>162</v>
      </c>
      <c r="L77" s="861"/>
      <c r="M77" s="671">
        <f t="shared" si="21"/>
        <v>75</v>
      </c>
      <c r="N77" s="671">
        <f t="shared" si="22"/>
        <v>104</v>
      </c>
      <c r="O77" s="671">
        <f t="shared" si="23"/>
        <v>623</v>
      </c>
      <c r="P77" s="861"/>
      <c r="Q77" s="861"/>
      <c r="R77" s="861"/>
      <c r="S77" s="861" t="s">
        <v>424</v>
      </c>
      <c r="T77" s="861" t="s">
        <v>865</v>
      </c>
      <c r="U77" s="677">
        <f t="shared" si="24"/>
        <v>0</v>
      </c>
      <c r="V77" s="674">
        <f t="shared" si="25"/>
        <v>1</v>
      </c>
      <c r="W77" s="674">
        <f t="shared" si="26"/>
        <v>1</v>
      </c>
      <c r="Y77" s="674" t="str">
        <f t="shared" si="19"/>
        <v/>
      </c>
      <c r="Z77" s="677" t="str">
        <f t="shared" si="27"/>
        <v/>
      </c>
      <c r="AA77" s="674"/>
      <c r="AB77" s="674"/>
    </row>
    <row r="78" spans="1:28" ht="15">
      <c r="A78" s="672"/>
      <c r="B78" s="861" t="s">
        <v>866</v>
      </c>
      <c r="C78" s="861" t="s">
        <v>867</v>
      </c>
      <c r="D78" s="861" t="s">
        <v>371</v>
      </c>
      <c r="E78" s="861"/>
      <c r="F78" s="862"/>
      <c r="G78" s="869">
        <v>225.62727620000001</v>
      </c>
      <c r="H78" s="874">
        <v>7733787920.0799999</v>
      </c>
      <c r="I78" s="871">
        <v>8.8800000000000008</v>
      </c>
      <c r="J78" s="862">
        <v>0.129</v>
      </c>
      <c r="K78" s="868">
        <f t="shared" si="20"/>
        <v>316</v>
      </c>
      <c r="L78" s="861"/>
      <c r="M78" s="671">
        <f t="shared" si="21"/>
        <v>76</v>
      </c>
      <c r="N78" s="671">
        <f t="shared" si="22"/>
        <v>236</v>
      </c>
      <c r="O78" s="671">
        <f t="shared" si="23"/>
        <v>402</v>
      </c>
      <c r="P78" s="861"/>
      <c r="Q78" s="861"/>
      <c r="R78" s="861"/>
      <c r="S78" s="861" t="s">
        <v>868</v>
      </c>
      <c r="T78" s="861" t="s">
        <v>869</v>
      </c>
      <c r="U78" s="677">
        <f t="shared" si="24"/>
        <v>0</v>
      </c>
      <c r="V78" s="674">
        <f t="shared" si="25"/>
        <v>1</v>
      </c>
      <c r="W78" s="674">
        <f t="shared" si="26"/>
        <v>1</v>
      </c>
      <c r="Y78" s="674" t="str">
        <f t="shared" si="19"/>
        <v/>
      </c>
      <c r="Z78" s="677" t="str">
        <f t="shared" si="27"/>
        <v/>
      </c>
      <c r="AA78" s="674"/>
      <c r="AB78" s="674"/>
    </row>
    <row r="79" spans="1:28" ht="15">
      <c r="A79" s="672"/>
      <c r="B79" s="861" t="s">
        <v>870</v>
      </c>
      <c r="C79" s="861" t="s">
        <v>871</v>
      </c>
      <c r="D79" s="861" t="s">
        <v>371</v>
      </c>
      <c r="E79" s="861"/>
      <c r="F79" s="862">
        <v>0.17399999999999999</v>
      </c>
      <c r="G79" s="869">
        <v>0.20601351700000001</v>
      </c>
      <c r="H79" s="874">
        <v>7685619405.3999996</v>
      </c>
      <c r="I79" s="871"/>
      <c r="J79" s="862">
        <v>9.1999999999999998E-2</v>
      </c>
      <c r="K79" s="868">
        <f t="shared" si="20"/>
        <v>115</v>
      </c>
      <c r="L79" s="861"/>
      <c r="M79" s="671">
        <f t="shared" si="21"/>
        <v>77</v>
      </c>
      <c r="N79" s="671" t="str">
        <f t="shared" si="22"/>
        <v>N/A</v>
      </c>
      <c r="O79" s="671">
        <f t="shared" si="23"/>
        <v>519</v>
      </c>
      <c r="P79" s="861"/>
      <c r="Q79" s="861"/>
      <c r="R79" s="861"/>
      <c r="S79" s="861" t="s">
        <v>460</v>
      </c>
      <c r="T79" s="861" t="s">
        <v>872</v>
      </c>
      <c r="U79" s="677">
        <f t="shared" si="24"/>
        <v>0</v>
      </c>
      <c r="V79" s="674">
        <f t="shared" si="25"/>
        <v>1</v>
      </c>
      <c r="W79" s="674" t="str">
        <f t="shared" si="26"/>
        <v>-</v>
      </c>
      <c r="Y79" s="674" t="str">
        <f t="shared" si="19"/>
        <v>Not suitable</v>
      </c>
      <c r="Z79" s="677" t="str">
        <f t="shared" si="27"/>
        <v>Y</v>
      </c>
      <c r="AA79" s="674"/>
      <c r="AB79" s="674"/>
    </row>
    <row r="80" spans="1:28" ht="15">
      <c r="A80" s="672"/>
      <c r="B80" s="861" t="s">
        <v>873</v>
      </c>
      <c r="C80" s="861" t="s">
        <v>874</v>
      </c>
      <c r="D80" s="861" t="s">
        <v>371</v>
      </c>
      <c r="E80" s="861"/>
      <c r="F80" s="862">
        <v>4.1000000000000002E-2</v>
      </c>
      <c r="G80" s="869">
        <v>0</v>
      </c>
      <c r="H80" s="874">
        <v>7405642492.7799997</v>
      </c>
      <c r="I80" s="871"/>
      <c r="J80" s="863" t="s">
        <v>875</v>
      </c>
      <c r="K80" s="868">
        <f t="shared" si="20"/>
        <v>265</v>
      </c>
      <c r="L80" s="861"/>
      <c r="M80" s="671">
        <f t="shared" si="21"/>
        <v>78</v>
      </c>
      <c r="N80" s="671" t="str">
        <f t="shared" si="22"/>
        <v>N/A</v>
      </c>
      <c r="O80" s="671" t="str">
        <f t="shared" si="23"/>
        <v>N/A</v>
      </c>
      <c r="P80" s="861" t="s">
        <v>876</v>
      </c>
      <c r="Q80" s="861"/>
      <c r="R80" s="861"/>
      <c r="S80" s="861" t="s">
        <v>404</v>
      </c>
      <c r="T80" s="861" t="s">
        <v>877</v>
      </c>
      <c r="U80" s="677">
        <f t="shared" si="24"/>
        <v>0</v>
      </c>
      <c r="V80" s="674">
        <f t="shared" si="25"/>
        <v>1</v>
      </c>
      <c r="W80" s="674" t="str">
        <f t="shared" si="26"/>
        <v>-</v>
      </c>
      <c r="Y80" s="674" t="str">
        <f t="shared" si="19"/>
        <v>Not suitable</v>
      </c>
      <c r="Z80" s="677" t="str">
        <f t="shared" si="27"/>
        <v>Y</v>
      </c>
      <c r="AA80" s="674"/>
      <c r="AB80" s="674"/>
    </row>
    <row r="81" spans="1:28" ht="15">
      <c r="A81" s="672"/>
      <c r="B81" s="861" t="s">
        <v>878</v>
      </c>
      <c r="C81" s="861" t="s">
        <v>879</v>
      </c>
      <c r="D81" s="861" t="s">
        <v>371</v>
      </c>
      <c r="E81" s="861"/>
      <c r="F81" s="862">
        <v>4.8000000000000001E-2</v>
      </c>
      <c r="G81" s="870" t="s">
        <v>880</v>
      </c>
      <c r="H81" s="874">
        <v>7313812738.5600004</v>
      </c>
      <c r="I81" s="871">
        <v>61.03</v>
      </c>
      <c r="J81" s="862">
        <v>0.223</v>
      </c>
      <c r="K81" s="868">
        <f t="shared" si="20"/>
        <v>258</v>
      </c>
      <c r="L81" s="861" t="s">
        <v>881</v>
      </c>
      <c r="M81" s="671">
        <f t="shared" si="21"/>
        <v>79</v>
      </c>
      <c r="N81" s="671">
        <f t="shared" si="22"/>
        <v>68</v>
      </c>
      <c r="O81" s="671">
        <f t="shared" si="23"/>
        <v>218</v>
      </c>
      <c r="P81" s="861" t="s">
        <v>882</v>
      </c>
      <c r="Q81" s="861" t="s">
        <v>883</v>
      </c>
      <c r="R81" s="861" t="s">
        <v>392</v>
      </c>
      <c r="S81" s="861" t="s">
        <v>884</v>
      </c>
      <c r="T81" s="861" t="s">
        <v>885</v>
      </c>
      <c r="U81" s="677">
        <f t="shared" si="24"/>
        <v>0</v>
      </c>
      <c r="V81" s="674">
        <f t="shared" si="25"/>
        <v>1</v>
      </c>
      <c r="W81" s="674">
        <f t="shared" si="26"/>
        <v>1</v>
      </c>
      <c r="Y81" s="674" t="str">
        <f t="shared" si="19"/>
        <v/>
      </c>
      <c r="Z81" s="677" t="str">
        <f t="shared" si="27"/>
        <v/>
      </c>
      <c r="AA81" s="674"/>
      <c r="AB81" s="674"/>
    </row>
    <row r="82" spans="1:28" ht="15">
      <c r="A82" s="672"/>
      <c r="B82" s="861" t="s">
        <v>886</v>
      </c>
      <c r="C82" s="861" t="s">
        <v>887</v>
      </c>
      <c r="D82" s="861" t="s">
        <v>371</v>
      </c>
      <c r="E82" s="861"/>
      <c r="F82" s="862">
        <v>0.09</v>
      </c>
      <c r="G82" s="869">
        <v>13.630075189999999</v>
      </c>
      <c r="H82" s="874">
        <v>7281667911.21</v>
      </c>
      <c r="I82" s="872" t="s">
        <v>888</v>
      </c>
      <c r="J82" s="862">
        <v>0.24199999999999999</v>
      </c>
      <c r="K82" s="868">
        <f t="shared" si="20"/>
        <v>204</v>
      </c>
      <c r="L82" s="861" t="s">
        <v>424</v>
      </c>
      <c r="M82" s="671">
        <f t="shared" si="21"/>
        <v>80</v>
      </c>
      <c r="N82" s="671" t="str">
        <f t="shared" si="22"/>
        <v>N/A</v>
      </c>
      <c r="O82" s="671">
        <f t="shared" si="23"/>
        <v>194</v>
      </c>
      <c r="P82" s="861" t="s">
        <v>889</v>
      </c>
      <c r="Q82" s="861" t="s">
        <v>890</v>
      </c>
      <c r="R82" s="861"/>
      <c r="S82" s="861" t="s">
        <v>473</v>
      </c>
      <c r="T82" s="861" t="s">
        <v>891</v>
      </c>
      <c r="U82" s="677">
        <f t="shared" si="24"/>
        <v>0</v>
      </c>
      <c r="V82" s="674">
        <f t="shared" si="25"/>
        <v>1</v>
      </c>
      <c r="W82" s="674" t="str">
        <f t="shared" si="26"/>
        <v>-</v>
      </c>
      <c r="Y82" s="674" t="str">
        <f t="shared" si="19"/>
        <v>Not suitable</v>
      </c>
      <c r="Z82" s="677" t="str">
        <f t="shared" si="27"/>
        <v>Y</v>
      </c>
      <c r="AA82" s="674"/>
      <c r="AB82" s="674"/>
    </row>
    <row r="83" spans="1:28" ht="15">
      <c r="A83" s="672"/>
      <c r="B83" s="861" t="s">
        <v>892</v>
      </c>
      <c r="C83" s="861" t="s">
        <v>893</v>
      </c>
      <c r="D83" s="861" t="s">
        <v>371</v>
      </c>
      <c r="E83" s="861"/>
      <c r="F83" s="862">
        <v>9.6000000000000002E-2</v>
      </c>
      <c r="G83" s="869">
        <v>1.1271716599999999</v>
      </c>
      <c r="H83" s="874">
        <v>7093441797.1199999</v>
      </c>
      <c r="I83" s="871">
        <v>28.55</v>
      </c>
      <c r="J83" s="863" t="s">
        <v>894</v>
      </c>
      <c r="K83" s="868">
        <f t="shared" si="20"/>
        <v>197</v>
      </c>
      <c r="L83" s="861"/>
      <c r="M83" s="671">
        <f t="shared" si="21"/>
        <v>81</v>
      </c>
      <c r="N83" s="671">
        <f t="shared" si="22"/>
        <v>148</v>
      </c>
      <c r="O83" s="671" t="str">
        <f t="shared" si="23"/>
        <v>N/A</v>
      </c>
      <c r="P83" s="861"/>
      <c r="Q83" s="861"/>
      <c r="R83" s="861"/>
      <c r="S83" s="861" t="s">
        <v>895</v>
      </c>
      <c r="T83" s="861" t="s">
        <v>896</v>
      </c>
      <c r="U83" s="677">
        <f t="shared" si="24"/>
        <v>0</v>
      </c>
      <c r="V83" s="674">
        <f t="shared" si="25"/>
        <v>1</v>
      </c>
      <c r="W83" s="674">
        <f t="shared" si="26"/>
        <v>1</v>
      </c>
      <c r="Y83" s="674" t="str">
        <f t="shared" si="19"/>
        <v/>
      </c>
      <c r="Z83" s="677" t="str">
        <f t="shared" si="27"/>
        <v/>
      </c>
      <c r="AA83" s="674"/>
      <c r="AB83" s="674"/>
    </row>
    <row r="84" spans="1:28" ht="15">
      <c r="A84" s="672"/>
      <c r="B84" s="861" t="s">
        <v>897</v>
      </c>
      <c r="C84" s="861" t="s">
        <v>898</v>
      </c>
      <c r="D84" s="861" t="s">
        <v>371</v>
      </c>
      <c r="E84" s="861"/>
      <c r="F84" s="862">
        <v>-0.19900000000000001</v>
      </c>
      <c r="G84" s="870" t="s">
        <v>899</v>
      </c>
      <c r="H84" s="874">
        <v>7055816742.6800003</v>
      </c>
      <c r="I84" s="871">
        <v>11.9</v>
      </c>
      <c r="J84" s="862">
        <v>0.377</v>
      </c>
      <c r="K84" s="868">
        <f t="shared" si="20"/>
        <v>415</v>
      </c>
      <c r="L84" s="861"/>
      <c r="M84" s="671">
        <f t="shared" si="21"/>
        <v>82</v>
      </c>
      <c r="N84" s="671">
        <f t="shared" si="22"/>
        <v>212</v>
      </c>
      <c r="O84" s="671">
        <f t="shared" si="23"/>
        <v>66</v>
      </c>
      <c r="P84" s="861"/>
      <c r="Q84" s="861"/>
      <c r="R84" s="861"/>
      <c r="S84" s="861" t="s">
        <v>424</v>
      </c>
      <c r="T84" s="861" t="s">
        <v>900</v>
      </c>
      <c r="U84" s="677">
        <f t="shared" si="24"/>
        <v>0</v>
      </c>
      <c r="V84" s="674">
        <f t="shared" si="25"/>
        <v>1</v>
      </c>
      <c r="W84" s="674">
        <f t="shared" si="26"/>
        <v>1</v>
      </c>
      <c r="Y84" s="674" t="str">
        <f t="shared" si="19"/>
        <v/>
      </c>
      <c r="Z84" s="677" t="str">
        <f t="shared" si="27"/>
        <v/>
      </c>
      <c r="AA84" s="674"/>
      <c r="AB84" s="674"/>
    </row>
    <row r="85" spans="1:28" ht="15">
      <c r="A85" s="672"/>
      <c r="B85" s="861" t="s">
        <v>901</v>
      </c>
      <c r="C85" s="861" t="s">
        <v>902</v>
      </c>
      <c r="D85" s="861" t="s">
        <v>371</v>
      </c>
      <c r="E85" s="861"/>
      <c r="F85" s="862">
        <v>9.7000000000000003E-2</v>
      </c>
      <c r="G85" s="869">
        <v>0</v>
      </c>
      <c r="H85" s="874">
        <v>6994963300.7600002</v>
      </c>
      <c r="I85" s="871">
        <v>35.950000000000003</v>
      </c>
      <c r="J85" s="863" t="s">
        <v>903</v>
      </c>
      <c r="K85" s="868">
        <f t="shared" si="20"/>
        <v>195</v>
      </c>
      <c r="L85" s="861" t="s">
        <v>904</v>
      </c>
      <c r="M85" s="671">
        <f t="shared" si="21"/>
        <v>83</v>
      </c>
      <c r="N85" s="671">
        <f t="shared" si="22"/>
        <v>121</v>
      </c>
      <c r="O85" s="671" t="str">
        <f t="shared" si="23"/>
        <v>N/A</v>
      </c>
      <c r="P85" s="861" t="s">
        <v>905</v>
      </c>
      <c r="Q85" s="861" t="s">
        <v>906</v>
      </c>
      <c r="R85" s="861" t="s">
        <v>506</v>
      </c>
      <c r="S85" s="861" t="s">
        <v>907</v>
      </c>
      <c r="T85" s="861" t="s">
        <v>908</v>
      </c>
      <c r="U85" s="677">
        <f t="shared" si="24"/>
        <v>0</v>
      </c>
      <c r="V85" s="674">
        <f t="shared" si="25"/>
        <v>1</v>
      </c>
      <c r="W85" s="674">
        <f t="shared" si="26"/>
        <v>1</v>
      </c>
      <c r="Y85" s="674" t="str">
        <f t="shared" si="19"/>
        <v/>
      </c>
      <c r="Z85" s="677" t="str">
        <f t="shared" si="27"/>
        <v/>
      </c>
      <c r="AA85" s="674"/>
      <c r="AB85" s="674"/>
    </row>
    <row r="86" spans="1:28" ht="15">
      <c r="A86" s="672"/>
      <c r="B86" s="861" t="s">
        <v>909</v>
      </c>
      <c r="C86" s="861" t="s">
        <v>910</v>
      </c>
      <c r="D86" s="861" t="s">
        <v>371</v>
      </c>
      <c r="E86" s="861"/>
      <c r="F86" s="862">
        <v>-0.11799999999999999</v>
      </c>
      <c r="G86" s="869">
        <v>0</v>
      </c>
      <c r="H86" s="874">
        <v>6683735345.04</v>
      </c>
      <c r="I86" s="871">
        <v>10.71</v>
      </c>
      <c r="J86" s="862">
        <v>0.20799999999999999</v>
      </c>
      <c r="K86" s="868">
        <f t="shared" si="20"/>
        <v>389</v>
      </c>
      <c r="L86" s="861"/>
      <c r="M86" s="671">
        <f t="shared" si="21"/>
        <v>84</v>
      </c>
      <c r="N86" s="671">
        <f t="shared" si="22"/>
        <v>221</v>
      </c>
      <c r="O86" s="671">
        <f t="shared" si="23"/>
        <v>243</v>
      </c>
      <c r="P86" s="861"/>
      <c r="Q86" s="861"/>
      <c r="R86" s="861"/>
      <c r="S86" s="861" t="s">
        <v>424</v>
      </c>
      <c r="T86" s="861" t="s">
        <v>911</v>
      </c>
      <c r="U86" s="677">
        <f t="shared" si="24"/>
        <v>0</v>
      </c>
      <c r="V86" s="674">
        <f t="shared" si="25"/>
        <v>1</v>
      </c>
      <c r="W86" s="674">
        <f t="shared" si="26"/>
        <v>1</v>
      </c>
      <c r="Y86" s="674" t="str">
        <f t="shared" si="19"/>
        <v/>
      </c>
      <c r="Z86" s="677" t="str">
        <f t="shared" si="27"/>
        <v/>
      </c>
      <c r="AA86" s="674"/>
      <c r="AB86" s="674"/>
    </row>
    <row r="87" spans="1:28" ht="15">
      <c r="A87" s="672"/>
      <c r="B87" s="861" t="s">
        <v>912</v>
      </c>
      <c r="C87" s="861" t="s">
        <v>913</v>
      </c>
      <c r="D87" s="861" t="s">
        <v>371</v>
      </c>
      <c r="E87" s="861"/>
      <c r="F87" s="862">
        <v>0.17100000000000001</v>
      </c>
      <c r="G87" s="869">
        <v>0</v>
      </c>
      <c r="H87" s="874">
        <v>6552538909.5200005</v>
      </c>
      <c r="I87" s="872" t="s">
        <v>914</v>
      </c>
      <c r="J87" s="863"/>
      <c r="K87" s="868">
        <f t="shared" si="20"/>
        <v>119</v>
      </c>
      <c r="L87" s="861"/>
      <c r="M87" s="671">
        <f t="shared" si="21"/>
        <v>85</v>
      </c>
      <c r="N87" s="671" t="str">
        <f t="shared" si="22"/>
        <v>N/A</v>
      </c>
      <c r="O87" s="671">
        <f t="shared" si="23"/>
        <v>708</v>
      </c>
      <c r="P87" s="863" t="s">
        <v>915</v>
      </c>
      <c r="Q87" s="863" t="s">
        <v>916</v>
      </c>
      <c r="R87" s="861"/>
      <c r="S87" s="861" t="s">
        <v>624</v>
      </c>
      <c r="T87" s="861" t="s">
        <v>917</v>
      </c>
      <c r="U87" s="677">
        <f t="shared" si="24"/>
        <v>0</v>
      </c>
      <c r="V87" s="674">
        <f t="shared" si="25"/>
        <v>1</v>
      </c>
      <c r="W87" s="674" t="str">
        <f t="shared" si="26"/>
        <v>-</v>
      </c>
      <c r="Y87" s="674" t="str">
        <f t="shared" si="19"/>
        <v>Not suitable</v>
      </c>
      <c r="Z87" s="677" t="str">
        <f t="shared" si="27"/>
        <v>Y</v>
      </c>
      <c r="AA87" s="674"/>
      <c r="AB87" s="674"/>
    </row>
    <row r="88" spans="1:28" ht="15">
      <c r="A88" s="672"/>
      <c r="B88" s="861" t="s">
        <v>918</v>
      </c>
      <c r="C88" s="861" t="s">
        <v>919</v>
      </c>
      <c r="D88" s="861" t="s">
        <v>371</v>
      </c>
      <c r="E88" s="861"/>
      <c r="F88" s="862">
        <v>0.39500000000000002</v>
      </c>
      <c r="G88" s="869">
        <v>4.7028721649999996</v>
      </c>
      <c r="H88" s="874">
        <v>6481524453.9200001</v>
      </c>
      <c r="I88" s="871"/>
      <c r="J88" s="863" t="s">
        <v>458</v>
      </c>
      <c r="K88" s="868">
        <f t="shared" si="20"/>
        <v>31</v>
      </c>
      <c r="L88" s="861"/>
      <c r="M88" s="671">
        <f t="shared" si="21"/>
        <v>86</v>
      </c>
      <c r="N88" s="671" t="str">
        <f t="shared" si="22"/>
        <v>N/A</v>
      </c>
      <c r="O88" s="671" t="str">
        <f t="shared" si="23"/>
        <v>N/A</v>
      </c>
      <c r="P88" s="861"/>
      <c r="Q88" s="861"/>
      <c r="R88" s="861"/>
      <c r="S88" s="861" t="s">
        <v>424</v>
      </c>
      <c r="T88" s="861" t="s">
        <v>920</v>
      </c>
      <c r="U88" s="677">
        <f t="shared" si="24"/>
        <v>0</v>
      </c>
      <c r="V88" s="674">
        <f t="shared" si="25"/>
        <v>1</v>
      </c>
      <c r="W88" s="674" t="str">
        <f t="shared" si="26"/>
        <v>-</v>
      </c>
      <c r="Y88" s="674" t="str">
        <f t="shared" si="19"/>
        <v>Not suitable</v>
      </c>
      <c r="Z88" s="677" t="str">
        <f t="shared" si="27"/>
        <v>Y</v>
      </c>
      <c r="AA88" s="674"/>
      <c r="AB88" s="674"/>
    </row>
    <row r="89" spans="1:28" ht="15">
      <c r="A89" s="672"/>
      <c r="B89" s="861" t="s">
        <v>921</v>
      </c>
      <c r="C89" s="861" t="s">
        <v>922</v>
      </c>
      <c r="D89" s="861" t="s">
        <v>371</v>
      </c>
      <c r="E89" s="861"/>
      <c r="F89" s="862"/>
      <c r="G89" s="869">
        <v>0</v>
      </c>
      <c r="H89" s="874">
        <v>6251745367.8999996</v>
      </c>
      <c r="I89" s="871">
        <v>62.02</v>
      </c>
      <c r="J89" s="862">
        <v>0.29899999999999999</v>
      </c>
      <c r="K89" s="868">
        <f t="shared" si="20"/>
        <v>316</v>
      </c>
      <c r="L89" s="861"/>
      <c r="M89" s="671">
        <f t="shared" si="21"/>
        <v>87</v>
      </c>
      <c r="N89" s="671">
        <f t="shared" si="22"/>
        <v>65</v>
      </c>
      <c r="O89" s="671">
        <f t="shared" si="23"/>
        <v>132</v>
      </c>
      <c r="P89" s="861"/>
      <c r="Q89" s="861"/>
      <c r="R89" s="861"/>
      <c r="S89" s="861" t="s">
        <v>424</v>
      </c>
      <c r="T89" s="861" t="s">
        <v>923</v>
      </c>
      <c r="U89" s="677">
        <f t="shared" si="24"/>
        <v>0</v>
      </c>
      <c r="V89" s="674">
        <f t="shared" si="25"/>
        <v>1</v>
      </c>
      <c r="W89" s="674">
        <f t="shared" si="26"/>
        <v>1</v>
      </c>
      <c r="Y89" s="674" t="str">
        <f t="shared" si="19"/>
        <v/>
      </c>
      <c r="Z89" s="677" t="str">
        <f t="shared" si="27"/>
        <v/>
      </c>
      <c r="AA89" s="674"/>
      <c r="AB89" s="674"/>
    </row>
    <row r="90" spans="1:28" ht="15">
      <c r="A90" s="672"/>
      <c r="B90" s="861" t="s">
        <v>924</v>
      </c>
      <c r="C90" s="861" t="s">
        <v>925</v>
      </c>
      <c r="D90" s="861" t="s">
        <v>371</v>
      </c>
      <c r="E90" s="861"/>
      <c r="F90" s="862">
        <v>0.41</v>
      </c>
      <c r="G90" s="869">
        <v>0.207144357</v>
      </c>
      <c r="H90" s="874">
        <v>6066109775.96</v>
      </c>
      <c r="I90" s="871"/>
      <c r="J90" s="863" t="s">
        <v>926</v>
      </c>
      <c r="K90" s="868">
        <f t="shared" si="20"/>
        <v>26</v>
      </c>
      <c r="L90" s="861"/>
      <c r="M90" s="671">
        <f t="shared" si="21"/>
        <v>88</v>
      </c>
      <c r="N90" s="671" t="str">
        <f t="shared" si="22"/>
        <v>N/A</v>
      </c>
      <c r="O90" s="671" t="str">
        <f t="shared" si="23"/>
        <v>N/A</v>
      </c>
      <c r="P90" s="861"/>
      <c r="Q90" s="861"/>
      <c r="R90" s="861"/>
      <c r="S90" s="861" t="s">
        <v>454</v>
      </c>
      <c r="T90" s="861" t="s">
        <v>927</v>
      </c>
      <c r="U90" s="677">
        <f t="shared" si="24"/>
        <v>0</v>
      </c>
      <c r="V90" s="674">
        <f t="shared" si="25"/>
        <v>1</v>
      </c>
      <c r="W90" s="674" t="str">
        <f t="shared" si="26"/>
        <v>-</v>
      </c>
      <c r="Y90" s="674" t="str">
        <f t="shared" si="19"/>
        <v>Not suitable</v>
      </c>
      <c r="Z90" s="677" t="str">
        <f t="shared" si="27"/>
        <v>Y</v>
      </c>
      <c r="AA90" s="674"/>
      <c r="AB90" s="674"/>
    </row>
    <row r="91" spans="1:28" ht="15">
      <c r="A91" s="672"/>
      <c r="B91" s="861" t="s">
        <v>928</v>
      </c>
      <c r="C91" s="861" t="s">
        <v>929</v>
      </c>
      <c r="D91" s="861" t="s">
        <v>371</v>
      </c>
      <c r="E91" s="861"/>
      <c r="F91" s="862">
        <v>-5.8999999999999997E-2</v>
      </c>
      <c r="G91" s="869">
        <v>0</v>
      </c>
      <c r="H91" s="874">
        <v>5926457394.9899998</v>
      </c>
      <c r="I91" s="871"/>
      <c r="J91" s="863" t="s">
        <v>930</v>
      </c>
      <c r="K91" s="868">
        <f t="shared" si="20"/>
        <v>349</v>
      </c>
      <c r="L91" s="861"/>
      <c r="M91" s="671">
        <f t="shared" si="21"/>
        <v>89</v>
      </c>
      <c r="N91" s="671" t="str">
        <f t="shared" si="22"/>
        <v>N/A</v>
      </c>
      <c r="O91" s="671" t="str">
        <f t="shared" si="23"/>
        <v>N/A</v>
      </c>
      <c r="P91" s="861" t="s">
        <v>931</v>
      </c>
      <c r="Q91" s="861" t="s">
        <v>932</v>
      </c>
      <c r="R91" s="861"/>
      <c r="S91" s="861" t="s">
        <v>404</v>
      </c>
      <c r="T91" s="861" t="s">
        <v>933</v>
      </c>
      <c r="U91" s="677">
        <f t="shared" si="24"/>
        <v>0</v>
      </c>
      <c r="V91" s="674">
        <f t="shared" si="25"/>
        <v>1</v>
      </c>
      <c r="W91" s="674" t="str">
        <f t="shared" si="26"/>
        <v>-</v>
      </c>
      <c r="Y91" s="674" t="str">
        <f t="shared" si="19"/>
        <v>Not suitable</v>
      </c>
      <c r="Z91" s="677" t="str">
        <f t="shared" si="27"/>
        <v>Y</v>
      </c>
      <c r="AA91" s="674"/>
      <c r="AB91" s="674"/>
    </row>
    <row r="92" spans="1:28" ht="15">
      <c r="A92" s="672"/>
      <c r="B92" s="861" t="s">
        <v>934</v>
      </c>
      <c r="C92" s="861" t="s">
        <v>935</v>
      </c>
      <c r="D92" s="861" t="s">
        <v>371</v>
      </c>
      <c r="E92" s="861"/>
      <c r="F92" s="862">
        <v>-1.7000000000000001E-2</v>
      </c>
      <c r="G92" s="869">
        <v>0</v>
      </c>
      <c r="H92" s="874">
        <v>5798695722.1199999</v>
      </c>
      <c r="I92" s="872" t="s">
        <v>936</v>
      </c>
      <c r="J92" s="862">
        <v>0.26800000000000002</v>
      </c>
      <c r="K92" s="868">
        <f t="shared" si="20"/>
        <v>325</v>
      </c>
      <c r="L92" s="861"/>
      <c r="M92" s="671">
        <f t="shared" si="21"/>
        <v>90</v>
      </c>
      <c r="N92" s="671" t="str">
        <f t="shared" si="22"/>
        <v>N/A</v>
      </c>
      <c r="O92" s="671">
        <f t="shared" si="23"/>
        <v>157</v>
      </c>
      <c r="P92" s="861" t="s">
        <v>672</v>
      </c>
      <c r="Q92" s="861"/>
      <c r="R92" s="863" t="s">
        <v>937</v>
      </c>
      <c r="S92" s="861" t="s">
        <v>563</v>
      </c>
      <c r="T92" s="861" t="s">
        <v>938</v>
      </c>
      <c r="U92" s="677">
        <f t="shared" si="24"/>
        <v>0</v>
      </c>
      <c r="V92" s="674">
        <f t="shared" si="25"/>
        <v>1</v>
      </c>
      <c r="W92" s="674" t="str">
        <f t="shared" si="26"/>
        <v>-</v>
      </c>
      <c r="Y92" s="674" t="str">
        <f t="shared" si="19"/>
        <v>Not suitable</v>
      </c>
      <c r="Z92" s="677" t="str">
        <f t="shared" si="27"/>
        <v>Y</v>
      </c>
      <c r="AA92" s="674"/>
      <c r="AB92" s="674"/>
    </row>
    <row r="93" spans="1:28" ht="15">
      <c r="A93" s="672"/>
      <c r="B93" s="861" t="s">
        <v>939</v>
      </c>
      <c r="C93" s="861" t="s">
        <v>940</v>
      </c>
      <c r="D93" s="861" t="s">
        <v>371</v>
      </c>
      <c r="E93" s="861"/>
      <c r="F93" s="862">
        <v>6.0999999999999999E-2</v>
      </c>
      <c r="G93" s="869">
        <v>24.575412320000002</v>
      </c>
      <c r="H93" s="874">
        <v>5748067580.4499998</v>
      </c>
      <c r="I93" s="871">
        <v>13</v>
      </c>
      <c r="J93" s="863" t="s">
        <v>941</v>
      </c>
      <c r="K93" s="868">
        <f t="shared" si="20"/>
        <v>240</v>
      </c>
      <c r="L93" s="861" t="s">
        <v>942</v>
      </c>
      <c r="M93" s="671">
        <f t="shared" si="21"/>
        <v>91</v>
      </c>
      <c r="N93" s="671">
        <f t="shared" si="22"/>
        <v>205</v>
      </c>
      <c r="O93" s="671" t="str">
        <f t="shared" si="23"/>
        <v>N/A</v>
      </c>
      <c r="P93" s="861" t="s">
        <v>943</v>
      </c>
      <c r="Q93" s="861" t="s">
        <v>944</v>
      </c>
      <c r="R93" s="863" t="s">
        <v>945</v>
      </c>
      <c r="S93" s="861" t="s">
        <v>946</v>
      </c>
      <c r="T93" s="861" t="s">
        <v>947</v>
      </c>
      <c r="U93" s="677">
        <f t="shared" si="24"/>
        <v>0</v>
      </c>
      <c r="V93" s="674">
        <f t="shared" si="25"/>
        <v>1</v>
      </c>
      <c r="W93" s="674">
        <f t="shared" si="26"/>
        <v>1</v>
      </c>
      <c r="Y93" s="674" t="str">
        <f t="shared" si="19"/>
        <v/>
      </c>
      <c r="Z93" s="677" t="str">
        <f t="shared" si="27"/>
        <v/>
      </c>
      <c r="AA93" s="674"/>
      <c r="AB93" s="674"/>
    </row>
    <row r="94" spans="1:28" ht="15">
      <c r="A94" s="672"/>
      <c r="B94" s="861" t="s">
        <v>948</v>
      </c>
      <c r="C94" s="861" t="s">
        <v>949</v>
      </c>
      <c r="D94" s="861" t="s">
        <v>371</v>
      </c>
      <c r="E94" s="861"/>
      <c r="F94" s="862">
        <v>0.41</v>
      </c>
      <c r="G94" s="870" t="s">
        <v>950</v>
      </c>
      <c r="H94" s="874">
        <v>5646570545.7799997</v>
      </c>
      <c r="I94" s="871"/>
      <c r="J94" s="863"/>
      <c r="K94" s="868">
        <f t="shared" si="20"/>
        <v>26</v>
      </c>
      <c r="L94" s="861" t="s">
        <v>951</v>
      </c>
      <c r="M94" s="671">
        <f t="shared" si="21"/>
        <v>92</v>
      </c>
      <c r="N94" s="671" t="str">
        <f t="shared" si="22"/>
        <v>N/A</v>
      </c>
      <c r="O94" s="671">
        <f t="shared" si="23"/>
        <v>708</v>
      </c>
      <c r="P94" s="861" t="s">
        <v>952</v>
      </c>
      <c r="Q94" s="861" t="s">
        <v>953</v>
      </c>
      <c r="R94" s="861" t="s">
        <v>954</v>
      </c>
      <c r="S94" s="861" t="s">
        <v>955</v>
      </c>
      <c r="T94" s="861" t="s">
        <v>956</v>
      </c>
      <c r="U94" s="677">
        <f t="shared" si="24"/>
        <v>0</v>
      </c>
      <c r="V94" s="674">
        <f t="shared" si="25"/>
        <v>1</v>
      </c>
      <c r="W94" s="674" t="str">
        <f t="shared" si="26"/>
        <v>-</v>
      </c>
      <c r="Y94" s="674" t="str">
        <f t="shared" si="19"/>
        <v>Not suitable</v>
      </c>
      <c r="Z94" s="677" t="str">
        <f t="shared" si="27"/>
        <v>Y</v>
      </c>
      <c r="AA94" s="674"/>
      <c r="AB94" s="674"/>
    </row>
    <row r="95" spans="1:28" ht="15">
      <c r="A95" s="672"/>
      <c r="B95" s="861" t="s">
        <v>957</v>
      </c>
      <c r="C95" s="861" t="s">
        <v>958</v>
      </c>
      <c r="D95" s="861" t="s">
        <v>371</v>
      </c>
      <c r="E95" s="861"/>
      <c r="F95" s="862"/>
      <c r="G95" s="869"/>
      <c r="H95" s="874">
        <v>5621598769.6999998</v>
      </c>
      <c r="I95" s="871"/>
      <c r="J95" s="862">
        <v>0.30299999999999999</v>
      </c>
      <c r="K95" s="868">
        <f t="shared" si="20"/>
        <v>316</v>
      </c>
      <c r="L95" s="861"/>
      <c r="M95" s="671">
        <f t="shared" si="21"/>
        <v>93</v>
      </c>
      <c r="N95" s="671" t="str">
        <f t="shared" si="22"/>
        <v>N/A</v>
      </c>
      <c r="O95" s="671">
        <f t="shared" si="23"/>
        <v>126</v>
      </c>
      <c r="P95" s="861" t="s">
        <v>959</v>
      </c>
      <c r="Q95" s="861" t="s">
        <v>960</v>
      </c>
      <c r="R95" s="861"/>
      <c r="S95" s="861" t="s">
        <v>680</v>
      </c>
      <c r="T95" s="861" t="s">
        <v>961</v>
      </c>
      <c r="U95" s="677">
        <f t="shared" si="24"/>
        <v>0</v>
      </c>
      <c r="V95" s="674">
        <f t="shared" si="25"/>
        <v>1</v>
      </c>
      <c r="W95" s="674" t="str">
        <f t="shared" si="26"/>
        <v>-</v>
      </c>
      <c r="Y95" s="674" t="str">
        <f t="shared" si="19"/>
        <v>Not suitable</v>
      </c>
      <c r="Z95" s="677" t="str">
        <f t="shared" si="27"/>
        <v>Y</v>
      </c>
      <c r="AA95" s="674"/>
      <c r="AB95" s="674"/>
    </row>
    <row r="96" spans="1:28" ht="15">
      <c r="A96" s="672"/>
      <c r="B96" s="861" t="s">
        <v>962</v>
      </c>
      <c r="C96" s="861" t="s">
        <v>963</v>
      </c>
      <c r="D96" s="861" t="s">
        <v>371</v>
      </c>
      <c r="E96" s="861"/>
      <c r="F96" s="862"/>
      <c r="G96" s="869">
        <v>2.897978605</v>
      </c>
      <c r="H96" s="874">
        <v>5580642087.1599998</v>
      </c>
      <c r="I96" s="871">
        <v>42.41</v>
      </c>
      <c r="J96" s="862">
        <v>0.22</v>
      </c>
      <c r="K96" s="868">
        <f t="shared" si="20"/>
        <v>316</v>
      </c>
      <c r="L96" s="861" t="s">
        <v>964</v>
      </c>
      <c r="M96" s="671">
        <f t="shared" si="21"/>
        <v>94</v>
      </c>
      <c r="N96" s="671">
        <f t="shared" si="22"/>
        <v>103</v>
      </c>
      <c r="O96" s="671">
        <f t="shared" si="23"/>
        <v>222</v>
      </c>
      <c r="P96" s="861" t="s">
        <v>965</v>
      </c>
      <c r="Q96" s="861" t="s">
        <v>966</v>
      </c>
      <c r="R96" s="861" t="s">
        <v>467</v>
      </c>
      <c r="S96" s="861" t="s">
        <v>967</v>
      </c>
      <c r="T96" s="861" t="s">
        <v>968</v>
      </c>
      <c r="U96" s="677">
        <f t="shared" si="24"/>
        <v>0</v>
      </c>
      <c r="V96" s="674">
        <f t="shared" si="25"/>
        <v>1</v>
      </c>
      <c r="W96" s="674">
        <f t="shared" si="26"/>
        <v>1</v>
      </c>
      <c r="Y96" s="674" t="str">
        <f t="shared" si="19"/>
        <v/>
      </c>
      <c r="Z96" s="677" t="str">
        <f t="shared" si="27"/>
        <v/>
      </c>
      <c r="AA96" s="674"/>
      <c r="AB96" s="674"/>
    </row>
    <row r="97" spans="1:28" ht="15">
      <c r="A97" s="672"/>
      <c r="B97" s="861" t="s">
        <v>969</v>
      </c>
      <c r="C97" s="861" t="s">
        <v>970</v>
      </c>
      <c r="D97" s="861" t="s">
        <v>371</v>
      </c>
      <c r="E97" s="861"/>
      <c r="F97" s="862">
        <v>0.20599999999999999</v>
      </c>
      <c r="G97" s="869">
        <v>4.0413216000000002E-2</v>
      </c>
      <c r="H97" s="874">
        <v>5484531500.04</v>
      </c>
      <c r="I97" s="871"/>
      <c r="J97" s="863" t="s">
        <v>971</v>
      </c>
      <c r="K97" s="868">
        <f t="shared" si="20"/>
        <v>94</v>
      </c>
      <c r="L97" s="861" t="s">
        <v>563</v>
      </c>
      <c r="M97" s="671">
        <f t="shared" si="21"/>
        <v>95</v>
      </c>
      <c r="N97" s="671" t="str">
        <f t="shared" si="22"/>
        <v>N/A</v>
      </c>
      <c r="O97" s="671" t="str">
        <f t="shared" si="23"/>
        <v>N/A</v>
      </c>
      <c r="P97" s="861" t="s">
        <v>972</v>
      </c>
      <c r="Q97" s="861" t="s">
        <v>973</v>
      </c>
      <c r="R97" s="861" t="s">
        <v>563</v>
      </c>
      <c r="S97" s="861" t="s">
        <v>572</v>
      </c>
      <c r="T97" s="861" t="s">
        <v>974</v>
      </c>
      <c r="U97" s="677">
        <f t="shared" si="24"/>
        <v>0</v>
      </c>
      <c r="V97" s="674">
        <f t="shared" si="25"/>
        <v>1</v>
      </c>
      <c r="W97" s="674" t="str">
        <f t="shared" si="26"/>
        <v>-</v>
      </c>
      <c r="Y97" s="674" t="str">
        <f t="shared" si="19"/>
        <v>Not suitable</v>
      </c>
      <c r="Z97" s="677" t="str">
        <f t="shared" si="27"/>
        <v>Y</v>
      </c>
      <c r="AA97" s="674"/>
      <c r="AB97" s="674"/>
    </row>
    <row r="98" spans="1:28" ht="15">
      <c r="A98" s="672"/>
      <c r="B98" s="861" t="s">
        <v>975</v>
      </c>
      <c r="C98" s="861" t="s">
        <v>976</v>
      </c>
      <c r="D98" s="861" t="s">
        <v>371</v>
      </c>
      <c r="E98" s="861"/>
      <c r="F98" s="862">
        <v>-0.156</v>
      </c>
      <c r="G98" s="870" t="s">
        <v>977</v>
      </c>
      <c r="H98" s="874">
        <v>5357595468.54</v>
      </c>
      <c r="I98" s="871">
        <v>49.65</v>
      </c>
      <c r="J98" s="863" t="s">
        <v>978</v>
      </c>
      <c r="K98" s="868">
        <f t="shared" si="20"/>
        <v>400</v>
      </c>
      <c r="L98" s="861"/>
      <c r="M98" s="671">
        <f t="shared" si="21"/>
        <v>96</v>
      </c>
      <c r="N98" s="671">
        <f t="shared" si="22"/>
        <v>86</v>
      </c>
      <c r="O98" s="671" t="str">
        <f t="shared" si="23"/>
        <v>N/A</v>
      </c>
      <c r="P98" s="861" t="s">
        <v>979</v>
      </c>
      <c r="Q98" s="861" t="s">
        <v>980</v>
      </c>
      <c r="R98" s="861" t="s">
        <v>672</v>
      </c>
      <c r="S98" s="861" t="s">
        <v>981</v>
      </c>
      <c r="T98" s="861" t="s">
        <v>982</v>
      </c>
      <c r="U98" s="677">
        <f t="shared" si="24"/>
        <v>0</v>
      </c>
      <c r="V98" s="674">
        <f t="shared" si="25"/>
        <v>1</v>
      </c>
      <c r="W98" s="674">
        <f t="shared" si="26"/>
        <v>1</v>
      </c>
      <c r="Y98" s="674" t="str">
        <f t="shared" si="19"/>
        <v/>
      </c>
      <c r="Z98" s="677" t="str">
        <f t="shared" si="27"/>
        <v/>
      </c>
      <c r="AA98" s="674"/>
      <c r="AB98" s="674"/>
    </row>
    <row r="99" spans="1:28" ht="15">
      <c r="A99" s="672"/>
      <c r="B99" s="861" t="s">
        <v>983</v>
      </c>
      <c r="C99" s="861" t="s">
        <v>984</v>
      </c>
      <c r="D99" s="861" t="s">
        <v>371</v>
      </c>
      <c r="E99" s="861"/>
      <c r="F99" s="862">
        <v>-0.128</v>
      </c>
      <c r="G99" s="869">
        <v>0</v>
      </c>
      <c r="H99" s="874">
        <v>5233179764.0600004</v>
      </c>
      <c r="I99" s="871">
        <v>33.9</v>
      </c>
      <c r="J99" s="862">
        <v>0.107</v>
      </c>
      <c r="K99" s="868">
        <f t="shared" si="20"/>
        <v>394</v>
      </c>
      <c r="L99" s="861"/>
      <c r="M99" s="671">
        <f t="shared" si="21"/>
        <v>97</v>
      </c>
      <c r="N99" s="671">
        <f t="shared" si="22"/>
        <v>132</v>
      </c>
      <c r="O99" s="671">
        <f t="shared" si="23"/>
        <v>466</v>
      </c>
      <c r="P99" s="861"/>
      <c r="Q99" s="861"/>
      <c r="R99" s="861"/>
      <c r="S99" s="861" t="s">
        <v>424</v>
      </c>
      <c r="T99" s="861" t="s">
        <v>985</v>
      </c>
      <c r="U99" s="677">
        <f t="shared" si="24"/>
        <v>0</v>
      </c>
      <c r="V99" s="674">
        <f t="shared" si="25"/>
        <v>1</v>
      </c>
      <c r="W99" s="674">
        <f t="shared" si="26"/>
        <v>1</v>
      </c>
      <c r="Y99" s="674" t="str">
        <f t="shared" si="19"/>
        <v/>
      </c>
      <c r="Z99" s="677" t="str">
        <f t="shared" si="27"/>
        <v/>
      </c>
      <c r="AA99" s="674"/>
      <c r="AB99" s="674"/>
    </row>
    <row r="100" spans="1:28" ht="15">
      <c r="A100" s="858"/>
      <c r="B100" s="861" t="s">
        <v>986</v>
      </c>
      <c r="C100" s="861" t="s">
        <v>987</v>
      </c>
      <c r="D100" s="861" t="s">
        <v>371</v>
      </c>
      <c r="E100" s="861"/>
      <c r="F100" s="862">
        <v>0.122</v>
      </c>
      <c r="G100" s="869">
        <v>0.20206824000000001</v>
      </c>
      <c r="H100" s="874">
        <v>5174018582.0100002</v>
      </c>
      <c r="I100" s="871"/>
      <c r="J100" s="863" t="s">
        <v>988</v>
      </c>
      <c r="K100" s="868">
        <f t="shared" si="20"/>
        <v>172</v>
      </c>
      <c r="L100" s="861"/>
      <c r="M100" s="671">
        <f t="shared" si="21"/>
        <v>98</v>
      </c>
      <c r="N100" s="671" t="str">
        <f t="shared" si="22"/>
        <v>N/A</v>
      </c>
      <c r="O100" s="671" t="str">
        <f t="shared" si="23"/>
        <v>N/A</v>
      </c>
      <c r="P100" s="861" t="s">
        <v>989</v>
      </c>
      <c r="Q100" s="861"/>
      <c r="R100" s="861"/>
      <c r="S100" s="861" t="s">
        <v>563</v>
      </c>
      <c r="T100" s="861" t="s">
        <v>990</v>
      </c>
      <c r="U100" s="681">
        <f t="shared" ref="U100" si="28">SUM(P100:T100)</f>
        <v>0</v>
      </c>
      <c r="V100" s="680">
        <f t="shared" ref="V100" si="29">_xlfn.RANK.EQ(U100,$U$4:$U$61,1)</f>
        <v>1</v>
      </c>
      <c r="W100" s="680" t="str">
        <f t="shared" si="26"/>
        <v>-</v>
      </c>
      <c r="Y100" s="680" t="str">
        <f t="shared" si="19"/>
        <v>Not suitable</v>
      </c>
      <c r="Z100" s="681" t="str">
        <f t="shared" si="27"/>
        <v>Y</v>
      </c>
      <c r="AA100" s="680"/>
      <c r="AB100" s="680"/>
    </row>
    <row r="101" spans="1:28" ht="15">
      <c r="A101" s="678"/>
      <c r="B101" s="861" t="s">
        <v>991</v>
      </c>
      <c r="C101" s="861" t="s">
        <v>992</v>
      </c>
      <c r="D101" s="861" t="s">
        <v>371</v>
      </c>
      <c r="E101" s="861"/>
      <c r="F101" s="862">
        <v>-0.38600000000000001</v>
      </c>
      <c r="G101" s="870" t="s">
        <v>993</v>
      </c>
      <c r="H101" s="874">
        <v>4827804726</v>
      </c>
      <c r="I101" s="871">
        <v>58.8</v>
      </c>
      <c r="J101" s="861"/>
      <c r="K101" s="868">
        <f t="shared" si="20"/>
        <v>460</v>
      </c>
      <c r="L101" s="861"/>
      <c r="M101" s="671">
        <f t="shared" si="21"/>
        <v>99</v>
      </c>
      <c r="N101" s="671">
        <f t="shared" si="22"/>
        <v>75</v>
      </c>
      <c r="O101" s="671">
        <f t="shared" si="23"/>
        <v>708</v>
      </c>
      <c r="P101" s="861" t="s">
        <v>994</v>
      </c>
      <c r="Q101" s="861" t="s">
        <v>995</v>
      </c>
      <c r="R101" s="861"/>
      <c r="S101" s="861" t="s">
        <v>996</v>
      </c>
      <c r="T101" s="866" t="s">
        <v>997</v>
      </c>
      <c r="U101" s="865"/>
    </row>
    <row r="102" spans="1:28" ht="15">
      <c r="A102" s="678"/>
      <c r="B102" s="861" t="s">
        <v>998</v>
      </c>
      <c r="C102" s="861" t="s">
        <v>999</v>
      </c>
      <c r="D102" s="861" t="s">
        <v>371</v>
      </c>
      <c r="E102" s="861"/>
      <c r="F102" s="862">
        <v>-8.2000000000000003E-2</v>
      </c>
      <c r="G102" s="869">
        <v>0</v>
      </c>
      <c r="H102" s="874">
        <v>4804694244.2399998</v>
      </c>
      <c r="I102" s="871"/>
      <c r="J102" s="863" t="s">
        <v>799</v>
      </c>
      <c r="K102" s="868">
        <f t="shared" si="20"/>
        <v>370</v>
      </c>
      <c r="L102" s="861"/>
      <c r="M102" s="671">
        <f t="shared" si="21"/>
        <v>100</v>
      </c>
      <c r="N102" s="671" t="str">
        <f t="shared" si="22"/>
        <v>N/A</v>
      </c>
      <c r="O102" s="671" t="str">
        <f t="shared" si="23"/>
        <v>N/A</v>
      </c>
      <c r="P102" s="861" t="s">
        <v>1000</v>
      </c>
      <c r="Q102" s="861" t="s">
        <v>1001</v>
      </c>
      <c r="R102" s="861"/>
      <c r="S102" s="861" t="s">
        <v>1002</v>
      </c>
      <c r="T102" s="866" t="s">
        <v>1003</v>
      </c>
      <c r="U102" s="865"/>
    </row>
    <row r="103" spans="1:28" ht="15">
      <c r="A103" s="678"/>
      <c r="B103" s="861" t="s">
        <v>1004</v>
      </c>
      <c r="C103" s="861" t="s">
        <v>1005</v>
      </c>
      <c r="D103" s="861" t="s">
        <v>371</v>
      </c>
      <c r="E103" s="861"/>
      <c r="F103" s="862">
        <v>2.5999999999999999E-2</v>
      </c>
      <c r="G103" s="870" t="s">
        <v>1006</v>
      </c>
      <c r="H103" s="874">
        <v>4772114534.1099997</v>
      </c>
      <c r="I103" s="871">
        <v>12.62</v>
      </c>
      <c r="J103" s="863" t="s">
        <v>1007</v>
      </c>
      <c r="K103" s="868">
        <f t="shared" si="20"/>
        <v>291</v>
      </c>
      <c r="L103" s="861"/>
      <c r="M103" s="671">
        <f t="shared" si="21"/>
        <v>101</v>
      </c>
      <c r="N103" s="671">
        <f t="shared" si="22"/>
        <v>208</v>
      </c>
      <c r="O103" s="671" t="str">
        <f t="shared" si="23"/>
        <v>N/A</v>
      </c>
      <c r="P103" s="861"/>
      <c r="Q103" s="861"/>
      <c r="R103" s="861"/>
      <c r="S103" s="861" t="s">
        <v>424</v>
      </c>
      <c r="T103" s="866" t="s">
        <v>1008</v>
      </c>
      <c r="U103" s="865"/>
    </row>
    <row r="104" spans="1:28" ht="15">
      <c r="A104" s="678"/>
      <c r="B104" s="861" t="s">
        <v>1009</v>
      </c>
      <c r="C104" s="861" t="s">
        <v>1010</v>
      </c>
      <c r="D104" s="861" t="s">
        <v>371</v>
      </c>
      <c r="E104" s="861"/>
      <c r="F104" s="862">
        <v>0.182</v>
      </c>
      <c r="G104" s="870" t="s">
        <v>1011</v>
      </c>
      <c r="H104" s="874">
        <v>4744182128.3400002</v>
      </c>
      <c r="I104" s="871">
        <v>41.37</v>
      </c>
      <c r="J104" s="862">
        <v>0.193</v>
      </c>
      <c r="K104" s="868">
        <f t="shared" si="20"/>
        <v>110</v>
      </c>
      <c r="L104" s="861"/>
      <c r="M104" s="671">
        <f t="shared" si="21"/>
        <v>102</v>
      </c>
      <c r="N104" s="671">
        <f t="shared" si="22"/>
        <v>107</v>
      </c>
      <c r="O104" s="671">
        <f t="shared" si="23"/>
        <v>267</v>
      </c>
      <c r="P104" s="861" t="s">
        <v>1012</v>
      </c>
      <c r="Q104" s="861"/>
      <c r="R104" s="861"/>
      <c r="S104" s="861" t="s">
        <v>424</v>
      </c>
      <c r="T104" s="866" t="s">
        <v>1013</v>
      </c>
      <c r="U104" s="865"/>
    </row>
    <row r="105" spans="1:28" ht="15">
      <c r="A105" s="678"/>
      <c r="B105" s="861" t="s">
        <v>1014</v>
      </c>
      <c r="C105" s="861" t="s">
        <v>1015</v>
      </c>
      <c r="D105" s="861" t="s">
        <v>371</v>
      </c>
      <c r="E105" s="861"/>
      <c r="F105" s="862">
        <v>0.16500000000000001</v>
      </c>
      <c r="G105" s="869">
        <v>0.58584809400000004</v>
      </c>
      <c r="H105" s="874">
        <v>4739458023</v>
      </c>
      <c r="I105" s="871">
        <v>58.53</v>
      </c>
      <c r="J105" s="863" t="s">
        <v>1016</v>
      </c>
      <c r="K105" s="868">
        <f t="shared" si="20"/>
        <v>124</v>
      </c>
      <c r="L105" s="863" t="s">
        <v>1017</v>
      </c>
      <c r="M105" s="671">
        <f t="shared" si="21"/>
        <v>103</v>
      </c>
      <c r="N105" s="671">
        <f t="shared" si="22"/>
        <v>77</v>
      </c>
      <c r="O105" s="671" t="str">
        <f t="shared" si="23"/>
        <v>N/A</v>
      </c>
      <c r="P105" s="861" t="s">
        <v>1018</v>
      </c>
      <c r="Q105" s="861" t="s">
        <v>1019</v>
      </c>
      <c r="R105" s="863" t="s">
        <v>1017</v>
      </c>
      <c r="S105" s="861" t="s">
        <v>1020</v>
      </c>
      <c r="T105" s="866" t="s">
        <v>1021</v>
      </c>
      <c r="U105" s="865"/>
    </row>
    <row r="106" spans="1:28" ht="15">
      <c r="B106" s="861" t="s">
        <v>1022</v>
      </c>
      <c r="C106" s="861" t="s">
        <v>1023</v>
      </c>
      <c r="D106" s="861" t="s">
        <v>371</v>
      </c>
      <c r="E106" s="861"/>
      <c r="F106" s="862">
        <v>4.1000000000000002E-2</v>
      </c>
      <c r="G106" s="870" t="s">
        <v>1024</v>
      </c>
      <c r="H106" s="874">
        <v>4601480140.3800001</v>
      </c>
      <c r="I106" s="871">
        <v>67.48</v>
      </c>
      <c r="J106" s="863" t="s">
        <v>1025</v>
      </c>
      <c r="K106" s="868">
        <f t="shared" si="20"/>
        <v>265</v>
      </c>
      <c r="L106" s="861"/>
      <c r="M106" s="671">
        <f t="shared" si="21"/>
        <v>104</v>
      </c>
      <c r="N106" s="671">
        <f t="shared" si="22"/>
        <v>59</v>
      </c>
      <c r="O106" s="671" t="str">
        <f t="shared" si="23"/>
        <v>N/A</v>
      </c>
      <c r="P106" s="861" t="s">
        <v>1026</v>
      </c>
      <c r="Q106" s="861"/>
      <c r="R106" s="861"/>
      <c r="S106" s="861" t="s">
        <v>563</v>
      </c>
      <c r="T106" s="866" t="s">
        <v>1027</v>
      </c>
      <c r="U106" s="865"/>
    </row>
    <row r="107" spans="1:28" ht="15">
      <c r="B107" s="861" t="s">
        <v>1028</v>
      </c>
      <c r="C107" s="861" t="s">
        <v>1029</v>
      </c>
      <c r="D107" s="861" t="s">
        <v>371</v>
      </c>
      <c r="E107" s="861"/>
      <c r="F107" s="862">
        <v>0.245</v>
      </c>
      <c r="G107" s="869">
        <v>9.8221199919999993</v>
      </c>
      <c r="H107" s="874">
        <v>4530081973.8000002</v>
      </c>
      <c r="I107" s="871">
        <v>0.24</v>
      </c>
      <c r="J107" s="862">
        <v>0.185</v>
      </c>
      <c r="K107" s="868">
        <f t="shared" si="20"/>
        <v>71</v>
      </c>
      <c r="L107" s="863" t="s">
        <v>1030</v>
      </c>
      <c r="M107" s="671">
        <f t="shared" si="21"/>
        <v>105</v>
      </c>
      <c r="N107" s="671">
        <f t="shared" si="22"/>
        <v>308</v>
      </c>
      <c r="O107" s="671">
        <f t="shared" si="23"/>
        <v>278</v>
      </c>
      <c r="P107" s="861" t="s">
        <v>1031</v>
      </c>
      <c r="Q107" s="861"/>
      <c r="R107" s="863" t="s">
        <v>1032</v>
      </c>
      <c r="S107" s="861" t="s">
        <v>507</v>
      </c>
      <c r="T107" s="866" t="s">
        <v>1033</v>
      </c>
      <c r="U107" s="865"/>
    </row>
    <row r="108" spans="1:28" ht="15">
      <c r="B108" s="861" t="s">
        <v>1034</v>
      </c>
      <c r="C108" s="861" t="s">
        <v>1035</v>
      </c>
      <c r="D108" s="861" t="s">
        <v>371</v>
      </c>
      <c r="E108" s="861"/>
      <c r="F108" s="862">
        <v>0.192</v>
      </c>
      <c r="G108" s="869">
        <v>19.56149379</v>
      </c>
      <c r="H108" s="874">
        <v>4501255060.1099997</v>
      </c>
      <c r="I108" s="871">
        <v>62.98</v>
      </c>
      <c r="J108" s="862">
        <v>0.246</v>
      </c>
      <c r="K108" s="868">
        <f t="shared" si="20"/>
        <v>101</v>
      </c>
      <c r="L108" s="861"/>
      <c r="M108" s="671">
        <f t="shared" si="21"/>
        <v>106</v>
      </c>
      <c r="N108" s="671">
        <f t="shared" si="22"/>
        <v>63</v>
      </c>
      <c r="O108" s="671">
        <f t="shared" si="23"/>
        <v>185</v>
      </c>
      <c r="P108" s="861"/>
      <c r="Q108" s="861"/>
      <c r="R108" s="861"/>
      <c r="S108" s="861" t="s">
        <v>424</v>
      </c>
      <c r="T108" s="866" t="s">
        <v>1036</v>
      </c>
      <c r="U108" s="865"/>
    </row>
    <row r="109" spans="1:28" ht="15">
      <c r="B109" s="861" t="s">
        <v>1037</v>
      </c>
      <c r="C109" s="861" t="s">
        <v>1038</v>
      </c>
      <c r="D109" s="861" t="s">
        <v>371</v>
      </c>
      <c r="E109" s="861"/>
      <c r="F109" s="862">
        <v>0.13600000000000001</v>
      </c>
      <c r="G109" s="869">
        <v>27.93104233</v>
      </c>
      <c r="H109" s="874">
        <v>4416241363.1700001</v>
      </c>
      <c r="I109" s="871">
        <v>11.71</v>
      </c>
      <c r="J109" s="862">
        <v>9.4E-2</v>
      </c>
      <c r="K109" s="868">
        <f t="shared" si="20"/>
        <v>155</v>
      </c>
      <c r="L109" s="861"/>
      <c r="M109" s="671">
        <f t="shared" si="21"/>
        <v>107</v>
      </c>
      <c r="N109" s="671">
        <f t="shared" si="22"/>
        <v>214</v>
      </c>
      <c r="O109" s="671">
        <f t="shared" si="23"/>
        <v>515</v>
      </c>
      <c r="P109" s="861" t="s">
        <v>392</v>
      </c>
      <c r="Q109" s="861" t="s">
        <v>1039</v>
      </c>
      <c r="R109" s="861"/>
      <c r="S109" s="861" t="s">
        <v>460</v>
      </c>
      <c r="T109" s="866" t="s">
        <v>1040</v>
      </c>
      <c r="U109" s="865"/>
    </row>
    <row r="110" spans="1:28" ht="15">
      <c r="B110" s="861" t="s">
        <v>1041</v>
      </c>
      <c r="C110" s="861" t="s">
        <v>1042</v>
      </c>
      <c r="D110" s="861" t="s">
        <v>371</v>
      </c>
      <c r="E110" s="861"/>
      <c r="F110" s="862">
        <v>0.158</v>
      </c>
      <c r="G110" s="869">
        <v>0.16277591199999999</v>
      </c>
      <c r="H110" s="874">
        <v>4398358626.25</v>
      </c>
      <c r="I110" s="871">
        <v>4.16</v>
      </c>
      <c r="J110" s="862">
        <v>9.6000000000000002E-2</v>
      </c>
      <c r="K110" s="868">
        <f t="shared" si="20"/>
        <v>130</v>
      </c>
      <c r="L110" s="861"/>
      <c r="M110" s="671">
        <f t="shared" si="21"/>
        <v>108</v>
      </c>
      <c r="N110" s="671">
        <f t="shared" si="22"/>
        <v>276</v>
      </c>
      <c r="O110" s="671">
        <f t="shared" si="23"/>
        <v>511</v>
      </c>
      <c r="P110" s="861"/>
      <c r="Q110" s="861"/>
      <c r="R110" s="861"/>
      <c r="S110" s="861" t="s">
        <v>424</v>
      </c>
      <c r="T110" s="866" t="s">
        <v>1043</v>
      </c>
      <c r="U110" s="865"/>
    </row>
    <row r="111" spans="1:28" ht="15">
      <c r="B111" s="861" t="s">
        <v>1044</v>
      </c>
      <c r="C111" s="861" t="s">
        <v>1045</v>
      </c>
      <c r="D111" s="861" t="s">
        <v>371</v>
      </c>
      <c r="E111" s="861"/>
      <c r="F111" s="862">
        <v>0.20799999999999999</v>
      </c>
      <c r="G111" s="870" t="s">
        <v>1046</v>
      </c>
      <c r="H111" s="874">
        <v>4379628496.3199997</v>
      </c>
      <c r="I111" s="871">
        <v>62.07</v>
      </c>
      <c r="J111" s="862">
        <v>0.16200000000000001</v>
      </c>
      <c r="K111" s="868">
        <f t="shared" si="20"/>
        <v>92</v>
      </c>
      <c r="L111" s="861"/>
      <c r="M111" s="671">
        <f t="shared" si="21"/>
        <v>109</v>
      </c>
      <c r="N111" s="671">
        <f t="shared" si="22"/>
        <v>64</v>
      </c>
      <c r="O111" s="671">
        <f t="shared" si="23"/>
        <v>315</v>
      </c>
      <c r="P111" s="861"/>
      <c r="Q111" s="861"/>
      <c r="R111" s="861"/>
      <c r="S111" s="861" t="s">
        <v>868</v>
      </c>
      <c r="T111" s="866" t="s">
        <v>1047</v>
      </c>
      <c r="U111" s="865"/>
    </row>
    <row r="112" spans="1:28" ht="15">
      <c r="B112" s="861" t="s">
        <v>1048</v>
      </c>
      <c r="C112" s="861" t="s">
        <v>1049</v>
      </c>
      <c r="D112" s="861" t="s">
        <v>371</v>
      </c>
      <c r="E112" s="861"/>
      <c r="F112" s="862">
        <v>7.0999999999999994E-2</v>
      </c>
      <c r="G112" s="869">
        <v>44.78125</v>
      </c>
      <c r="H112" s="874">
        <v>4361780768.2799997</v>
      </c>
      <c r="I112" s="871">
        <v>247.44</v>
      </c>
      <c r="J112" s="862">
        <v>0.254</v>
      </c>
      <c r="K112" s="868">
        <f t="shared" si="20"/>
        <v>226</v>
      </c>
      <c r="L112" s="861"/>
      <c r="M112" s="671">
        <f t="shared" si="21"/>
        <v>110</v>
      </c>
      <c r="N112" s="671">
        <f t="shared" si="22"/>
        <v>3</v>
      </c>
      <c r="O112" s="671">
        <f t="shared" si="23"/>
        <v>175</v>
      </c>
      <c r="P112" s="861"/>
      <c r="Q112" s="861"/>
      <c r="R112" s="861"/>
      <c r="S112" s="861" t="s">
        <v>424</v>
      </c>
      <c r="T112" s="866"/>
      <c r="U112" s="865"/>
    </row>
    <row r="113" spans="2:21" ht="15">
      <c r="B113" s="861" t="s">
        <v>1050</v>
      </c>
      <c r="C113" s="861" t="s">
        <v>1051</v>
      </c>
      <c r="D113" s="861" t="s">
        <v>371</v>
      </c>
      <c r="E113" s="861"/>
      <c r="F113" s="862">
        <v>-0.27300000000000002</v>
      </c>
      <c r="G113" s="869">
        <v>1.503358787</v>
      </c>
      <c r="H113" s="874">
        <v>4347864819.8299999</v>
      </c>
      <c r="I113" s="871">
        <v>11.18</v>
      </c>
      <c r="J113" s="862">
        <v>0.23699999999999999</v>
      </c>
      <c r="K113" s="868">
        <f t="shared" si="20"/>
        <v>438</v>
      </c>
      <c r="L113" s="861"/>
      <c r="M113" s="671">
        <f t="shared" si="21"/>
        <v>111</v>
      </c>
      <c r="N113" s="671">
        <f t="shared" si="22"/>
        <v>217</v>
      </c>
      <c r="O113" s="671">
        <f t="shared" si="23"/>
        <v>202</v>
      </c>
      <c r="P113" s="861" t="s">
        <v>1052</v>
      </c>
      <c r="Q113" s="861"/>
      <c r="R113" s="861"/>
      <c r="S113" s="861" t="s">
        <v>404</v>
      </c>
      <c r="T113" s="866" t="s">
        <v>1053</v>
      </c>
      <c r="U113" s="865"/>
    </row>
    <row r="114" spans="2:21" ht="15">
      <c r="B114" s="861" t="s">
        <v>1054</v>
      </c>
      <c r="C114" s="861" t="s">
        <v>1055</v>
      </c>
      <c r="D114" s="861" t="s">
        <v>371</v>
      </c>
      <c r="E114" s="861"/>
      <c r="F114" s="862">
        <v>0.12</v>
      </c>
      <c r="G114" s="869">
        <v>2.6940314729999999</v>
      </c>
      <c r="H114" s="874">
        <v>4331538840.96</v>
      </c>
      <c r="I114" s="871">
        <v>107.74</v>
      </c>
      <c r="J114" s="862">
        <v>7.0000000000000001E-3</v>
      </c>
      <c r="K114" s="868">
        <f t="shared" si="20"/>
        <v>175</v>
      </c>
      <c r="L114" s="861"/>
      <c r="M114" s="671">
        <f t="shared" si="21"/>
        <v>112</v>
      </c>
      <c r="N114" s="671">
        <f t="shared" si="22"/>
        <v>26</v>
      </c>
      <c r="O114" s="671">
        <f t="shared" si="23"/>
        <v>689</v>
      </c>
      <c r="P114" s="861"/>
      <c r="Q114" s="861"/>
      <c r="R114" s="861"/>
      <c r="S114" s="861" t="s">
        <v>404</v>
      </c>
      <c r="T114" s="866" t="s">
        <v>1056</v>
      </c>
      <c r="U114" s="865"/>
    </row>
    <row r="115" spans="2:21" ht="15">
      <c r="B115" s="861" t="s">
        <v>1057</v>
      </c>
      <c r="C115" s="861" t="s">
        <v>1058</v>
      </c>
      <c r="D115" s="861" t="s">
        <v>371</v>
      </c>
      <c r="E115" s="861"/>
      <c r="F115" s="862">
        <v>0.218</v>
      </c>
      <c r="G115" s="870" t="s">
        <v>1059</v>
      </c>
      <c r="H115" s="874">
        <v>4297157859.6499996</v>
      </c>
      <c r="I115" s="872" t="s">
        <v>1060</v>
      </c>
      <c r="J115" s="862">
        <v>0.41799999999999998</v>
      </c>
      <c r="K115" s="868">
        <f t="shared" si="20"/>
        <v>89</v>
      </c>
      <c r="L115" s="861" t="s">
        <v>1061</v>
      </c>
      <c r="M115" s="671">
        <f t="shared" si="21"/>
        <v>113</v>
      </c>
      <c r="N115" s="671" t="str">
        <f t="shared" si="22"/>
        <v>N/A</v>
      </c>
      <c r="O115" s="671">
        <f t="shared" si="23"/>
        <v>52</v>
      </c>
      <c r="P115" s="861" t="s">
        <v>1062</v>
      </c>
      <c r="Q115" s="861" t="s">
        <v>1063</v>
      </c>
      <c r="R115" s="861" t="s">
        <v>1064</v>
      </c>
      <c r="S115" s="861" t="s">
        <v>1065</v>
      </c>
      <c r="T115" s="866" t="s">
        <v>1066</v>
      </c>
      <c r="U115" s="865"/>
    </row>
    <row r="116" spans="2:21" ht="15">
      <c r="B116" s="861" t="s">
        <v>1067</v>
      </c>
      <c r="C116" s="861" t="s">
        <v>1068</v>
      </c>
      <c r="D116" s="861" t="s">
        <v>371</v>
      </c>
      <c r="E116" s="861"/>
      <c r="F116" s="862">
        <v>0.248</v>
      </c>
      <c r="G116" s="869">
        <v>2.8822614E-2</v>
      </c>
      <c r="H116" s="874">
        <v>4257320069.0300002</v>
      </c>
      <c r="I116" s="871">
        <v>18.16</v>
      </c>
      <c r="J116" s="863" t="s">
        <v>832</v>
      </c>
      <c r="K116" s="868">
        <f t="shared" si="20"/>
        <v>70</v>
      </c>
      <c r="L116" s="861"/>
      <c r="M116" s="671">
        <f t="shared" si="21"/>
        <v>114</v>
      </c>
      <c r="N116" s="671">
        <f t="shared" si="22"/>
        <v>183</v>
      </c>
      <c r="O116" s="671" t="str">
        <f t="shared" si="23"/>
        <v>N/A</v>
      </c>
      <c r="P116" s="861"/>
      <c r="Q116" s="861"/>
      <c r="R116" s="861"/>
      <c r="S116" s="861" t="s">
        <v>424</v>
      </c>
      <c r="T116" s="866" t="s">
        <v>1069</v>
      </c>
      <c r="U116" s="865"/>
    </row>
    <row r="117" spans="2:21" ht="15">
      <c r="B117" s="861" t="s">
        <v>1070</v>
      </c>
      <c r="C117" s="861" t="s">
        <v>1071</v>
      </c>
      <c r="D117" s="861" t="s">
        <v>371</v>
      </c>
      <c r="E117" s="861"/>
      <c r="F117" s="862">
        <v>7.3999999999999996E-2</v>
      </c>
      <c r="G117" s="869">
        <v>13.49566199</v>
      </c>
      <c r="H117" s="874">
        <v>4165850276.6399999</v>
      </c>
      <c r="I117" s="871">
        <v>8.31</v>
      </c>
      <c r="J117" s="863" t="s">
        <v>1072</v>
      </c>
      <c r="K117" s="868">
        <f t="shared" si="20"/>
        <v>221</v>
      </c>
      <c r="L117" s="861"/>
      <c r="M117" s="671">
        <f t="shared" si="21"/>
        <v>115</v>
      </c>
      <c r="N117" s="671">
        <f t="shared" si="22"/>
        <v>241</v>
      </c>
      <c r="O117" s="671" t="str">
        <f t="shared" si="23"/>
        <v>N/A</v>
      </c>
      <c r="P117" s="861" t="s">
        <v>1073</v>
      </c>
      <c r="Q117" s="861" t="s">
        <v>1074</v>
      </c>
      <c r="R117" s="861"/>
      <c r="S117" s="861" t="s">
        <v>1075</v>
      </c>
      <c r="T117" s="866" t="s">
        <v>1076</v>
      </c>
      <c r="U117" s="865"/>
    </row>
    <row r="118" spans="2:21" ht="15">
      <c r="B118" s="861" t="s">
        <v>1077</v>
      </c>
      <c r="C118" s="861" t="s">
        <v>1078</v>
      </c>
      <c r="D118" s="861" t="s">
        <v>371</v>
      </c>
      <c r="E118" s="861"/>
      <c r="F118" s="862">
        <v>-0.74</v>
      </c>
      <c r="G118" s="870" t="s">
        <v>1079</v>
      </c>
      <c r="H118" s="874">
        <v>4125947195.4699998</v>
      </c>
      <c r="I118" s="871"/>
      <c r="J118" s="863" t="s">
        <v>1080</v>
      </c>
      <c r="K118" s="868">
        <f t="shared" si="20"/>
        <v>486</v>
      </c>
      <c r="L118" s="861" t="s">
        <v>569</v>
      </c>
      <c r="M118" s="671">
        <f t="shared" si="21"/>
        <v>116</v>
      </c>
      <c r="N118" s="671" t="str">
        <f t="shared" si="22"/>
        <v>N/A</v>
      </c>
      <c r="O118" s="671" t="str">
        <f t="shared" si="23"/>
        <v>N/A</v>
      </c>
      <c r="P118" s="861" t="s">
        <v>1081</v>
      </c>
      <c r="Q118" s="861" t="s">
        <v>397</v>
      </c>
      <c r="R118" s="861" t="s">
        <v>1082</v>
      </c>
      <c r="S118" s="861" t="s">
        <v>1083</v>
      </c>
      <c r="T118" s="866" t="s">
        <v>1084</v>
      </c>
      <c r="U118" s="865"/>
    </row>
    <row r="119" spans="2:21" ht="15">
      <c r="B119" s="861" t="s">
        <v>1085</v>
      </c>
      <c r="C119" s="861" t="s">
        <v>1086</v>
      </c>
      <c r="D119" s="861" t="s">
        <v>371</v>
      </c>
      <c r="E119" s="861"/>
      <c r="F119" s="862">
        <v>-0.10100000000000001</v>
      </c>
      <c r="G119" s="870" t="s">
        <v>1087</v>
      </c>
      <c r="H119" s="874">
        <v>4117350978.98</v>
      </c>
      <c r="I119" s="871">
        <v>45.88</v>
      </c>
      <c r="J119" s="863" t="s">
        <v>1088</v>
      </c>
      <c r="K119" s="868">
        <f t="shared" si="20"/>
        <v>382</v>
      </c>
      <c r="L119" s="861"/>
      <c r="M119" s="671">
        <f t="shared" si="21"/>
        <v>117</v>
      </c>
      <c r="N119" s="671">
        <f t="shared" si="22"/>
        <v>94</v>
      </c>
      <c r="O119" s="671" t="str">
        <f t="shared" si="23"/>
        <v>N/A</v>
      </c>
      <c r="P119" s="861" t="s">
        <v>1089</v>
      </c>
      <c r="Q119" s="861" t="s">
        <v>1090</v>
      </c>
      <c r="R119" s="861"/>
      <c r="S119" s="861" t="s">
        <v>904</v>
      </c>
      <c r="T119" s="866" t="s">
        <v>1091</v>
      </c>
      <c r="U119" s="865"/>
    </row>
    <row r="120" spans="2:21" ht="15">
      <c r="B120" s="861" t="s">
        <v>1092</v>
      </c>
      <c r="C120" s="861" t="s">
        <v>1093</v>
      </c>
      <c r="D120" s="861" t="s">
        <v>371</v>
      </c>
      <c r="E120" s="861"/>
      <c r="F120" s="862">
        <v>6.0000000000000001E-3</v>
      </c>
      <c r="G120" s="870" t="s">
        <v>1094</v>
      </c>
      <c r="H120" s="874">
        <v>3997044520.3299999</v>
      </c>
      <c r="I120" s="871">
        <v>88.44</v>
      </c>
      <c r="J120" s="861"/>
      <c r="K120" s="868">
        <f t="shared" si="20"/>
        <v>310</v>
      </c>
      <c r="L120" s="861"/>
      <c r="M120" s="671">
        <f t="shared" si="21"/>
        <v>118</v>
      </c>
      <c r="N120" s="671">
        <f t="shared" si="22"/>
        <v>41</v>
      </c>
      <c r="O120" s="671">
        <f t="shared" si="23"/>
        <v>708</v>
      </c>
      <c r="P120" s="861"/>
      <c r="Q120" s="861"/>
      <c r="R120" s="861"/>
      <c r="S120" s="861" t="s">
        <v>563</v>
      </c>
      <c r="T120" s="866" t="s">
        <v>1095</v>
      </c>
      <c r="U120" s="865"/>
    </row>
    <row r="121" spans="2:21" ht="15">
      <c r="B121" s="861" t="s">
        <v>1096</v>
      </c>
      <c r="C121" s="861" t="s">
        <v>1097</v>
      </c>
      <c r="D121" s="861" t="s">
        <v>371</v>
      </c>
      <c r="E121" s="861"/>
      <c r="F121" s="862"/>
      <c r="G121" s="869">
        <v>0</v>
      </c>
      <c r="H121" s="874">
        <v>3945838888.9400001</v>
      </c>
      <c r="I121" s="871"/>
      <c r="J121" s="862">
        <v>0.36399999999999999</v>
      </c>
      <c r="K121" s="868">
        <f t="shared" si="20"/>
        <v>316</v>
      </c>
      <c r="L121" s="861"/>
      <c r="M121" s="671">
        <f t="shared" si="21"/>
        <v>119</v>
      </c>
      <c r="N121" s="671" t="str">
        <f t="shared" si="22"/>
        <v>N/A</v>
      </c>
      <c r="O121" s="671">
        <f t="shared" si="23"/>
        <v>73</v>
      </c>
      <c r="P121" s="861" t="s">
        <v>1098</v>
      </c>
      <c r="Q121" s="861" t="s">
        <v>1099</v>
      </c>
      <c r="R121" s="861" t="s">
        <v>467</v>
      </c>
      <c r="S121" s="861" t="s">
        <v>1100</v>
      </c>
      <c r="T121" s="866" t="s">
        <v>1101</v>
      </c>
      <c r="U121" s="865"/>
    </row>
    <row r="122" spans="2:21" ht="15">
      <c r="B122" s="861" t="s">
        <v>1102</v>
      </c>
      <c r="C122" s="861" t="s">
        <v>1103</v>
      </c>
      <c r="D122" s="861" t="s">
        <v>371</v>
      </c>
      <c r="E122" s="861"/>
      <c r="F122" s="862">
        <v>0.22900000000000001</v>
      </c>
      <c r="G122" s="869">
        <v>0.12748672</v>
      </c>
      <c r="H122" s="874">
        <v>3841012816.8499999</v>
      </c>
      <c r="I122" s="871">
        <v>18.07</v>
      </c>
      <c r="J122" s="862">
        <v>0.12</v>
      </c>
      <c r="K122" s="868">
        <f t="shared" si="20"/>
        <v>79</v>
      </c>
      <c r="L122" s="861"/>
      <c r="M122" s="671">
        <f t="shared" si="21"/>
        <v>120</v>
      </c>
      <c r="N122" s="671">
        <f t="shared" si="22"/>
        <v>184</v>
      </c>
      <c r="O122" s="671">
        <f t="shared" si="23"/>
        <v>424</v>
      </c>
      <c r="P122" s="861"/>
      <c r="Q122" s="861"/>
      <c r="R122" s="861"/>
      <c r="S122" s="861" t="s">
        <v>404</v>
      </c>
      <c r="T122" s="866" t="s">
        <v>1104</v>
      </c>
      <c r="U122" s="865"/>
    </row>
    <row r="123" spans="2:21" ht="15">
      <c r="B123" s="861" t="s">
        <v>1105</v>
      </c>
      <c r="C123" s="861" t="s">
        <v>1106</v>
      </c>
      <c r="D123" s="861" t="s">
        <v>371</v>
      </c>
      <c r="E123" s="861"/>
      <c r="F123" s="862">
        <v>5.8000000000000003E-2</v>
      </c>
      <c r="G123" s="869">
        <v>0</v>
      </c>
      <c r="H123" s="874">
        <v>3780910556.2800002</v>
      </c>
      <c r="I123" s="871">
        <v>41.62</v>
      </c>
      <c r="J123" s="862">
        <v>0.31</v>
      </c>
      <c r="K123" s="868">
        <f t="shared" si="20"/>
        <v>245</v>
      </c>
      <c r="L123" s="861"/>
      <c r="M123" s="671">
        <f t="shared" si="21"/>
        <v>121</v>
      </c>
      <c r="N123" s="671">
        <f t="shared" si="22"/>
        <v>106</v>
      </c>
      <c r="O123" s="671">
        <f t="shared" si="23"/>
        <v>115</v>
      </c>
      <c r="P123" s="861"/>
      <c r="Q123" s="861"/>
      <c r="R123" s="861"/>
      <c r="S123" s="861" t="s">
        <v>734</v>
      </c>
      <c r="T123" s="866" t="s">
        <v>1107</v>
      </c>
      <c r="U123" s="865"/>
    </row>
    <row r="124" spans="2:21" ht="15">
      <c r="B124" s="861" t="s">
        <v>1108</v>
      </c>
      <c r="C124" s="861" t="s">
        <v>1109</v>
      </c>
      <c r="D124" s="861" t="s">
        <v>371</v>
      </c>
      <c r="E124" s="861"/>
      <c r="F124" s="862">
        <v>8.6999999999999994E-2</v>
      </c>
      <c r="G124" s="870" t="s">
        <v>1110</v>
      </c>
      <c r="H124" s="874">
        <v>3718712005.7399998</v>
      </c>
      <c r="I124" s="871">
        <v>61.46</v>
      </c>
      <c r="J124" s="862">
        <v>8.3000000000000004E-2</v>
      </c>
      <c r="K124" s="868">
        <f t="shared" si="20"/>
        <v>207</v>
      </c>
      <c r="L124" s="861"/>
      <c r="M124" s="671">
        <f t="shared" si="21"/>
        <v>122</v>
      </c>
      <c r="N124" s="671">
        <f t="shared" si="22"/>
        <v>67</v>
      </c>
      <c r="O124" s="671">
        <f t="shared" si="23"/>
        <v>537</v>
      </c>
      <c r="P124" s="861"/>
      <c r="Q124" s="861"/>
      <c r="R124" s="861"/>
      <c r="S124" s="861" t="s">
        <v>424</v>
      </c>
      <c r="T124" s="866" t="s">
        <v>1111</v>
      </c>
      <c r="U124" s="865"/>
    </row>
    <row r="125" spans="2:21" ht="15">
      <c r="B125" s="861" t="s">
        <v>1112</v>
      </c>
      <c r="C125" s="861" t="s">
        <v>1113</v>
      </c>
      <c r="D125" s="861" t="s">
        <v>371</v>
      </c>
      <c r="E125" s="861"/>
      <c r="F125" s="862">
        <v>5.1999999999999998E-2</v>
      </c>
      <c r="G125" s="870" t="s">
        <v>1114</v>
      </c>
      <c r="H125" s="874">
        <v>3687829984.2800002</v>
      </c>
      <c r="I125" s="871">
        <v>13.25</v>
      </c>
      <c r="J125" s="862">
        <v>0.13700000000000001</v>
      </c>
      <c r="K125" s="868">
        <f t="shared" si="20"/>
        <v>253</v>
      </c>
      <c r="L125" s="861"/>
      <c r="M125" s="671">
        <f t="shared" si="21"/>
        <v>123</v>
      </c>
      <c r="N125" s="671">
        <f t="shared" si="22"/>
        <v>203</v>
      </c>
      <c r="O125" s="671">
        <f t="shared" si="23"/>
        <v>376</v>
      </c>
      <c r="P125" s="861"/>
      <c r="Q125" s="861"/>
      <c r="R125" s="861"/>
      <c r="S125" s="861" t="s">
        <v>424</v>
      </c>
      <c r="T125" s="866" t="s">
        <v>1115</v>
      </c>
      <c r="U125" s="865"/>
    </row>
    <row r="126" spans="2:21" ht="15">
      <c r="B126" s="861" t="s">
        <v>1116</v>
      </c>
      <c r="C126" s="861" t="s">
        <v>1117</v>
      </c>
      <c r="D126" s="861" t="s">
        <v>371</v>
      </c>
      <c r="E126" s="861"/>
      <c r="F126" s="862">
        <v>0.21199999999999999</v>
      </c>
      <c r="G126" s="870" t="s">
        <v>1118</v>
      </c>
      <c r="H126" s="874">
        <v>3557516801.3000002</v>
      </c>
      <c r="I126" s="872" t="s">
        <v>1119</v>
      </c>
      <c r="J126" s="862">
        <v>0.44700000000000001</v>
      </c>
      <c r="K126" s="868">
        <f t="shared" si="20"/>
        <v>91</v>
      </c>
      <c r="L126" s="861" t="s">
        <v>432</v>
      </c>
      <c r="M126" s="671">
        <f t="shared" si="21"/>
        <v>124</v>
      </c>
      <c r="N126" s="671" t="str">
        <f t="shared" si="22"/>
        <v>N/A</v>
      </c>
      <c r="O126" s="671">
        <f t="shared" si="23"/>
        <v>42</v>
      </c>
      <c r="P126" s="861" t="s">
        <v>1120</v>
      </c>
      <c r="Q126" s="861" t="s">
        <v>1121</v>
      </c>
      <c r="R126" s="861" t="s">
        <v>1122</v>
      </c>
      <c r="S126" s="861" t="s">
        <v>1123</v>
      </c>
      <c r="T126" s="866" t="s">
        <v>1124</v>
      </c>
      <c r="U126" s="865"/>
    </row>
    <row r="127" spans="2:21" ht="15">
      <c r="B127" s="861" t="s">
        <v>1125</v>
      </c>
      <c r="C127" s="861" t="s">
        <v>1126</v>
      </c>
      <c r="D127" s="861" t="s">
        <v>371</v>
      </c>
      <c r="E127" s="861"/>
      <c r="F127" s="862">
        <v>8.4000000000000005E-2</v>
      </c>
      <c r="G127" s="869">
        <v>0</v>
      </c>
      <c r="H127" s="874">
        <v>3487340538.1799998</v>
      </c>
      <c r="I127" s="871">
        <v>12.88</v>
      </c>
      <c r="J127" s="862">
        <v>9.8000000000000004E-2</v>
      </c>
      <c r="K127" s="868">
        <f t="shared" si="20"/>
        <v>210</v>
      </c>
      <c r="L127" s="861"/>
      <c r="M127" s="671">
        <f t="shared" si="21"/>
        <v>125</v>
      </c>
      <c r="N127" s="671">
        <f t="shared" si="22"/>
        <v>206</v>
      </c>
      <c r="O127" s="671">
        <f t="shared" si="23"/>
        <v>504</v>
      </c>
      <c r="P127" s="861" t="s">
        <v>1127</v>
      </c>
      <c r="Q127" s="861"/>
      <c r="R127" s="861"/>
      <c r="S127" s="861" t="s">
        <v>1128</v>
      </c>
      <c r="T127" s="866" t="s">
        <v>1129</v>
      </c>
      <c r="U127" s="865"/>
    </row>
    <row r="128" spans="2:21" ht="15">
      <c r="B128" s="861" t="s">
        <v>1130</v>
      </c>
      <c r="C128" s="861" t="s">
        <v>1131</v>
      </c>
      <c r="D128" s="861" t="s">
        <v>371</v>
      </c>
      <c r="E128" s="861"/>
      <c r="F128" s="862">
        <v>-0.39300000000000002</v>
      </c>
      <c r="G128" s="869">
        <v>10.620411320000001</v>
      </c>
      <c r="H128" s="874">
        <v>3437343669.6199999</v>
      </c>
      <c r="I128" s="871"/>
      <c r="J128" s="863" t="s">
        <v>1132</v>
      </c>
      <c r="K128" s="868">
        <f t="shared" si="20"/>
        <v>462</v>
      </c>
      <c r="L128" s="861"/>
      <c r="M128" s="671">
        <f t="shared" si="21"/>
        <v>126</v>
      </c>
      <c r="N128" s="671" t="str">
        <f t="shared" si="22"/>
        <v>N/A</v>
      </c>
      <c r="O128" s="671" t="str">
        <f t="shared" si="23"/>
        <v>N/A</v>
      </c>
      <c r="P128" s="861"/>
      <c r="Q128" s="861"/>
      <c r="R128" s="861"/>
      <c r="S128" s="861" t="s">
        <v>424</v>
      </c>
      <c r="T128" s="866" t="s">
        <v>1133</v>
      </c>
      <c r="U128" s="865"/>
    </row>
    <row r="129" spans="2:21" ht="15">
      <c r="B129" s="861" t="s">
        <v>1134</v>
      </c>
      <c r="C129" s="861" t="s">
        <v>1135</v>
      </c>
      <c r="D129" s="861" t="s">
        <v>371</v>
      </c>
      <c r="E129" s="861"/>
      <c r="F129" s="862"/>
      <c r="G129" s="870" t="s">
        <v>1136</v>
      </c>
      <c r="H129" s="874">
        <v>3423785786.9499998</v>
      </c>
      <c r="I129" s="871">
        <v>11.15</v>
      </c>
      <c r="J129" s="862">
        <v>0.49299999999999999</v>
      </c>
      <c r="K129" s="868">
        <f t="shared" si="20"/>
        <v>316</v>
      </c>
      <c r="L129" s="861"/>
      <c r="M129" s="671">
        <f t="shared" si="21"/>
        <v>127</v>
      </c>
      <c r="N129" s="671">
        <f t="shared" si="22"/>
        <v>218</v>
      </c>
      <c r="O129" s="671">
        <f t="shared" si="23"/>
        <v>23</v>
      </c>
      <c r="P129" s="861" t="s">
        <v>1137</v>
      </c>
      <c r="Q129" s="861" t="s">
        <v>1138</v>
      </c>
      <c r="R129" s="861"/>
      <c r="S129" s="861" t="s">
        <v>1139</v>
      </c>
      <c r="T129" s="866" t="s">
        <v>1140</v>
      </c>
      <c r="U129" s="865"/>
    </row>
    <row r="130" spans="2:21" ht="15">
      <c r="B130" s="861" t="s">
        <v>1141</v>
      </c>
      <c r="C130" s="861" t="s">
        <v>1142</v>
      </c>
      <c r="D130" s="861" t="s">
        <v>371</v>
      </c>
      <c r="E130" s="861"/>
      <c r="F130" s="862">
        <v>0.307</v>
      </c>
      <c r="G130" s="869">
        <v>0.77372574100000002</v>
      </c>
      <c r="H130" s="874">
        <v>3415777423.3099999</v>
      </c>
      <c r="I130" s="871"/>
      <c r="J130" s="862">
        <v>0.435</v>
      </c>
      <c r="K130" s="868">
        <f t="shared" si="20"/>
        <v>47</v>
      </c>
      <c r="L130" s="861"/>
      <c r="M130" s="671">
        <f t="shared" si="21"/>
        <v>128</v>
      </c>
      <c r="N130" s="671" t="str">
        <f t="shared" si="22"/>
        <v>N/A</v>
      </c>
      <c r="O130" s="671">
        <f t="shared" si="23"/>
        <v>44</v>
      </c>
      <c r="P130" s="861" t="s">
        <v>1143</v>
      </c>
      <c r="Q130" s="861"/>
      <c r="R130" s="861"/>
      <c r="S130" s="861" t="s">
        <v>563</v>
      </c>
      <c r="T130" s="866" t="s">
        <v>1144</v>
      </c>
      <c r="U130" s="865"/>
    </row>
    <row r="131" spans="2:21" ht="15">
      <c r="B131" s="861" t="s">
        <v>1145</v>
      </c>
      <c r="C131" s="861" t="s">
        <v>1146</v>
      </c>
      <c r="D131" s="861" t="s">
        <v>371</v>
      </c>
      <c r="E131" s="861"/>
      <c r="F131" s="862">
        <v>-0.24399999999999999</v>
      </c>
      <c r="G131" s="870" t="s">
        <v>1147</v>
      </c>
      <c r="H131" s="874">
        <v>3308012077.9200001</v>
      </c>
      <c r="I131" s="872" t="s">
        <v>1148</v>
      </c>
      <c r="J131" s="863" t="s">
        <v>1149</v>
      </c>
      <c r="K131" s="868">
        <f t="shared" si="20"/>
        <v>430</v>
      </c>
      <c r="L131" s="861"/>
      <c r="M131" s="671">
        <f t="shared" si="21"/>
        <v>129</v>
      </c>
      <c r="N131" s="671" t="str">
        <f t="shared" si="22"/>
        <v>N/A</v>
      </c>
      <c r="O131" s="671" t="str">
        <f t="shared" si="23"/>
        <v>N/A</v>
      </c>
      <c r="P131" s="861" t="s">
        <v>1150</v>
      </c>
      <c r="Q131" s="861"/>
      <c r="R131" s="861"/>
      <c r="S131" s="861" t="s">
        <v>1082</v>
      </c>
      <c r="T131" s="866" t="s">
        <v>1151</v>
      </c>
      <c r="U131" s="865"/>
    </row>
    <row r="132" spans="2:21" ht="15">
      <c r="B132" s="861" t="s">
        <v>1152</v>
      </c>
      <c r="C132" s="861" t="s">
        <v>1153</v>
      </c>
      <c r="D132" s="861" t="s">
        <v>371</v>
      </c>
      <c r="E132" s="861"/>
      <c r="F132" s="862">
        <v>-1.9E-2</v>
      </c>
      <c r="G132" s="870" t="s">
        <v>1154</v>
      </c>
      <c r="H132" s="874">
        <v>3300637257.98</v>
      </c>
      <c r="I132" s="871">
        <v>5.65</v>
      </c>
      <c r="J132" s="862">
        <v>9.8000000000000004E-2</v>
      </c>
      <c r="K132" s="868">
        <f t="shared" ref="K132:K195" si="30">IFERROR(_xlfn.RANK.EQ(F132,F$3:F$1770),"N/A")</f>
        <v>326</v>
      </c>
      <c r="L132" s="861"/>
      <c r="M132" s="671">
        <f t="shared" ref="M132:M195" si="31">IFERROR(_xlfn.RANK.EQ(H132,H$3:H$1770),"N/A")</f>
        <v>130</v>
      </c>
      <c r="N132" s="671">
        <f t="shared" ref="N132:N195" si="32">IFERROR(_xlfn.RANK.EQ(I132,I$3:I$1770),"N/A")</f>
        <v>265</v>
      </c>
      <c r="O132" s="671">
        <f t="shared" ref="O132:O195" si="33">IFERROR(_xlfn.RANK.EQ(J132,J$3:J$1770),"N/A")</f>
        <v>504</v>
      </c>
      <c r="P132" s="861" t="s">
        <v>1120</v>
      </c>
      <c r="Q132" s="861"/>
      <c r="R132" s="861"/>
      <c r="S132" s="861" t="s">
        <v>563</v>
      </c>
      <c r="T132" s="866" t="s">
        <v>1155</v>
      </c>
      <c r="U132" s="865"/>
    </row>
    <row r="133" spans="2:21" ht="15">
      <c r="B133" s="861" t="s">
        <v>1156</v>
      </c>
      <c r="C133" s="861" t="s">
        <v>1157</v>
      </c>
      <c r="D133" s="861" t="s">
        <v>371</v>
      </c>
      <c r="E133" s="861"/>
      <c r="F133" s="862">
        <v>0.53</v>
      </c>
      <c r="G133" s="869">
        <v>0</v>
      </c>
      <c r="H133" s="874">
        <v>3281488071.2800002</v>
      </c>
      <c r="I133" s="872" t="s">
        <v>1158</v>
      </c>
      <c r="J133" s="863" t="s">
        <v>1159</v>
      </c>
      <c r="K133" s="868">
        <f t="shared" si="30"/>
        <v>16</v>
      </c>
      <c r="L133" s="861"/>
      <c r="M133" s="671">
        <f t="shared" si="31"/>
        <v>131</v>
      </c>
      <c r="N133" s="671" t="str">
        <f t="shared" si="32"/>
        <v>N/A</v>
      </c>
      <c r="O133" s="671" t="str">
        <f t="shared" si="33"/>
        <v>N/A</v>
      </c>
      <c r="P133" s="861"/>
      <c r="Q133" s="861"/>
      <c r="R133" s="863" t="s">
        <v>1160</v>
      </c>
      <c r="S133" s="861" t="s">
        <v>424</v>
      </c>
      <c r="T133" s="866" t="s">
        <v>1161</v>
      </c>
      <c r="U133" s="865"/>
    </row>
    <row r="134" spans="2:21" ht="15">
      <c r="B134" s="861" t="s">
        <v>1162</v>
      </c>
      <c r="C134" s="861" t="s">
        <v>1163</v>
      </c>
      <c r="D134" s="861" t="s">
        <v>371</v>
      </c>
      <c r="E134" s="861"/>
      <c r="F134" s="862">
        <v>-2.8000000000000001E-2</v>
      </c>
      <c r="G134" s="870" t="s">
        <v>1164</v>
      </c>
      <c r="H134" s="874">
        <v>3261234287.1199999</v>
      </c>
      <c r="I134" s="871"/>
      <c r="J134" s="862">
        <v>0.40100000000000002</v>
      </c>
      <c r="K134" s="868">
        <f t="shared" si="30"/>
        <v>331</v>
      </c>
      <c r="L134" s="861" t="s">
        <v>1165</v>
      </c>
      <c r="M134" s="671">
        <f t="shared" si="31"/>
        <v>132</v>
      </c>
      <c r="N134" s="671" t="str">
        <f t="shared" si="32"/>
        <v>N/A</v>
      </c>
      <c r="O134" s="671">
        <f t="shared" si="33"/>
        <v>57</v>
      </c>
      <c r="P134" s="861" t="s">
        <v>1166</v>
      </c>
      <c r="Q134" s="861" t="s">
        <v>1167</v>
      </c>
      <c r="R134" s="861" t="s">
        <v>1168</v>
      </c>
      <c r="S134" s="861" t="s">
        <v>1169</v>
      </c>
      <c r="T134" s="866" t="s">
        <v>1170</v>
      </c>
      <c r="U134" s="865"/>
    </row>
    <row r="135" spans="2:21" ht="15">
      <c r="B135" s="861" t="s">
        <v>1171</v>
      </c>
      <c r="C135" s="861" t="s">
        <v>1172</v>
      </c>
      <c r="D135" s="861" t="s">
        <v>371</v>
      </c>
      <c r="E135" s="861"/>
      <c r="F135" s="862">
        <v>0.377</v>
      </c>
      <c r="G135" s="869">
        <v>0.27632532999999998</v>
      </c>
      <c r="H135" s="874">
        <v>3238303181.8899999</v>
      </c>
      <c r="I135" s="871">
        <v>15.79</v>
      </c>
      <c r="J135" s="862">
        <v>0.10299999999999999</v>
      </c>
      <c r="K135" s="868">
        <f t="shared" si="30"/>
        <v>34</v>
      </c>
      <c r="L135" s="861"/>
      <c r="M135" s="671">
        <f t="shared" si="31"/>
        <v>133</v>
      </c>
      <c r="N135" s="671">
        <f t="shared" si="32"/>
        <v>192</v>
      </c>
      <c r="O135" s="671">
        <f t="shared" si="33"/>
        <v>482</v>
      </c>
      <c r="P135" s="861"/>
      <c r="Q135" s="861"/>
      <c r="R135" s="861"/>
      <c r="S135" s="861" t="s">
        <v>424</v>
      </c>
      <c r="T135" s="866" t="s">
        <v>1173</v>
      </c>
      <c r="U135" s="865"/>
    </row>
    <row r="136" spans="2:21" ht="15">
      <c r="B136" s="861" t="s">
        <v>1174</v>
      </c>
      <c r="C136" s="861" t="s">
        <v>1175</v>
      </c>
      <c r="D136" s="861" t="s">
        <v>371</v>
      </c>
      <c r="E136" s="861"/>
      <c r="F136" s="862"/>
      <c r="G136" s="869">
        <v>2.040328068</v>
      </c>
      <c r="H136" s="874">
        <v>3221200695.3600001</v>
      </c>
      <c r="I136" s="871"/>
      <c r="J136" s="863" t="s">
        <v>1176</v>
      </c>
      <c r="K136" s="868">
        <f t="shared" si="30"/>
        <v>316</v>
      </c>
      <c r="L136" s="861"/>
      <c r="M136" s="671">
        <f t="shared" si="31"/>
        <v>134</v>
      </c>
      <c r="N136" s="671" t="str">
        <f t="shared" si="32"/>
        <v>N/A</v>
      </c>
      <c r="O136" s="671" t="str">
        <f t="shared" si="33"/>
        <v>N/A</v>
      </c>
      <c r="P136" s="861" t="s">
        <v>1177</v>
      </c>
      <c r="Q136" s="861" t="s">
        <v>1178</v>
      </c>
      <c r="R136" s="861"/>
      <c r="S136" s="861" t="s">
        <v>507</v>
      </c>
      <c r="T136" s="866" t="s">
        <v>1179</v>
      </c>
      <c r="U136" s="865"/>
    </row>
    <row r="137" spans="2:21" ht="15">
      <c r="B137" s="861" t="s">
        <v>1180</v>
      </c>
      <c r="C137" s="861" t="s">
        <v>1181</v>
      </c>
      <c r="D137" s="861" t="s">
        <v>371</v>
      </c>
      <c r="E137" s="861"/>
      <c r="F137" s="862">
        <v>8.6999999999999994E-2</v>
      </c>
      <c r="G137" s="869">
        <v>0</v>
      </c>
      <c r="H137" s="874">
        <v>3114784549.5900002</v>
      </c>
      <c r="I137" s="872" t="s">
        <v>1182</v>
      </c>
      <c r="J137" s="862">
        <v>0.10299999999999999</v>
      </c>
      <c r="K137" s="868">
        <f t="shared" si="30"/>
        <v>207</v>
      </c>
      <c r="L137" s="861"/>
      <c r="M137" s="671">
        <f t="shared" si="31"/>
        <v>135</v>
      </c>
      <c r="N137" s="671" t="str">
        <f t="shared" si="32"/>
        <v>N/A</v>
      </c>
      <c r="O137" s="671">
        <f t="shared" si="33"/>
        <v>482</v>
      </c>
      <c r="P137" s="863" t="s">
        <v>1183</v>
      </c>
      <c r="Q137" s="861"/>
      <c r="R137" s="861"/>
      <c r="S137" s="861" t="s">
        <v>506</v>
      </c>
      <c r="T137" s="866" t="s">
        <v>1184</v>
      </c>
      <c r="U137" s="865"/>
    </row>
    <row r="138" spans="2:21" ht="15">
      <c r="B138" s="861" t="s">
        <v>1185</v>
      </c>
      <c r="C138" s="861" t="s">
        <v>1186</v>
      </c>
      <c r="D138" s="861" t="s">
        <v>371</v>
      </c>
      <c r="E138" s="861"/>
      <c r="F138" s="862">
        <v>0.14000000000000001</v>
      </c>
      <c r="G138" s="869">
        <v>2.1739129999999999E-2</v>
      </c>
      <c r="H138" s="874">
        <v>3089177962.1100001</v>
      </c>
      <c r="I138" s="871"/>
      <c r="J138" s="862">
        <v>0.14899999999999999</v>
      </c>
      <c r="K138" s="868">
        <f t="shared" si="30"/>
        <v>150</v>
      </c>
      <c r="L138" s="861"/>
      <c r="M138" s="671">
        <f t="shared" si="31"/>
        <v>136</v>
      </c>
      <c r="N138" s="671" t="str">
        <f t="shared" si="32"/>
        <v>N/A</v>
      </c>
      <c r="O138" s="671">
        <f t="shared" si="33"/>
        <v>345</v>
      </c>
      <c r="P138" s="861"/>
      <c r="Q138" s="861"/>
      <c r="R138" s="861"/>
      <c r="S138" s="861" t="s">
        <v>1187</v>
      </c>
      <c r="T138" s="866" t="s">
        <v>1188</v>
      </c>
      <c r="U138" s="865"/>
    </row>
    <row r="139" spans="2:21" ht="15">
      <c r="B139" s="861" t="s">
        <v>1189</v>
      </c>
      <c r="C139" s="861" t="s">
        <v>1190</v>
      </c>
      <c r="D139" s="861" t="s">
        <v>371</v>
      </c>
      <c r="E139" s="861"/>
      <c r="F139" s="862">
        <v>0.36299999999999999</v>
      </c>
      <c r="G139" s="869">
        <v>1.425235032</v>
      </c>
      <c r="H139" s="874">
        <v>3075609899.2800002</v>
      </c>
      <c r="I139" s="871">
        <v>10.55</v>
      </c>
      <c r="J139" s="863" t="s">
        <v>1191</v>
      </c>
      <c r="K139" s="868">
        <f t="shared" si="30"/>
        <v>36</v>
      </c>
      <c r="L139" s="861"/>
      <c r="M139" s="671">
        <f t="shared" si="31"/>
        <v>137</v>
      </c>
      <c r="N139" s="671">
        <f t="shared" si="32"/>
        <v>223</v>
      </c>
      <c r="O139" s="671" t="str">
        <f t="shared" si="33"/>
        <v>N/A</v>
      </c>
      <c r="P139" s="861"/>
      <c r="Q139" s="861"/>
      <c r="R139" s="861"/>
      <c r="S139" s="861" t="s">
        <v>533</v>
      </c>
      <c r="T139" s="866" t="s">
        <v>1192</v>
      </c>
      <c r="U139" s="865"/>
    </row>
    <row r="140" spans="2:21" ht="15">
      <c r="B140" s="861" t="s">
        <v>1193</v>
      </c>
      <c r="C140" s="861" t="s">
        <v>1194</v>
      </c>
      <c r="D140" s="861" t="s">
        <v>371</v>
      </c>
      <c r="E140" s="861"/>
      <c r="F140" s="862">
        <v>-5.1999999999999998E-2</v>
      </c>
      <c r="G140" s="869">
        <v>0</v>
      </c>
      <c r="H140" s="874">
        <v>3069278940.8400002</v>
      </c>
      <c r="I140" s="871">
        <v>20.54</v>
      </c>
      <c r="J140" s="862">
        <v>4.0000000000000001E-3</v>
      </c>
      <c r="K140" s="868">
        <f t="shared" si="30"/>
        <v>344</v>
      </c>
      <c r="L140" s="861"/>
      <c r="M140" s="671">
        <f t="shared" si="31"/>
        <v>138</v>
      </c>
      <c r="N140" s="671">
        <f t="shared" si="32"/>
        <v>175</v>
      </c>
      <c r="O140" s="671">
        <f t="shared" si="33"/>
        <v>699</v>
      </c>
      <c r="P140" s="861" t="s">
        <v>1195</v>
      </c>
      <c r="Q140" s="861" t="s">
        <v>1196</v>
      </c>
      <c r="R140" s="861" t="s">
        <v>550</v>
      </c>
      <c r="S140" s="861" t="s">
        <v>1197</v>
      </c>
      <c r="T140" s="866" t="s">
        <v>1198</v>
      </c>
      <c r="U140" s="865"/>
    </row>
    <row r="141" spans="2:21" ht="15">
      <c r="B141" s="861" t="s">
        <v>1199</v>
      </c>
      <c r="C141" s="861" t="s">
        <v>1200</v>
      </c>
      <c r="D141" s="861" t="s">
        <v>371</v>
      </c>
      <c r="E141" s="861"/>
      <c r="F141" s="862">
        <v>-0.46600000000000003</v>
      </c>
      <c r="G141" s="870" t="s">
        <v>1201</v>
      </c>
      <c r="H141" s="874">
        <v>3065672321.25</v>
      </c>
      <c r="I141" s="871"/>
      <c r="J141" s="863" t="s">
        <v>789</v>
      </c>
      <c r="K141" s="868">
        <f t="shared" si="30"/>
        <v>472</v>
      </c>
      <c r="L141" s="861"/>
      <c r="M141" s="671">
        <f t="shared" si="31"/>
        <v>139</v>
      </c>
      <c r="N141" s="671" t="str">
        <f t="shared" si="32"/>
        <v>N/A</v>
      </c>
      <c r="O141" s="671" t="str">
        <f t="shared" si="33"/>
        <v>N/A</v>
      </c>
      <c r="P141" s="861"/>
      <c r="Q141" s="861"/>
      <c r="R141" s="861"/>
      <c r="S141" s="861" t="s">
        <v>424</v>
      </c>
      <c r="T141" s="866" t="s">
        <v>1202</v>
      </c>
      <c r="U141" s="865"/>
    </row>
    <row r="142" spans="2:21" ht="15">
      <c r="B142" s="861" t="s">
        <v>1203</v>
      </c>
      <c r="C142" s="861" t="s">
        <v>1204</v>
      </c>
      <c r="D142" s="861" t="s">
        <v>371</v>
      </c>
      <c r="E142" s="861"/>
      <c r="F142" s="862">
        <v>-7.0000000000000007E-2</v>
      </c>
      <c r="G142" s="869">
        <v>0</v>
      </c>
      <c r="H142" s="874">
        <v>3050114716.0799999</v>
      </c>
      <c r="I142" s="871">
        <v>66.069999999999993</v>
      </c>
      <c r="J142" s="863" t="s">
        <v>1205</v>
      </c>
      <c r="K142" s="868">
        <f t="shared" si="30"/>
        <v>364</v>
      </c>
      <c r="L142" s="861"/>
      <c r="M142" s="671">
        <f t="shared" si="31"/>
        <v>140</v>
      </c>
      <c r="N142" s="671">
        <f t="shared" si="32"/>
        <v>60</v>
      </c>
      <c r="O142" s="671" t="str">
        <f t="shared" si="33"/>
        <v>N/A</v>
      </c>
      <c r="P142" s="861" t="s">
        <v>460</v>
      </c>
      <c r="Q142" s="861" t="s">
        <v>1165</v>
      </c>
      <c r="R142" s="861"/>
      <c r="S142" s="861" t="s">
        <v>791</v>
      </c>
      <c r="T142" s="866" t="s">
        <v>1206</v>
      </c>
      <c r="U142" s="865"/>
    </row>
    <row r="143" spans="2:21" ht="15">
      <c r="B143" s="861" t="s">
        <v>1207</v>
      </c>
      <c r="C143" s="861" t="s">
        <v>1208</v>
      </c>
      <c r="D143" s="861" t="s">
        <v>371</v>
      </c>
      <c r="E143" s="861"/>
      <c r="F143" s="862">
        <v>6.0000000000000001E-3</v>
      </c>
      <c r="G143" s="869">
        <v>0</v>
      </c>
      <c r="H143" s="874">
        <v>3042922932.8299999</v>
      </c>
      <c r="I143" s="871"/>
      <c r="J143" s="862">
        <v>3.9E-2</v>
      </c>
      <c r="K143" s="868">
        <f t="shared" si="30"/>
        <v>310</v>
      </c>
      <c r="L143" s="861" t="s">
        <v>454</v>
      </c>
      <c r="M143" s="671">
        <f t="shared" si="31"/>
        <v>141</v>
      </c>
      <c r="N143" s="671" t="str">
        <f t="shared" si="32"/>
        <v>N/A</v>
      </c>
      <c r="O143" s="671">
        <f t="shared" si="33"/>
        <v>631</v>
      </c>
      <c r="P143" s="861" t="s">
        <v>793</v>
      </c>
      <c r="Q143" s="861"/>
      <c r="R143" s="861"/>
      <c r="S143" s="861" t="s">
        <v>1209</v>
      </c>
      <c r="T143" s="866" t="s">
        <v>1210</v>
      </c>
      <c r="U143" s="865"/>
    </row>
    <row r="144" spans="2:21" ht="15">
      <c r="B144" s="861" t="s">
        <v>1211</v>
      </c>
      <c r="C144" s="861" t="s">
        <v>1212</v>
      </c>
      <c r="D144" s="861" t="s">
        <v>371</v>
      </c>
      <c r="E144" s="861"/>
      <c r="F144" s="862">
        <v>3.0000000000000001E-3</v>
      </c>
      <c r="G144" s="869">
        <v>0</v>
      </c>
      <c r="H144" s="874">
        <v>3010795182.8200002</v>
      </c>
      <c r="I144" s="872" t="s">
        <v>1213</v>
      </c>
      <c r="J144" s="862">
        <v>0.318</v>
      </c>
      <c r="K144" s="868">
        <f t="shared" si="30"/>
        <v>313</v>
      </c>
      <c r="L144" s="861" t="s">
        <v>1214</v>
      </c>
      <c r="M144" s="671">
        <f t="shared" si="31"/>
        <v>142</v>
      </c>
      <c r="N144" s="671" t="str">
        <f t="shared" si="32"/>
        <v>N/A</v>
      </c>
      <c r="O144" s="671">
        <f t="shared" si="33"/>
        <v>103</v>
      </c>
      <c r="P144" s="861" t="s">
        <v>1215</v>
      </c>
      <c r="Q144" s="861" t="s">
        <v>1216</v>
      </c>
      <c r="R144" s="861" t="s">
        <v>1217</v>
      </c>
      <c r="S144" s="861" t="s">
        <v>1218</v>
      </c>
      <c r="T144" s="866" t="s">
        <v>1219</v>
      </c>
      <c r="U144" s="865"/>
    </row>
    <row r="145" spans="2:21" ht="15">
      <c r="B145" s="861" t="s">
        <v>1220</v>
      </c>
      <c r="C145" s="861" t="s">
        <v>1221</v>
      </c>
      <c r="D145" s="861" t="s">
        <v>371</v>
      </c>
      <c r="E145" s="861"/>
      <c r="F145" s="862">
        <v>5.8000000000000003E-2</v>
      </c>
      <c r="G145" s="869">
        <v>0.50691193099999998</v>
      </c>
      <c r="H145" s="874">
        <v>3004026856.6500001</v>
      </c>
      <c r="I145" s="871"/>
      <c r="J145" s="863" t="s">
        <v>1222</v>
      </c>
      <c r="K145" s="868">
        <f t="shared" si="30"/>
        <v>245</v>
      </c>
      <c r="L145" s="861"/>
      <c r="M145" s="671">
        <f t="shared" si="31"/>
        <v>143</v>
      </c>
      <c r="N145" s="671" t="str">
        <f t="shared" si="32"/>
        <v>N/A</v>
      </c>
      <c r="O145" s="671" t="str">
        <f t="shared" si="33"/>
        <v>N/A</v>
      </c>
      <c r="P145" s="861"/>
      <c r="Q145" s="861"/>
      <c r="R145" s="861"/>
      <c r="S145" s="861" t="s">
        <v>424</v>
      </c>
      <c r="T145" s="866" t="s">
        <v>1223</v>
      </c>
      <c r="U145" s="865"/>
    </row>
    <row r="146" spans="2:21" ht="15">
      <c r="B146" s="861" t="s">
        <v>1224</v>
      </c>
      <c r="C146" s="861" t="s">
        <v>1225</v>
      </c>
      <c r="D146" s="861" t="s">
        <v>371</v>
      </c>
      <c r="E146" s="861"/>
      <c r="F146" s="862">
        <v>-5.0000000000000001E-3</v>
      </c>
      <c r="G146" s="870" t="s">
        <v>1226</v>
      </c>
      <c r="H146" s="874">
        <v>2972687972.3499999</v>
      </c>
      <c r="I146" s="871">
        <v>34.92</v>
      </c>
      <c r="J146" s="862">
        <v>1E-3</v>
      </c>
      <c r="K146" s="868">
        <f t="shared" si="30"/>
        <v>318</v>
      </c>
      <c r="L146" s="861"/>
      <c r="M146" s="671">
        <f t="shared" si="31"/>
        <v>144</v>
      </c>
      <c r="N146" s="671">
        <f t="shared" si="32"/>
        <v>126</v>
      </c>
      <c r="O146" s="671">
        <f t="shared" si="33"/>
        <v>703</v>
      </c>
      <c r="P146" s="861"/>
      <c r="Q146" s="861"/>
      <c r="R146" s="861"/>
      <c r="S146" s="861" t="s">
        <v>424</v>
      </c>
      <c r="T146" s="866" t="s">
        <v>1227</v>
      </c>
      <c r="U146" s="865"/>
    </row>
    <row r="147" spans="2:21" ht="15">
      <c r="B147" s="861" t="s">
        <v>1228</v>
      </c>
      <c r="C147" s="861" t="s">
        <v>1229</v>
      </c>
      <c r="D147" s="861" t="s">
        <v>371</v>
      </c>
      <c r="E147" s="861"/>
      <c r="F147" s="862">
        <v>3.4000000000000002E-2</v>
      </c>
      <c r="G147" s="869">
        <v>8.7617478579999997</v>
      </c>
      <c r="H147" s="874">
        <v>2910789561.4099998</v>
      </c>
      <c r="I147" s="871"/>
      <c r="J147" s="862">
        <v>0.28299999999999997</v>
      </c>
      <c r="K147" s="868">
        <f t="shared" si="30"/>
        <v>275</v>
      </c>
      <c r="L147" s="861"/>
      <c r="M147" s="671">
        <f t="shared" si="31"/>
        <v>145</v>
      </c>
      <c r="N147" s="671" t="str">
        <f t="shared" si="32"/>
        <v>N/A</v>
      </c>
      <c r="O147" s="671">
        <f t="shared" si="33"/>
        <v>145</v>
      </c>
      <c r="P147" s="861" t="s">
        <v>1230</v>
      </c>
      <c r="Q147" s="861"/>
      <c r="R147" s="861"/>
      <c r="S147" s="861" t="s">
        <v>1020</v>
      </c>
      <c r="T147" s="866" t="s">
        <v>1231</v>
      </c>
      <c r="U147" s="865"/>
    </row>
    <row r="148" spans="2:21" ht="15">
      <c r="B148" s="861" t="s">
        <v>1232</v>
      </c>
      <c r="C148" s="861" t="s">
        <v>1233</v>
      </c>
      <c r="D148" s="861" t="s">
        <v>371</v>
      </c>
      <c r="E148" s="861"/>
      <c r="F148" s="862"/>
      <c r="G148" s="869">
        <v>3.0564920760000001</v>
      </c>
      <c r="H148" s="874">
        <v>2895128652.9200001</v>
      </c>
      <c r="I148" s="871"/>
      <c r="J148" s="863" t="s">
        <v>1234</v>
      </c>
      <c r="K148" s="868">
        <f t="shared" si="30"/>
        <v>316</v>
      </c>
      <c r="L148" s="861"/>
      <c r="M148" s="671">
        <f t="shared" si="31"/>
        <v>146</v>
      </c>
      <c r="N148" s="671" t="str">
        <f t="shared" si="32"/>
        <v>N/A</v>
      </c>
      <c r="O148" s="671" t="str">
        <f t="shared" si="33"/>
        <v>N/A</v>
      </c>
      <c r="P148" s="861" t="s">
        <v>1235</v>
      </c>
      <c r="Q148" s="861"/>
      <c r="R148" s="861"/>
      <c r="S148" s="861" t="s">
        <v>1236</v>
      </c>
      <c r="T148" s="866" t="s">
        <v>1237</v>
      </c>
      <c r="U148" s="865"/>
    </row>
    <row r="149" spans="2:21" ht="15">
      <c r="B149" s="861" t="s">
        <v>1238</v>
      </c>
      <c r="C149" s="861" t="s">
        <v>1239</v>
      </c>
      <c r="D149" s="861" t="s">
        <v>371</v>
      </c>
      <c r="E149" s="861"/>
      <c r="F149" s="862">
        <v>-0.22600000000000001</v>
      </c>
      <c r="G149" s="870" t="s">
        <v>1240</v>
      </c>
      <c r="H149" s="874">
        <v>2846804298.8000002</v>
      </c>
      <c r="I149" s="871">
        <v>1.02</v>
      </c>
      <c r="J149" s="862">
        <v>0.113</v>
      </c>
      <c r="K149" s="868">
        <f t="shared" si="30"/>
        <v>425</v>
      </c>
      <c r="L149" s="861"/>
      <c r="M149" s="671">
        <f t="shared" si="31"/>
        <v>147</v>
      </c>
      <c r="N149" s="671">
        <f t="shared" si="32"/>
        <v>302</v>
      </c>
      <c r="O149" s="671">
        <f t="shared" si="33"/>
        <v>448</v>
      </c>
      <c r="P149" s="861" t="s">
        <v>1241</v>
      </c>
      <c r="Q149" s="861"/>
      <c r="R149" s="861"/>
      <c r="S149" s="861" t="s">
        <v>454</v>
      </c>
      <c r="T149" s="866" t="s">
        <v>1242</v>
      </c>
      <c r="U149" s="865"/>
    </row>
    <row r="150" spans="2:21" ht="15">
      <c r="B150" s="861" t="s">
        <v>1243</v>
      </c>
      <c r="C150" s="861" t="s">
        <v>1244</v>
      </c>
      <c r="D150" s="861" t="s">
        <v>371</v>
      </c>
      <c r="E150" s="861"/>
      <c r="F150" s="862">
        <v>0.17599999999999999</v>
      </c>
      <c r="G150" s="869">
        <v>7.7179866529999996</v>
      </c>
      <c r="H150" s="874">
        <v>2691179632.5999999</v>
      </c>
      <c r="I150" s="872" t="s">
        <v>1245</v>
      </c>
      <c r="J150" s="862">
        <v>0.59399999999999997</v>
      </c>
      <c r="K150" s="868">
        <f t="shared" si="30"/>
        <v>112</v>
      </c>
      <c r="L150" s="861"/>
      <c r="M150" s="671">
        <f t="shared" si="31"/>
        <v>148</v>
      </c>
      <c r="N150" s="671" t="str">
        <f t="shared" si="32"/>
        <v>N/A</v>
      </c>
      <c r="O150" s="671">
        <f t="shared" si="33"/>
        <v>12</v>
      </c>
      <c r="P150" s="861" t="s">
        <v>1246</v>
      </c>
      <c r="Q150" s="861"/>
      <c r="R150" s="861"/>
      <c r="S150" s="861" t="s">
        <v>404</v>
      </c>
      <c r="T150" s="866" t="s">
        <v>1247</v>
      </c>
      <c r="U150" s="865"/>
    </row>
    <row r="151" spans="2:21" ht="15">
      <c r="B151" s="861" t="s">
        <v>1248</v>
      </c>
      <c r="C151" s="861" t="s">
        <v>1249</v>
      </c>
      <c r="D151" s="861" t="s">
        <v>371</v>
      </c>
      <c r="E151" s="861"/>
      <c r="F151" s="862">
        <v>0.17199999999999999</v>
      </c>
      <c r="G151" s="869">
        <v>5.0426049000000001E-2</v>
      </c>
      <c r="H151" s="874">
        <v>2653054099.23</v>
      </c>
      <c r="I151" s="871">
        <v>28.1</v>
      </c>
      <c r="J151" s="863" t="s">
        <v>1250</v>
      </c>
      <c r="K151" s="868">
        <f t="shared" si="30"/>
        <v>116</v>
      </c>
      <c r="L151" s="863" t="s">
        <v>1251</v>
      </c>
      <c r="M151" s="671">
        <f t="shared" si="31"/>
        <v>149</v>
      </c>
      <c r="N151" s="671">
        <f t="shared" si="32"/>
        <v>151</v>
      </c>
      <c r="O151" s="671" t="str">
        <f t="shared" si="33"/>
        <v>N/A</v>
      </c>
      <c r="P151" s="861" t="s">
        <v>1252</v>
      </c>
      <c r="Q151" s="861"/>
      <c r="R151" s="863" t="s">
        <v>1253</v>
      </c>
      <c r="S151" s="861" t="s">
        <v>1127</v>
      </c>
      <c r="T151" s="866" t="s">
        <v>1254</v>
      </c>
      <c r="U151" s="865"/>
    </row>
    <row r="152" spans="2:21" ht="15">
      <c r="B152" s="861" t="s">
        <v>1255</v>
      </c>
      <c r="C152" s="861" t="s">
        <v>1256</v>
      </c>
      <c r="D152" s="861" t="s">
        <v>371</v>
      </c>
      <c r="E152" s="861"/>
      <c r="F152" s="862">
        <v>-0.47</v>
      </c>
      <c r="G152" s="870" t="s">
        <v>1257</v>
      </c>
      <c r="H152" s="874">
        <v>2622694732.79</v>
      </c>
      <c r="I152" s="871">
        <v>31.35</v>
      </c>
      <c r="J152" s="862">
        <v>4.8000000000000001E-2</v>
      </c>
      <c r="K152" s="868">
        <f t="shared" si="30"/>
        <v>474</v>
      </c>
      <c r="L152" s="861"/>
      <c r="M152" s="671">
        <f t="shared" si="31"/>
        <v>150</v>
      </c>
      <c r="N152" s="671">
        <f t="shared" si="32"/>
        <v>139</v>
      </c>
      <c r="O152" s="671">
        <f t="shared" si="33"/>
        <v>607</v>
      </c>
      <c r="P152" s="861" t="s">
        <v>1258</v>
      </c>
      <c r="Q152" s="861" t="s">
        <v>1259</v>
      </c>
      <c r="R152" s="861"/>
      <c r="S152" s="861" t="s">
        <v>1260</v>
      </c>
      <c r="T152" s="866" t="s">
        <v>1261</v>
      </c>
      <c r="U152" s="865"/>
    </row>
    <row r="153" spans="2:21" ht="15">
      <c r="B153" s="861" t="s">
        <v>1262</v>
      </c>
      <c r="C153" s="861" t="s">
        <v>1263</v>
      </c>
      <c r="D153" s="861" t="s">
        <v>371</v>
      </c>
      <c r="E153" s="861"/>
      <c r="F153" s="862">
        <v>7.8E-2</v>
      </c>
      <c r="G153" s="869">
        <v>3.3820505509999998</v>
      </c>
      <c r="H153" s="874">
        <v>2616434868.52</v>
      </c>
      <c r="I153" s="871"/>
      <c r="J153" s="862">
        <v>0.13900000000000001</v>
      </c>
      <c r="K153" s="868">
        <f t="shared" si="30"/>
        <v>216</v>
      </c>
      <c r="L153" s="861" t="s">
        <v>1264</v>
      </c>
      <c r="M153" s="671">
        <f t="shared" si="31"/>
        <v>151</v>
      </c>
      <c r="N153" s="671" t="str">
        <f t="shared" si="32"/>
        <v>N/A</v>
      </c>
      <c r="O153" s="671">
        <f t="shared" si="33"/>
        <v>370</v>
      </c>
      <c r="P153" s="861" t="s">
        <v>1265</v>
      </c>
      <c r="Q153" s="861" t="s">
        <v>1266</v>
      </c>
      <c r="R153" s="861" t="s">
        <v>1138</v>
      </c>
      <c r="S153" s="861" t="s">
        <v>1267</v>
      </c>
      <c r="T153" s="866" t="s">
        <v>1268</v>
      </c>
      <c r="U153" s="865"/>
    </row>
    <row r="154" spans="2:21" ht="15">
      <c r="B154" s="861" t="s">
        <v>1269</v>
      </c>
      <c r="C154" s="861" t="s">
        <v>1270</v>
      </c>
      <c r="D154" s="861" t="s">
        <v>371</v>
      </c>
      <c r="E154" s="861"/>
      <c r="F154" s="862"/>
      <c r="G154" s="869">
        <v>9.6809768000000004E-2</v>
      </c>
      <c r="H154" s="874">
        <v>2610027743.71</v>
      </c>
      <c r="I154" s="871"/>
      <c r="J154" s="863" t="s">
        <v>1271</v>
      </c>
      <c r="K154" s="868">
        <f t="shared" si="30"/>
        <v>316</v>
      </c>
      <c r="L154" s="861"/>
      <c r="M154" s="671">
        <f t="shared" si="31"/>
        <v>152</v>
      </c>
      <c r="N154" s="671" t="str">
        <f t="shared" si="32"/>
        <v>N/A</v>
      </c>
      <c r="O154" s="671" t="str">
        <f t="shared" si="33"/>
        <v>N/A</v>
      </c>
      <c r="P154" s="861"/>
      <c r="Q154" s="861"/>
      <c r="R154" s="861"/>
      <c r="S154" s="861" t="s">
        <v>904</v>
      </c>
      <c r="T154" s="866" t="s">
        <v>1272</v>
      </c>
      <c r="U154" s="865"/>
    </row>
    <row r="155" spans="2:21" ht="15">
      <c r="B155" s="861" t="s">
        <v>1273</v>
      </c>
      <c r="C155" s="861" t="s">
        <v>1274</v>
      </c>
      <c r="D155" s="861" t="s">
        <v>371</v>
      </c>
      <c r="E155" s="861"/>
      <c r="F155" s="862"/>
      <c r="G155" s="869">
        <v>1.3672269530000001</v>
      </c>
      <c r="H155" s="874">
        <v>2573500958</v>
      </c>
      <c r="I155" s="871">
        <v>42.51</v>
      </c>
      <c r="J155" s="862">
        <v>0.24</v>
      </c>
      <c r="K155" s="868">
        <f t="shared" si="30"/>
        <v>316</v>
      </c>
      <c r="L155" s="861"/>
      <c r="M155" s="671">
        <f t="shared" si="31"/>
        <v>153</v>
      </c>
      <c r="N155" s="671">
        <f t="shared" si="32"/>
        <v>102</v>
      </c>
      <c r="O155" s="671">
        <f t="shared" si="33"/>
        <v>199</v>
      </c>
      <c r="P155" s="861" t="s">
        <v>506</v>
      </c>
      <c r="Q155" s="861" t="s">
        <v>1275</v>
      </c>
      <c r="R155" s="861"/>
      <c r="S155" s="861" t="s">
        <v>533</v>
      </c>
      <c r="T155" s="866" t="s">
        <v>1276</v>
      </c>
      <c r="U155" s="865"/>
    </row>
    <row r="156" spans="2:21" ht="15">
      <c r="B156" s="861" t="s">
        <v>1277</v>
      </c>
      <c r="C156" s="861" t="s">
        <v>1278</v>
      </c>
      <c r="D156" s="861" t="s">
        <v>371</v>
      </c>
      <c r="E156" s="861"/>
      <c r="F156" s="862">
        <v>6.9000000000000006E-2</v>
      </c>
      <c r="G156" s="869">
        <v>7.9819405100000003</v>
      </c>
      <c r="H156" s="874">
        <v>2561294035.48</v>
      </c>
      <c r="I156" s="871"/>
      <c r="J156" s="862">
        <v>9.2999999999999999E-2</v>
      </c>
      <c r="K156" s="868">
        <f t="shared" si="30"/>
        <v>232</v>
      </c>
      <c r="L156" s="861"/>
      <c r="M156" s="671">
        <f t="shared" si="31"/>
        <v>154</v>
      </c>
      <c r="N156" s="671" t="str">
        <f t="shared" si="32"/>
        <v>N/A</v>
      </c>
      <c r="O156" s="671">
        <f t="shared" si="33"/>
        <v>517</v>
      </c>
      <c r="P156" s="861"/>
      <c r="Q156" s="861"/>
      <c r="R156" s="861"/>
      <c r="S156" s="861" t="s">
        <v>424</v>
      </c>
      <c r="T156" s="866" t="s">
        <v>1279</v>
      </c>
      <c r="U156" s="865"/>
    </row>
    <row r="157" spans="2:21" ht="15">
      <c r="B157" s="861" t="s">
        <v>1280</v>
      </c>
      <c r="C157" s="861" t="s">
        <v>1281</v>
      </c>
      <c r="D157" s="861" t="s">
        <v>371</v>
      </c>
      <c r="E157" s="861"/>
      <c r="F157" s="862">
        <v>0.23799999999999999</v>
      </c>
      <c r="G157" s="869">
        <v>0.22960609000000001</v>
      </c>
      <c r="H157" s="874">
        <v>2538635385.2800002</v>
      </c>
      <c r="I157" s="871">
        <v>39.83</v>
      </c>
      <c r="J157" s="862">
        <v>0.375</v>
      </c>
      <c r="K157" s="868">
        <f t="shared" si="30"/>
        <v>75</v>
      </c>
      <c r="L157" s="861"/>
      <c r="M157" s="671">
        <f t="shared" si="31"/>
        <v>155</v>
      </c>
      <c r="N157" s="671">
        <f t="shared" si="32"/>
        <v>111</v>
      </c>
      <c r="O157" s="671">
        <f t="shared" si="33"/>
        <v>69</v>
      </c>
      <c r="P157" s="861" t="s">
        <v>432</v>
      </c>
      <c r="Q157" s="861"/>
      <c r="R157" s="861"/>
      <c r="S157" s="861" t="s">
        <v>672</v>
      </c>
      <c r="T157" s="866" t="s">
        <v>1282</v>
      </c>
      <c r="U157" s="865"/>
    </row>
    <row r="158" spans="2:21" ht="15">
      <c r="B158" s="861" t="s">
        <v>1283</v>
      </c>
      <c r="C158" s="861" t="s">
        <v>1284</v>
      </c>
      <c r="D158" s="861" t="s">
        <v>371</v>
      </c>
      <c r="E158" s="861"/>
      <c r="F158" s="862">
        <v>0.311</v>
      </c>
      <c r="G158" s="869">
        <v>3.8455847940000001</v>
      </c>
      <c r="H158" s="874">
        <v>2527722772.2800002</v>
      </c>
      <c r="I158" s="872" t="s">
        <v>1285</v>
      </c>
      <c r="J158" s="862">
        <v>0.14299999999999999</v>
      </c>
      <c r="K158" s="868">
        <f t="shared" si="30"/>
        <v>46</v>
      </c>
      <c r="L158" s="861"/>
      <c r="M158" s="671">
        <f t="shared" si="31"/>
        <v>156</v>
      </c>
      <c r="N158" s="671" t="str">
        <f t="shared" si="32"/>
        <v>N/A</v>
      </c>
      <c r="O158" s="671">
        <f t="shared" si="33"/>
        <v>361</v>
      </c>
      <c r="P158" s="861"/>
      <c r="Q158" s="861"/>
      <c r="R158" s="861"/>
      <c r="S158" s="861" t="s">
        <v>424</v>
      </c>
      <c r="T158" s="866" t="s">
        <v>1286</v>
      </c>
      <c r="U158" s="865"/>
    </row>
    <row r="159" spans="2:21" ht="15">
      <c r="B159" s="861" t="s">
        <v>1287</v>
      </c>
      <c r="C159" s="861" t="s">
        <v>1288</v>
      </c>
      <c r="D159" s="861" t="s">
        <v>371</v>
      </c>
      <c r="E159" s="861"/>
      <c r="F159" s="862">
        <v>3.3000000000000002E-2</v>
      </c>
      <c r="G159" s="869">
        <v>6.6399632420000003</v>
      </c>
      <c r="H159" s="874">
        <v>2520148508.2800002</v>
      </c>
      <c r="I159" s="871"/>
      <c r="J159" s="863" t="s">
        <v>926</v>
      </c>
      <c r="K159" s="868">
        <f t="shared" si="30"/>
        <v>278</v>
      </c>
      <c r="L159" s="861"/>
      <c r="M159" s="671">
        <f t="shared" si="31"/>
        <v>157</v>
      </c>
      <c r="N159" s="671" t="str">
        <f t="shared" si="32"/>
        <v>N/A</v>
      </c>
      <c r="O159" s="671" t="str">
        <f t="shared" si="33"/>
        <v>N/A</v>
      </c>
      <c r="P159" s="861" t="s">
        <v>1289</v>
      </c>
      <c r="Q159" s="861" t="s">
        <v>1290</v>
      </c>
      <c r="R159" s="861"/>
      <c r="S159" s="861" t="s">
        <v>557</v>
      </c>
      <c r="T159" s="866" t="s">
        <v>1291</v>
      </c>
      <c r="U159" s="865"/>
    </row>
    <row r="160" spans="2:21" ht="15">
      <c r="B160" s="861" t="s">
        <v>1292</v>
      </c>
      <c r="C160" s="861" t="s">
        <v>1293</v>
      </c>
      <c r="D160" s="861" t="s">
        <v>371</v>
      </c>
      <c r="E160" s="861"/>
      <c r="F160" s="862">
        <v>2.8000000000000001E-2</v>
      </c>
      <c r="G160" s="869">
        <v>0</v>
      </c>
      <c r="H160" s="874">
        <v>2505851603.21</v>
      </c>
      <c r="I160" s="871"/>
      <c r="J160" s="863" t="s">
        <v>1294</v>
      </c>
      <c r="K160" s="868">
        <f t="shared" si="30"/>
        <v>288</v>
      </c>
      <c r="L160" s="861"/>
      <c r="M160" s="671">
        <f t="shared" si="31"/>
        <v>158</v>
      </c>
      <c r="N160" s="671" t="str">
        <f t="shared" si="32"/>
        <v>N/A</v>
      </c>
      <c r="O160" s="671" t="str">
        <f t="shared" si="33"/>
        <v>N/A</v>
      </c>
      <c r="P160" s="861"/>
      <c r="Q160" s="861"/>
      <c r="R160" s="861"/>
      <c r="S160" s="861" t="s">
        <v>424</v>
      </c>
      <c r="T160" s="866" t="s">
        <v>1295</v>
      </c>
      <c r="U160" s="865"/>
    </row>
    <row r="161" spans="2:21" ht="15">
      <c r="B161" s="861" t="s">
        <v>1296</v>
      </c>
      <c r="C161" s="861" t="s">
        <v>1297</v>
      </c>
      <c r="D161" s="861" t="s">
        <v>371</v>
      </c>
      <c r="E161" s="861"/>
      <c r="F161" s="862">
        <v>-3.4000000000000002E-2</v>
      </c>
      <c r="G161" s="870" t="s">
        <v>1298</v>
      </c>
      <c r="H161" s="874">
        <v>2442011454.1100001</v>
      </c>
      <c r="I161" s="872" t="s">
        <v>1299</v>
      </c>
      <c r="J161" s="862">
        <v>5.7000000000000002E-2</v>
      </c>
      <c r="K161" s="868">
        <f t="shared" si="30"/>
        <v>335</v>
      </c>
      <c r="L161" s="861" t="s">
        <v>563</v>
      </c>
      <c r="M161" s="671">
        <f t="shared" si="31"/>
        <v>159</v>
      </c>
      <c r="N161" s="671" t="str">
        <f t="shared" si="32"/>
        <v>N/A</v>
      </c>
      <c r="O161" s="671">
        <f t="shared" si="33"/>
        <v>587</v>
      </c>
      <c r="P161" s="861" t="s">
        <v>1300</v>
      </c>
      <c r="Q161" s="861" t="s">
        <v>1301</v>
      </c>
      <c r="R161" s="861"/>
      <c r="S161" s="861" t="s">
        <v>784</v>
      </c>
      <c r="T161" s="866" t="s">
        <v>1302</v>
      </c>
      <c r="U161" s="865"/>
    </row>
    <row r="162" spans="2:21" ht="15">
      <c r="B162" s="861" t="s">
        <v>1303</v>
      </c>
      <c r="C162" s="861" t="s">
        <v>1304</v>
      </c>
      <c r="D162" s="861" t="s">
        <v>371</v>
      </c>
      <c r="E162" s="861"/>
      <c r="F162" s="862">
        <v>2.3E-2</v>
      </c>
      <c r="G162" s="869">
        <v>1.1675683560000001</v>
      </c>
      <c r="H162" s="874">
        <v>2323776998.9000001</v>
      </c>
      <c r="I162" s="872" t="s">
        <v>1305</v>
      </c>
      <c r="J162" s="863" t="s">
        <v>1306</v>
      </c>
      <c r="K162" s="868">
        <f t="shared" si="30"/>
        <v>294</v>
      </c>
      <c r="L162" s="861"/>
      <c r="M162" s="671">
        <f t="shared" si="31"/>
        <v>160</v>
      </c>
      <c r="N162" s="671" t="str">
        <f t="shared" si="32"/>
        <v>N/A</v>
      </c>
      <c r="O162" s="671" t="str">
        <f t="shared" si="33"/>
        <v>N/A</v>
      </c>
      <c r="P162" s="861" t="s">
        <v>434</v>
      </c>
      <c r="Q162" s="861" t="s">
        <v>1307</v>
      </c>
      <c r="R162" s="861"/>
      <c r="S162" s="861" t="s">
        <v>1308</v>
      </c>
      <c r="T162" s="866" t="s">
        <v>982</v>
      </c>
      <c r="U162" s="865"/>
    </row>
    <row r="163" spans="2:21" ht="15">
      <c r="B163" s="861" t="s">
        <v>1309</v>
      </c>
      <c r="C163" s="861" t="s">
        <v>1310</v>
      </c>
      <c r="D163" s="861" t="s">
        <v>371</v>
      </c>
      <c r="E163" s="861"/>
      <c r="F163" s="862">
        <v>-0.29699999999999999</v>
      </c>
      <c r="G163" s="869">
        <v>0</v>
      </c>
      <c r="H163" s="874">
        <v>2312884219.1399999</v>
      </c>
      <c r="I163" s="871">
        <v>7.61</v>
      </c>
      <c r="J163" s="862">
        <v>0.34100000000000003</v>
      </c>
      <c r="K163" s="868">
        <f t="shared" si="30"/>
        <v>445</v>
      </c>
      <c r="L163" s="861"/>
      <c r="M163" s="671">
        <f t="shared" si="31"/>
        <v>161</v>
      </c>
      <c r="N163" s="671">
        <f t="shared" si="32"/>
        <v>246</v>
      </c>
      <c r="O163" s="671">
        <f t="shared" si="33"/>
        <v>83</v>
      </c>
      <c r="P163" s="861" t="s">
        <v>1311</v>
      </c>
      <c r="Q163" s="861" t="s">
        <v>1312</v>
      </c>
      <c r="R163" s="861"/>
      <c r="S163" s="861" t="s">
        <v>1313</v>
      </c>
      <c r="T163" s="866" t="s">
        <v>1314</v>
      </c>
      <c r="U163" s="865"/>
    </row>
    <row r="164" spans="2:21" ht="15">
      <c r="B164" s="861" t="s">
        <v>1315</v>
      </c>
      <c r="C164" s="861" t="s">
        <v>1316</v>
      </c>
      <c r="D164" s="861" t="s">
        <v>371</v>
      </c>
      <c r="E164" s="861"/>
      <c r="F164" s="862">
        <v>0.45300000000000001</v>
      </c>
      <c r="G164" s="869">
        <v>4.849770489</v>
      </c>
      <c r="H164" s="874">
        <v>2293337495.1799998</v>
      </c>
      <c r="I164" s="871"/>
      <c r="J164" s="862">
        <v>1E-3</v>
      </c>
      <c r="K164" s="868">
        <f t="shared" si="30"/>
        <v>19</v>
      </c>
      <c r="L164" s="861" t="s">
        <v>790</v>
      </c>
      <c r="M164" s="671">
        <f t="shared" si="31"/>
        <v>162</v>
      </c>
      <c r="N164" s="671" t="str">
        <f t="shared" si="32"/>
        <v>N/A</v>
      </c>
      <c r="O164" s="671">
        <f t="shared" si="33"/>
        <v>703</v>
      </c>
      <c r="P164" s="861" t="s">
        <v>1317</v>
      </c>
      <c r="Q164" s="861" t="s">
        <v>1318</v>
      </c>
      <c r="R164" s="861" t="s">
        <v>1319</v>
      </c>
      <c r="S164" s="861" t="s">
        <v>1320</v>
      </c>
      <c r="T164" s="866" t="s">
        <v>1321</v>
      </c>
      <c r="U164" s="865"/>
    </row>
    <row r="165" spans="2:21" ht="15">
      <c r="B165" s="861" t="s">
        <v>1322</v>
      </c>
      <c r="C165" s="861" t="s">
        <v>1323</v>
      </c>
      <c r="D165" s="861" t="s">
        <v>371</v>
      </c>
      <c r="E165" s="861"/>
      <c r="F165" s="862">
        <v>-6.3E-2</v>
      </c>
      <c r="G165" s="870" t="s">
        <v>1324</v>
      </c>
      <c r="H165" s="874">
        <v>2283167535.0500002</v>
      </c>
      <c r="I165" s="871">
        <v>30.93</v>
      </c>
      <c r="J165" s="863" t="s">
        <v>1325</v>
      </c>
      <c r="K165" s="868">
        <f t="shared" si="30"/>
        <v>353</v>
      </c>
      <c r="L165" s="861"/>
      <c r="M165" s="671">
        <f t="shared" si="31"/>
        <v>163</v>
      </c>
      <c r="N165" s="671">
        <f t="shared" si="32"/>
        <v>143</v>
      </c>
      <c r="O165" s="671" t="str">
        <f t="shared" si="33"/>
        <v>N/A</v>
      </c>
      <c r="P165" s="861" t="s">
        <v>1326</v>
      </c>
      <c r="Q165" s="861" t="s">
        <v>1327</v>
      </c>
      <c r="R165" s="861"/>
      <c r="S165" s="861" t="s">
        <v>392</v>
      </c>
      <c r="T165" s="866" t="s">
        <v>1328</v>
      </c>
      <c r="U165" s="865"/>
    </row>
    <row r="166" spans="2:21" ht="15">
      <c r="B166" s="861" t="s">
        <v>1329</v>
      </c>
      <c r="C166" s="861" t="s">
        <v>1330</v>
      </c>
      <c r="D166" s="861" t="s">
        <v>371</v>
      </c>
      <c r="E166" s="861"/>
      <c r="F166" s="862">
        <v>0.04</v>
      </c>
      <c r="G166" s="869">
        <v>0</v>
      </c>
      <c r="H166" s="874">
        <v>2254573818.75</v>
      </c>
      <c r="I166" s="872" t="s">
        <v>1331</v>
      </c>
      <c r="J166" s="862">
        <v>0.123</v>
      </c>
      <c r="K166" s="868">
        <f t="shared" si="30"/>
        <v>267</v>
      </c>
      <c r="L166" s="861" t="s">
        <v>1332</v>
      </c>
      <c r="M166" s="671">
        <f t="shared" si="31"/>
        <v>164</v>
      </c>
      <c r="N166" s="671" t="str">
        <f t="shared" si="32"/>
        <v>N/A</v>
      </c>
      <c r="O166" s="671">
        <f t="shared" si="33"/>
        <v>419</v>
      </c>
      <c r="P166" s="861" t="s">
        <v>1333</v>
      </c>
      <c r="Q166" s="861" t="s">
        <v>1334</v>
      </c>
      <c r="R166" s="861" t="s">
        <v>1335</v>
      </c>
      <c r="S166" s="861" t="s">
        <v>1336</v>
      </c>
      <c r="T166" s="866" t="s">
        <v>1337</v>
      </c>
      <c r="U166" s="865"/>
    </row>
    <row r="167" spans="2:21" ht="15">
      <c r="B167" s="861" t="s">
        <v>1338</v>
      </c>
      <c r="C167" s="861" t="s">
        <v>1339</v>
      </c>
      <c r="D167" s="861" t="s">
        <v>371</v>
      </c>
      <c r="E167" s="861"/>
      <c r="F167" s="862">
        <v>0.14299999999999999</v>
      </c>
      <c r="G167" s="870" t="s">
        <v>1340</v>
      </c>
      <c r="H167" s="874">
        <v>2211591697.77</v>
      </c>
      <c r="I167" s="871">
        <v>60</v>
      </c>
      <c r="J167" s="862">
        <v>0.217</v>
      </c>
      <c r="K167" s="868">
        <f t="shared" si="30"/>
        <v>148</v>
      </c>
      <c r="L167" s="861"/>
      <c r="M167" s="671">
        <f t="shared" si="31"/>
        <v>165</v>
      </c>
      <c r="N167" s="671">
        <f t="shared" si="32"/>
        <v>71</v>
      </c>
      <c r="O167" s="671">
        <f t="shared" si="33"/>
        <v>226</v>
      </c>
      <c r="P167" s="861" t="s">
        <v>550</v>
      </c>
      <c r="Q167" s="861" t="s">
        <v>1341</v>
      </c>
      <c r="R167" s="861"/>
      <c r="S167" s="861" t="s">
        <v>1342</v>
      </c>
      <c r="T167" s="866" t="s">
        <v>1343</v>
      </c>
      <c r="U167" s="865"/>
    </row>
    <row r="168" spans="2:21" ht="15">
      <c r="B168" s="861" t="s">
        <v>1344</v>
      </c>
      <c r="C168" s="861" t="s">
        <v>1345</v>
      </c>
      <c r="D168" s="861" t="s">
        <v>371</v>
      </c>
      <c r="E168" s="861"/>
      <c r="F168" s="862">
        <v>9.8000000000000004E-2</v>
      </c>
      <c r="G168" s="869">
        <v>6.4851528969999999</v>
      </c>
      <c r="H168" s="874">
        <v>2208194288.3000002</v>
      </c>
      <c r="I168" s="871">
        <v>21.81</v>
      </c>
      <c r="J168" s="862">
        <v>7.0000000000000001E-3</v>
      </c>
      <c r="K168" s="868">
        <f t="shared" si="30"/>
        <v>193</v>
      </c>
      <c r="L168" s="861"/>
      <c r="M168" s="671">
        <f t="shared" si="31"/>
        <v>166</v>
      </c>
      <c r="N168" s="671">
        <f t="shared" si="32"/>
        <v>168</v>
      </c>
      <c r="O168" s="671">
        <f t="shared" si="33"/>
        <v>689</v>
      </c>
      <c r="P168" s="861" t="s">
        <v>784</v>
      </c>
      <c r="Q168" s="861" t="s">
        <v>1346</v>
      </c>
      <c r="R168" s="861"/>
      <c r="S168" s="861" t="s">
        <v>1347</v>
      </c>
      <c r="T168" s="866" t="s">
        <v>1348</v>
      </c>
      <c r="U168" s="865"/>
    </row>
    <row r="169" spans="2:21" ht="15">
      <c r="B169" s="861" t="s">
        <v>1349</v>
      </c>
      <c r="C169" s="861" t="s">
        <v>1350</v>
      </c>
      <c r="D169" s="861" t="s">
        <v>371</v>
      </c>
      <c r="E169" s="861"/>
      <c r="F169" s="862">
        <v>3.5000000000000003E-2</v>
      </c>
      <c r="G169" s="870" t="s">
        <v>1351</v>
      </c>
      <c r="H169" s="874">
        <v>2159712329.75</v>
      </c>
      <c r="I169" s="871">
        <v>9.2899999999999991</v>
      </c>
      <c r="J169" s="862">
        <v>0.63100000000000001</v>
      </c>
      <c r="K169" s="868">
        <f t="shared" si="30"/>
        <v>272</v>
      </c>
      <c r="L169" s="861"/>
      <c r="M169" s="671">
        <f t="shared" si="31"/>
        <v>167</v>
      </c>
      <c r="N169" s="671">
        <f t="shared" si="32"/>
        <v>232</v>
      </c>
      <c r="O169" s="671">
        <f t="shared" si="33"/>
        <v>10</v>
      </c>
      <c r="P169" s="861"/>
      <c r="Q169" s="861"/>
      <c r="R169" s="861"/>
      <c r="S169" s="861" t="s">
        <v>424</v>
      </c>
      <c r="T169" s="866" t="s">
        <v>1352</v>
      </c>
      <c r="U169" s="865"/>
    </row>
    <row r="170" spans="2:21" ht="15">
      <c r="B170" s="861" t="s">
        <v>1353</v>
      </c>
      <c r="C170" s="861" t="s">
        <v>1354</v>
      </c>
      <c r="D170" s="861" t="s">
        <v>371</v>
      </c>
      <c r="E170" s="861"/>
      <c r="F170" s="862">
        <v>0.35899999999999999</v>
      </c>
      <c r="G170" s="869">
        <v>0.16303934</v>
      </c>
      <c r="H170" s="874">
        <v>2139728702.4000001</v>
      </c>
      <c r="I170" s="871">
        <v>4.46</v>
      </c>
      <c r="J170" s="862">
        <v>8.1000000000000003E-2</v>
      </c>
      <c r="K170" s="868">
        <f t="shared" si="30"/>
        <v>37</v>
      </c>
      <c r="L170" s="861"/>
      <c r="M170" s="671">
        <f t="shared" si="31"/>
        <v>168</v>
      </c>
      <c r="N170" s="671">
        <f t="shared" si="32"/>
        <v>273</v>
      </c>
      <c r="O170" s="671">
        <f t="shared" si="33"/>
        <v>542</v>
      </c>
      <c r="P170" s="861" t="s">
        <v>761</v>
      </c>
      <c r="Q170" s="861" t="s">
        <v>1355</v>
      </c>
      <c r="R170" s="861"/>
      <c r="S170" s="861" t="s">
        <v>951</v>
      </c>
      <c r="T170" s="866" t="s">
        <v>1356</v>
      </c>
      <c r="U170" s="865"/>
    </row>
    <row r="171" spans="2:21" ht="15">
      <c r="B171" s="861" t="s">
        <v>1357</v>
      </c>
      <c r="C171" s="861" t="s">
        <v>1358</v>
      </c>
      <c r="D171" s="861" t="s">
        <v>371</v>
      </c>
      <c r="E171" s="861"/>
      <c r="F171" s="862"/>
      <c r="G171" s="869">
        <v>1.46391E-4</v>
      </c>
      <c r="H171" s="874">
        <v>2100789392.4000001</v>
      </c>
      <c r="I171" s="871">
        <v>8.1999999999999993</v>
      </c>
      <c r="J171" s="863" t="s">
        <v>1359</v>
      </c>
      <c r="K171" s="868">
        <f t="shared" si="30"/>
        <v>316</v>
      </c>
      <c r="L171" s="861" t="s">
        <v>1360</v>
      </c>
      <c r="M171" s="671">
        <f t="shared" si="31"/>
        <v>169</v>
      </c>
      <c r="N171" s="671">
        <f t="shared" si="32"/>
        <v>244</v>
      </c>
      <c r="O171" s="671" t="str">
        <f t="shared" si="33"/>
        <v>N/A</v>
      </c>
      <c r="P171" s="861" t="s">
        <v>1361</v>
      </c>
      <c r="Q171" s="861" t="s">
        <v>1362</v>
      </c>
      <c r="R171" s="861" t="s">
        <v>1363</v>
      </c>
      <c r="S171" s="861" t="s">
        <v>1364</v>
      </c>
      <c r="T171" s="866" t="s">
        <v>1365</v>
      </c>
      <c r="U171" s="865"/>
    </row>
    <row r="172" spans="2:21" ht="15">
      <c r="B172" s="861" t="s">
        <v>1366</v>
      </c>
      <c r="C172" s="861" t="s">
        <v>1367</v>
      </c>
      <c r="D172" s="861" t="s">
        <v>371</v>
      </c>
      <c r="E172" s="861"/>
      <c r="F172" s="862">
        <v>1.9E-2</v>
      </c>
      <c r="G172" s="870" t="s">
        <v>1368</v>
      </c>
      <c r="H172" s="874">
        <v>2098756606.5799999</v>
      </c>
      <c r="I172" s="871">
        <v>10.37</v>
      </c>
      <c r="J172" s="862">
        <v>8.9999999999999993E-3</v>
      </c>
      <c r="K172" s="868">
        <f t="shared" si="30"/>
        <v>301</v>
      </c>
      <c r="L172" s="861" t="s">
        <v>1369</v>
      </c>
      <c r="M172" s="671">
        <f t="shared" si="31"/>
        <v>170</v>
      </c>
      <c r="N172" s="671">
        <f t="shared" si="32"/>
        <v>226</v>
      </c>
      <c r="O172" s="671">
        <f t="shared" si="33"/>
        <v>684</v>
      </c>
      <c r="P172" s="861" t="s">
        <v>1370</v>
      </c>
      <c r="Q172" s="861" t="s">
        <v>1371</v>
      </c>
      <c r="R172" s="861" t="s">
        <v>487</v>
      </c>
      <c r="S172" s="861" t="s">
        <v>1372</v>
      </c>
      <c r="T172" s="866" t="s">
        <v>1373</v>
      </c>
      <c r="U172" s="865"/>
    </row>
    <row r="173" spans="2:21" ht="15">
      <c r="B173" s="861" t="s">
        <v>1374</v>
      </c>
      <c r="C173" s="861" t="s">
        <v>1375</v>
      </c>
      <c r="D173" s="861" t="s">
        <v>371</v>
      </c>
      <c r="E173" s="861"/>
      <c r="F173" s="862">
        <v>4.9000000000000002E-2</v>
      </c>
      <c r="G173" s="869">
        <v>3.9889709369999999</v>
      </c>
      <c r="H173" s="874">
        <v>2028669914.4400001</v>
      </c>
      <c r="I173" s="871"/>
      <c r="J173" s="861"/>
      <c r="K173" s="868">
        <f t="shared" si="30"/>
        <v>256</v>
      </c>
      <c r="L173" s="861" t="s">
        <v>1376</v>
      </c>
      <c r="M173" s="671">
        <f t="shared" si="31"/>
        <v>171</v>
      </c>
      <c r="N173" s="671" t="str">
        <f t="shared" si="32"/>
        <v>N/A</v>
      </c>
      <c r="O173" s="671">
        <f t="shared" si="33"/>
        <v>708</v>
      </c>
      <c r="P173" s="861" t="s">
        <v>1377</v>
      </c>
      <c r="Q173" s="861" t="s">
        <v>1378</v>
      </c>
      <c r="R173" s="861" t="s">
        <v>1379</v>
      </c>
      <c r="S173" s="861" t="s">
        <v>1380</v>
      </c>
      <c r="T173" s="866" t="s">
        <v>1381</v>
      </c>
      <c r="U173" s="865"/>
    </row>
    <row r="174" spans="2:21" ht="15">
      <c r="B174" s="861" t="s">
        <v>1382</v>
      </c>
      <c r="C174" s="861" t="s">
        <v>1383</v>
      </c>
      <c r="D174" s="861" t="s">
        <v>371</v>
      </c>
      <c r="E174" s="861"/>
      <c r="F174" s="862"/>
      <c r="G174" s="869">
        <v>12.06444859</v>
      </c>
      <c r="H174" s="874">
        <v>2016263226.05</v>
      </c>
      <c r="I174" s="871"/>
      <c r="J174" s="862">
        <v>7.1999999999999995E-2</v>
      </c>
      <c r="K174" s="868">
        <f t="shared" si="30"/>
        <v>316</v>
      </c>
      <c r="L174" s="861" t="s">
        <v>812</v>
      </c>
      <c r="M174" s="671">
        <f t="shared" si="31"/>
        <v>172</v>
      </c>
      <c r="N174" s="671" t="str">
        <f t="shared" si="32"/>
        <v>N/A</v>
      </c>
      <c r="O174" s="671">
        <f t="shared" si="33"/>
        <v>558</v>
      </c>
      <c r="P174" s="861" t="s">
        <v>1384</v>
      </c>
      <c r="Q174" s="861" t="s">
        <v>1385</v>
      </c>
      <c r="R174" s="861" t="s">
        <v>1386</v>
      </c>
      <c r="S174" s="861" t="s">
        <v>1387</v>
      </c>
      <c r="T174" s="866" t="s">
        <v>1388</v>
      </c>
      <c r="U174" s="865"/>
    </row>
    <row r="175" spans="2:21" ht="15">
      <c r="B175" s="861" t="s">
        <v>1389</v>
      </c>
      <c r="C175" s="861" t="s">
        <v>1390</v>
      </c>
      <c r="D175" s="861" t="s">
        <v>371</v>
      </c>
      <c r="E175" s="861"/>
      <c r="F175" s="862">
        <v>0.187</v>
      </c>
      <c r="G175" s="869">
        <v>4.7032779720000004</v>
      </c>
      <c r="H175" s="874">
        <v>2012441851.8</v>
      </c>
      <c r="I175" s="871"/>
      <c r="J175" s="863" t="s">
        <v>1391</v>
      </c>
      <c r="K175" s="868">
        <f t="shared" si="30"/>
        <v>107</v>
      </c>
      <c r="L175" s="861"/>
      <c r="M175" s="671">
        <f t="shared" si="31"/>
        <v>173</v>
      </c>
      <c r="N175" s="671" t="str">
        <f t="shared" si="32"/>
        <v>N/A</v>
      </c>
      <c r="O175" s="671" t="str">
        <f t="shared" si="33"/>
        <v>N/A</v>
      </c>
      <c r="P175" s="861"/>
      <c r="Q175" s="861"/>
      <c r="R175" s="861"/>
      <c r="S175" s="861" t="s">
        <v>404</v>
      </c>
      <c r="T175" s="866" t="s">
        <v>1392</v>
      </c>
      <c r="U175" s="865"/>
    </row>
    <row r="176" spans="2:21" ht="15">
      <c r="B176" s="861" t="s">
        <v>1393</v>
      </c>
      <c r="C176" s="861" t="s">
        <v>1394</v>
      </c>
      <c r="D176" s="861" t="s">
        <v>371</v>
      </c>
      <c r="E176" s="861"/>
      <c r="F176" s="862">
        <v>0</v>
      </c>
      <c r="G176" s="870" t="s">
        <v>1395</v>
      </c>
      <c r="H176" s="874">
        <v>1945418200.8699999</v>
      </c>
      <c r="I176" s="871">
        <v>25</v>
      </c>
      <c r="J176" s="862">
        <v>4.9000000000000002E-2</v>
      </c>
      <c r="K176" s="868">
        <f t="shared" si="30"/>
        <v>316</v>
      </c>
      <c r="L176" s="861"/>
      <c r="M176" s="671">
        <f t="shared" si="31"/>
        <v>174</v>
      </c>
      <c r="N176" s="671">
        <f t="shared" si="32"/>
        <v>161</v>
      </c>
      <c r="O176" s="671">
        <f t="shared" si="33"/>
        <v>606</v>
      </c>
      <c r="P176" s="861"/>
      <c r="Q176" s="861"/>
      <c r="R176" s="861"/>
      <c r="S176" s="861" t="s">
        <v>392</v>
      </c>
      <c r="T176" s="866" t="s">
        <v>1396</v>
      </c>
      <c r="U176" s="865"/>
    </row>
    <row r="177" spans="2:21" ht="15">
      <c r="B177" s="861" t="s">
        <v>1397</v>
      </c>
      <c r="C177" s="861" t="s">
        <v>1398</v>
      </c>
      <c r="D177" s="861" t="s">
        <v>371</v>
      </c>
      <c r="E177" s="861"/>
      <c r="F177" s="862">
        <v>5.8999999999999997E-2</v>
      </c>
      <c r="G177" s="869">
        <v>1.4582500549999999</v>
      </c>
      <c r="H177" s="874">
        <v>1922150504</v>
      </c>
      <c r="I177" s="872" t="s">
        <v>1399</v>
      </c>
      <c r="J177" s="862">
        <v>0.33</v>
      </c>
      <c r="K177" s="868">
        <f t="shared" si="30"/>
        <v>242</v>
      </c>
      <c r="L177" s="861"/>
      <c r="M177" s="671">
        <f t="shared" si="31"/>
        <v>175</v>
      </c>
      <c r="N177" s="671" t="str">
        <f t="shared" si="32"/>
        <v>N/A</v>
      </c>
      <c r="O177" s="671">
        <f t="shared" si="33"/>
        <v>96</v>
      </c>
      <c r="P177" s="861"/>
      <c r="Q177" s="861"/>
      <c r="R177" s="861"/>
      <c r="S177" s="861" t="s">
        <v>454</v>
      </c>
      <c r="T177" s="866" t="s">
        <v>1400</v>
      </c>
      <c r="U177" s="865"/>
    </row>
    <row r="178" spans="2:21" ht="15">
      <c r="B178" s="861" t="s">
        <v>1401</v>
      </c>
      <c r="C178" s="861" t="s">
        <v>1402</v>
      </c>
      <c r="D178" s="861" t="s">
        <v>371</v>
      </c>
      <c r="E178" s="861"/>
      <c r="F178" s="862">
        <v>7.2999999999999995E-2</v>
      </c>
      <c r="G178" s="869">
        <v>11.5345046</v>
      </c>
      <c r="H178" s="874">
        <v>1908352354.71</v>
      </c>
      <c r="I178" s="872" t="s">
        <v>1403</v>
      </c>
      <c r="J178" s="862">
        <v>0.223</v>
      </c>
      <c r="K178" s="868">
        <f t="shared" si="30"/>
        <v>222</v>
      </c>
      <c r="L178" s="861" t="s">
        <v>1404</v>
      </c>
      <c r="M178" s="671">
        <f t="shared" si="31"/>
        <v>176</v>
      </c>
      <c r="N178" s="671" t="str">
        <f t="shared" si="32"/>
        <v>N/A</v>
      </c>
      <c r="O178" s="671">
        <f t="shared" si="33"/>
        <v>218</v>
      </c>
      <c r="P178" s="861" t="s">
        <v>1214</v>
      </c>
      <c r="Q178" s="861" t="s">
        <v>1405</v>
      </c>
      <c r="R178" s="861" t="s">
        <v>1406</v>
      </c>
      <c r="S178" s="861" t="s">
        <v>1407</v>
      </c>
      <c r="T178" s="866" t="s">
        <v>1408</v>
      </c>
      <c r="U178" s="865"/>
    </row>
    <row r="179" spans="2:21" ht="15">
      <c r="B179" s="861" t="s">
        <v>1409</v>
      </c>
      <c r="C179" s="861" t="s">
        <v>1410</v>
      </c>
      <c r="D179" s="861" t="s">
        <v>371</v>
      </c>
      <c r="E179" s="861"/>
      <c r="F179" s="862">
        <v>0.14699999999999999</v>
      </c>
      <c r="G179" s="869">
        <v>6.6172434390000001</v>
      </c>
      <c r="H179" s="874">
        <v>1863893839.9200001</v>
      </c>
      <c r="I179" s="871"/>
      <c r="J179" s="862">
        <v>0.215</v>
      </c>
      <c r="K179" s="868">
        <f t="shared" si="30"/>
        <v>144</v>
      </c>
      <c r="L179" s="861"/>
      <c r="M179" s="671">
        <f t="shared" si="31"/>
        <v>177</v>
      </c>
      <c r="N179" s="671" t="str">
        <f t="shared" si="32"/>
        <v>N/A</v>
      </c>
      <c r="O179" s="671">
        <f t="shared" si="33"/>
        <v>229</v>
      </c>
      <c r="P179" s="861" t="s">
        <v>615</v>
      </c>
      <c r="Q179" s="861" t="s">
        <v>1411</v>
      </c>
      <c r="R179" s="861"/>
      <c r="S179" s="861" t="s">
        <v>1412</v>
      </c>
      <c r="T179" s="866" t="s">
        <v>1413</v>
      </c>
      <c r="U179" s="865"/>
    </row>
    <row r="180" spans="2:21" ht="15">
      <c r="B180" s="861" t="s">
        <v>1414</v>
      </c>
      <c r="C180" s="861" t="s">
        <v>1415</v>
      </c>
      <c r="D180" s="861" t="s">
        <v>371</v>
      </c>
      <c r="E180" s="861"/>
      <c r="F180" s="862">
        <v>0.16700000000000001</v>
      </c>
      <c r="G180" s="869">
        <v>4.4112413000000003E-2</v>
      </c>
      <c r="H180" s="874">
        <v>1856510228.0999999</v>
      </c>
      <c r="I180" s="871"/>
      <c r="J180" s="862">
        <v>3.1E-2</v>
      </c>
      <c r="K180" s="868">
        <f t="shared" si="30"/>
        <v>122</v>
      </c>
      <c r="L180" s="861"/>
      <c r="M180" s="671">
        <f t="shared" si="31"/>
        <v>178</v>
      </c>
      <c r="N180" s="671" t="str">
        <f t="shared" si="32"/>
        <v>N/A</v>
      </c>
      <c r="O180" s="671">
        <f t="shared" si="33"/>
        <v>651</v>
      </c>
      <c r="P180" s="861"/>
      <c r="Q180" s="861"/>
      <c r="R180" s="861"/>
      <c r="S180" s="861" t="s">
        <v>424</v>
      </c>
      <c r="T180" s="866" t="s">
        <v>1416</v>
      </c>
      <c r="U180" s="865"/>
    </row>
    <row r="181" spans="2:21" ht="15">
      <c r="B181" s="861" t="s">
        <v>1417</v>
      </c>
      <c r="C181" s="861" t="s">
        <v>1418</v>
      </c>
      <c r="D181" s="861" t="s">
        <v>371</v>
      </c>
      <c r="E181" s="861"/>
      <c r="F181" s="862">
        <v>0.11799999999999999</v>
      </c>
      <c r="G181" s="869">
        <v>4.6826284000000003E-2</v>
      </c>
      <c r="H181" s="874">
        <v>1823092948.77</v>
      </c>
      <c r="I181" s="871"/>
      <c r="J181" s="862">
        <v>0.32800000000000001</v>
      </c>
      <c r="K181" s="868">
        <f t="shared" si="30"/>
        <v>177</v>
      </c>
      <c r="L181" s="863" t="s">
        <v>1030</v>
      </c>
      <c r="M181" s="671">
        <f t="shared" si="31"/>
        <v>179</v>
      </c>
      <c r="N181" s="671" t="str">
        <f t="shared" si="32"/>
        <v>N/A</v>
      </c>
      <c r="O181" s="671">
        <f t="shared" si="33"/>
        <v>97</v>
      </c>
      <c r="P181" s="861" t="s">
        <v>1419</v>
      </c>
      <c r="Q181" s="861"/>
      <c r="R181" s="863" t="s">
        <v>1420</v>
      </c>
      <c r="S181" s="861" t="s">
        <v>1421</v>
      </c>
      <c r="T181" s="866" t="s">
        <v>1422</v>
      </c>
      <c r="U181" s="865"/>
    </row>
    <row r="182" spans="2:21" ht="15">
      <c r="B182" s="861" t="s">
        <v>1423</v>
      </c>
      <c r="C182" s="861" t="s">
        <v>1424</v>
      </c>
      <c r="D182" s="861" t="s">
        <v>371</v>
      </c>
      <c r="E182" s="861"/>
      <c r="F182" s="862">
        <v>0.44400000000000001</v>
      </c>
      <c r="G182" s="869">
        <v>0.33149421400000001</v>
      </c>
      <c r="H182" s="874">
        <v>1805463002.97</v>
      </c>
      <c r="I182" s="871">
        <v>92.48</v>
      </c>
      <c r="J182" s="862">
        <v>0.17299999999999999</v>
      </c>
      <c r="K182" s="868">
        <f t="shared" si="30"/>
        <v>21</v>
      </c>
      <c r="L182" s="861" t="s">
        <v>1425</v>
      </c>
      <c r="M182" s="671">
        <f t="shared" si="31"/>
        <v>180</v>
      </c>
      <c r="N182" s="671">
        <f t="shared" si="32"/>
        <v>38</v>
      </c>
      <c r="O182" s="671">
        <f t="shared" si="33"/>
        <v>299</v>
      </c>
      <c r="P182" s="861" t="s">
        <v>1089</v>
      </c>
      <c r="Q182" s="861" t="s">
        <v>1426</v>
      </c>
      <c r="R182" s="861" t="s">
        <v>1165</v>
      </c>
      <c r="S182" s="861" t="s">
        <v>1427</v>
      </c>
      <c r="T182" s="866" t="s">
        <v>1428</v>
      </c>
      <c r="U182" s="865"/>
    </row>
    <row r="183" spans="2:21" ht="15">
      <c r="B183" s="861" t="s">
        <v>1429</v>
      </c>
      <c r="C183" s="861" t="s">
        <v>1430</v>
      </c>
      <c r="D183" s="861" t="s">
        <v>371</v>
      </c>
      <c r="E183" s="861"/>
      <c r="F183" s="862">
        <v>9.5000000000000001E-2</v>
      </c>
      <c r="G183" s="870" t="s">
        <v>1431</v>
      </c>
      <c r="H183" s="874">
        <v>1782334148.1700001</v>
      </c>
      <c r="I183" s="871"/>
      <c r="J183" s="863" t="s">
        <v>1432</v>
      </c>
      <c r="K183" s="868">
        <f t="shared" si="30"/>
        <v>198</v>
      </c>
      <c r="L183" s="861"/>
      <c r="M183" s="671">
        <f t="shared" si="31"/>
        <v>181</v>
      </c>
      <c r="N183" s="671" t="str">
        <f t="shared" si="32"/>
        <v>N/A</v>
      </c>
      <c r="O183" s="671" t="str">
        <f t="shared" si="33"/>
        <v>N/A</v>
      </c>
      <c r="P183" s="861" t="s">
        <v>1433</v>
      </c>
      <c r="Q183" s="861" t="s">
        <v>1434</v>
      </c>
      <c r="R183" s="861"/>
      <c r="S183" s="861" t="s">
        <v>827</v>
      </c>
      <c r="T183" s="866" t="s">
        <v>1435</v>
      </c>
      <c r="U183" s="865"/>
    </row>
    <row r="184" spans="2:21" ht="15">
      <c r="B184" s="861" t="s">
        <v>1436</v>
      </c>
      <c r="C184" s="861" t="s">
        <v>1437</v>
      </c>
      <c r="D184" s="861" t="s">
        <v>371</v>
      </c>
      <c r="E184" s="861"/>
      <c r="F184" s="862">
        <v>-4.8000000000000001E-2</v>
      </c>
      <c r="G184" s="870" t="s">
        <v>1438</v>
      </c>
      <c r="H184" s="874">
        <v>1782064534.1500001</v>
      </c>
      <c r="I184" s="871">
        <v>34.92</v>
      </c>
      <c r="J184" s="863" t="s">
        <v>1439</v>
      </c>
      <c r="K184" s="868">
        <f t="shared" si="30"/>
        <v>343</v>
      </c>
      <c r="L184" s="861"/>
      <c r="M184" s="671">
        <f t="shared" si="31"/>
        <v>182</v>
      </c>
      <c r="N184" s="671">
        <f t="shared" si="32"/>
        <v>126</v>
      </c>
      <c r="O184" s="671" t="str">
        <f t="shared" si="33"/>
        <v>N/A</v>
      </c>
      <c r="P184" s="861" t="s">
        <v>1440</v>
      </c>
      <c r="Q184" s="861" t="s">
        <v>1441</v>
      </c>
      <c r="R184" s="861"/>
      <c r="S184" s="861" t="s">
        <v>557</v>
      </c>
      <c r="T184" s="866" t="s">
        <v>1442</v>
      </c>
      <c r="U184" s="865"/>
    </row>
    <row r="185" spans="2:21" ht="15">
      <c r="B185" s="861" t="s">
        <v>1443</v>
      </c>
      <c r="C185" s="861" t="s">
        <v>1444</v>
      </c>
      <c r="D185" s="861" t="s">
        <v>371</v>
      </c>
      <c r="E185" s="861"/>
      <c r="F185" s="862">
        <v>0.106</v>
      </c>
      <c r="G185" s="869">
        <v>4.5462351999999998E-2</v>
      </c>
      <c r="H185" s="874">
        <v>1770672858.71</v>
      </c>
      <c r="I185" s="871">
        <v>4.3099999999999996</v>
      </c>
      <c r="J185" s="863" t="s">
        <v>1445</v>
      </c>
      <c r="K185" s="868">
        <f t="shared" si="30"/>
        <v>188</v>
      </c>
      <c r="L185" s="861"/>
      <c r="M185" s="671">
        <f t="shared" si="31"/>
        <v>183</v>
      </c>
      <c r="N185" s="671">
        <f t="shared" si="32"/>
        <v>274</v>
      </c>
      <c r="O185" s="671" t="str">
        <f t="shared" si="33"/>
        <v>N/A</v>
      </c>
      <c r="P185" s="861"/>
      <c r="Q185" s="861"/>
      <c r="R185" s="861"/>
      <c r="S185" s="861" t="s">
        <v>454</v>
      </c>
      <c r="T185" s="866" t="s">
        <v>1446</v>
      </c>
      <c r="U185" s="865"/>
    </row>
    <row r="186" spans="2:21" ht="15">
      <c r="B186" s="861" t="s">
        <v>1447</v>
      </c>
      <c r="C186" s="861" t="s">
        <v>1448</v>
      </c>
      <c r="D186" s="861" t="s">
        <v>371</v>
      </c>
      <c r="E186" s="861"/>
      <c r="F186" s="862">
        <v>2E-3</v>
      </c>
      <c r="G186" s="870" t="s">
        <v>1449</v>
      </c>
      <c r="H186" s="874">
        <v>1738504464.24</v>
      </c>
      <c r="I186" s="872" t="s">
        <v>1450</v>
      </c>
      <c r="J186" s="863" t="s">
        <v>1451</v>
      </c>
      <c r="K186" s="868">
        <f t="shared" si="30"/>
        <v>315</v>
      </c>
      <c r="L186" s="861"/>
      <c r="M186" s="671">
        <f t="shared" si="31"/>
        <v>184</v>
      </c>
      <c r="N186" s="671" t="str">
        <f t="shared" si="32"/>
        <v>N/A</v>
      </c>
      <c r="O186" s="671" t="str">
        <f t="shared" si="33"/>
        <v>N/A</v>
      </c>
      <c r="P186" s="861" t="s">
        <v>763</v>
      </c>
      <c r="Q186" s="861" t="s">
        <v>855</v>
      </c>
      <c r="R186" s="861"/>
      <c r="S186" s="861" t="s">
        <v>868</v>
      </c>
      <c r="T186" s="866" t="s">
        <v>1452</v>
      </c>
      <c r="U186" s="865"/>
    </row>
    <row r="187" spans="2:21" ht="15">
      <c r="B187" s="861" t="s">
        <v>1453</v>
      </c>
      <c r="C187" s="861" t="s">
        <v>1454</v>
      </c>
      <c r="D187" s="861" t="s">
        <v>371</v>
      </c>
      <c r="E187" s="861"/>
      <c r="F187" s="862"/>
      <c r="G187" s="870" t="s">
        <v>1455</v>
      </c>
      <c r="H187" s="874">
        <v>1737013304.0599999</v>
      </c>
      <c r="I187" s="871">
        <v>6.47</v>
      </c>
      <c r="J187" s="862">
        <v>0.374</v>
      </c>
      <c r="K187" s="868">
        <f t="shared" si="30"/>
        <v>316</v>
      </c>
      <c r="L187" s="861"/>
      <c r="M187" s="671">
        <f t="shared" si="31"/>
        <v>185</v>
      </c>
      <c r="N187" s="671">
        <f t="shared" si="32"/>
        <v>256</v>
      </c>
      <c r="O187" s="671">
        <f t="shared" si="33"/>
        <v>70</v>
      </c>
      <c r="P187" s="861" t="s">
        <v>1456</v>
      </c>
      <c r="Q187" s="861"/>
      <c r="R187" s="861"/>
      <c r="S187" s="861" t="s">
        <v>424</v>
      </c>
      <c r="T187" s="866" t="s">
        <v>1457</v>
      </c>
      <c r="U187" s="865"/>
    </row>
    <row r="188" spans="2:21" ht="15">
      <c r="B188" s="861" t="s">
        <v>1458</v>
      </c>
      <c r="C188" s="861" t="s">
        <v>1459</v>
      </c>
      <c r="D188" s="861" t="s">
        <v>371</v>
      </c>
      <c r="E188" s="861"/>
      <c r="F188" s="862">
        <v>9.4E-2</v>
      </c>
      <c r="G188" s="869">
        <v>4.5239253689999996</v>
      </c>
      <c r="H188" s="874">
        <v>1677793067.73</v>
      </c>
      <c r="I188" s="871">
        <v>98.8</v>
      </c>
      <c r="J188" s="863" t="s">
        <v>1460</v>
      </c>
      <c r="K188" s="868">
        <f t="shared" si="30"/>
        <v>200</v>
      </c>
      <c r="L188" s="861"/>
      <c r="M188" s="671">
        <f t="shared" si="31"/>
        <v>186</v>
      </c>
      <c r="N188" s="671">
        <f t="shared" si="32"/>
        <v>34</v>
      </c>
      <c r="O188" s="671" t="str">
        <f t="shared" si="33"/>
        <v>N/A</v>
      </c>
      <c r="P188" s="861" t="s">
        <v>791</v>
      </c>
      <c r="Q188" s="861"/>
      <c r="R188" s="861"/>
      <c r="S188" s="861" t="s">
        <v>404</v>
      </c>
      <c r="T188" s="866" t="s">
        <v>1461</v>
      </c>
      <c r="U188" s="865"/>
    </row>
    <row r="189" spans="2:21" ht="15">
      <c r="B189" s="861" t="s">
        <v>1462</v>
      </c>
      <c r="C189" s="861" t="s">
        <v>1463</v>
      </c>
      <c r="D189" s="861" t="s">
        <v>371</v>
      </c>
      <c r="E189" s="861"/>
      <c r="F189" s="862">
        <v>1.2999999999999999E-2</v>
      </c>
      <c r="G189" s="870" t="s">
        <v>1464</v>
      </c>
      <c r="H189" s="874">
        <v>1675354386.9100001</v>
      </c>
      <c r="I189" s="871">
        <v>12.61</v>
      </c>
      <c r="J189" s="862">
        <v>0.28999999999999998</v>
      </c>
      <c r="K189" s="868">
        <f t="shared" si="30"/>
        <v>306</v>
      </c>
      <c r="L189" s="861"/>
      <c r="M189" s="671">
        <f t="shared" si="31"/>
        <v>187</v>
      </c>
      <c r="N189" s="671">
        <f t="shared" si="32"/>
        <v>209</v>
      </c>
      <c r="O189" s="671">
        <f t="shared" si="33"/>
        <v>139</v>
      </c>
      <c r="P189" s="861"/>
      <c r="Q189" s="861"/>
      <c r="R189" s="861"/>
      <c r="S189" s="861" t="s">
        <v>424</v>
      </c>
      <c r="T189" s="866" t="s">
        <v>1465</v>
      </c>
      <c r="U189" s="865"/>
    </row>
    <row r="190" spans="2:21" ht="15">
      <c r="B190" s="861" t="s">
        <v>1466</v>
      </c>
      <c r="C190" s="861" t="s">
        <v>1467</v>
      </c>
      <c r="D190" s="861" t="s">
        <v>371</v>
      </c>
      <c r="E190" s="861"/>
      <c r="F190" s="862">
        <v>0.496</v>
      </c>
      <c r="G190" s="869">
        <v>0.81860591299999996</v>
      </c>
      <c r="H190" s="874">
        <v>1666752479.5</v>
      </c>
      <c r="I190" s="871">
        <v>27.17</v>
      </c>
      <c r="J190" s="862">
        <v>5.5E-2</v>
      </c>
      <c r="K190" s="868">
        <f t="shared" si="30"/>
        <v>17</v>
      </c>
      <c r="L190" s="861" t="s">
        <v>1064</v>
      </c>
      <c r="M190" s="671">
        <f t="shared" si="31"/>
        <v>188</v>
      </c>
      <c r="N190" s="671">
        <f t="shared" si="32"/>
        <v>154</v>
      </c>
      <c r="O190" s="671">
        <f t="shared" si="33"/>
        <v>592</v>
      </c>
      <c r="P190" s="861" t="s">
        <v>531</v>
      </c>
      <c r="Q190" s="861" t="s">
        <v>1468</v>
      </c>
      <c r="R190" s="861" t="s">
        <v>1469</v>
      </c>
      <c r="S190" s="861" t="s">
        <v>1470</v>
      </c>
      <c r="T190" s="866" t="s">
        <v>1471</v>
      </c>
      <c r="U190" s="865"/>
    </row>
    <row r="191" spans="2:21" ht="15">
      <c r="B191" s="861" t="s">
        <v>1472</v>
      </c>
      <c r="C191" s="861" t="s">
        <v>1473</v>
      </c>
      <c r="D191" s="861" t="s">
        <v>371</v>
      </c>
      <c r="E191" s="861"/>
      <c r="F191" s="862">
        <v>7.6999999999999999E-2</v>
      </c>
      <c r="G191" s="869">
        <v>1.33475498</v>
      </c>
      <c r="H191" s="874">
        <v>1661312956.1700001</v>
      </c>
      <c r="I191" s="871"/>
      <c r="J191" s="862">
        <v>0.28199999999999997</v>
      </c>
      <c r="K191" s="868">
        <f t="shared" si="30"/>
        <v>218</v>
      </c>
      <c r="L191" s="861"/>
      <c r="M191" s="671">
        <f t="shared" si="31"/>
        <v>189</v>
      </c>
      <c r="N191" s="671" t="str">
        <f t="shared" si="32"/>
        <v>N/A</v>
      </c>
      <c r="O191" s="671">
        <f t="shared" si="33"/>
        <v>147</v>
      </c>
      <c r="P191" s="861" t="s">
        <v>1474</v>
      </c>
      <c r="Q191" s="861"/>
      <c r="R191" s="861"/>
      <c r="S191" s="861" t="s">
        <v>1475</v>
      </c>
      <c r="T191" s="866" t="s">
        <v>1476</v>
      </c>
      <c r="U191" s="865"/>
    </row>
    <row r="192" spans="2:21" ht="15">
      <c r="B192" s="861" t="s">
        <v>1477</v>
      </c>
      <c r="C192" s="861" t="s">
        <v>1478</v>
      </c>
      <c r="D192" s="861" t="s">
        <v>371</v>
      </c>
      <c r="E192" s="861"/>
      <c r="F192" s="862">
        <v>0.82699999999999996</v>
      </c>
      <c r="G192" s="869">
        <v>1.9506823E-2</v>
      </c>
      <c r="H192" s="874">
        <v>1659957877.23</v>
      </c>
      <c r="I192" s="872" t="s">
        <v>1479</v>
      </c>
      <c r="J192" s="863" t="s">
        <v>1480</v>
      </c>
      <c r="K192" s="868">
        <f t="shared" si="30"/>
        <v>11</v>
      </c>
      <c r="L192" s="861"/>
      <c r="M192" s="671">
        <f t="shared" si="31"/>
        <v>190</v>
      </c>
      <c r="N192" s="671" t="str">
        <f t="shared" si="32"/>
        <v>N/A</v>
      </c>
      <c r="O192" s="671" t="str">
        <f t="shared" si="33"/>
        <v>N/A</v>
      </c>
      <c r="P192" s="861"/>
      <c r="Q192" s="861"/>
      <c r="R192" s="861"/>
      <c r="S192" s="861" t="s">
        <v>424</v>
      </c>
      <c r="T192" s="866" t="s">
        <v>1481</v>
      </c>
      <c r="U192" s="865"/>
    </row>
    <row r="193" spans="2:21" ht="15">
      <c r="B193" s="861" t="s">
        <v>1482</v>
      </c>
      <c r="C193" s="861" t="s">
        <v>1483</v>
      </c>
      <c r="D193" s="861" t="s">
        <v>371</v>
      </c>
      <c r="E193" s="861"/>
      <c r="F193" s="862">
        <v>-5.3999999999999999E-2</v>
      </c>
      <c r="G193" s="870" t="s">
        <v>1484</v>
      </c>
      <c r="H193" s="874">
        <v>1655916177.5999999</v>
      </c>
      <c r="I193" s="871">
        <v>86.34</v>
      </c>
      <c r="J193" s="862">
        <v>0.121</v>
      </c>
      <c r="K193" s="868">
        <f t="shared" si="30"/>
        <v>347</v>
      </c>
      <c r="L193" s="861"/>
      <c r="M193" s="671">
        <f t="shared" si="31"/>
        <v>191</v>
      </c>
      <c r="N193" s="671">
        <f t="shared" si="32"/>
        <v>43</v>
      </c>
      <c r="O193" s="671">
        <f t="shared" si="33"/>
        <v>423</v>
      </c>
      <c r="P193" s="861" t="s">
        <v>1485</v>
      </c>
      <c r="Q193" s="861" t="s">
        <v>1486</v>
      </c>
      <c r="R193" s="861"/>
      <c r="S193" s="861" t="s">
        <v>506</v>
      </c>
      <c r="T193" s="866" t="s">
        <v>1487</v>
      </c>
      <c r="U193" s="865"/>
    </row>
    <row r="194" spans="2:21" ht="15">
      <c r="B194" s="861" t="s">
        <v>1488</v>
      </c>
      <c r="C194" s="861" t="s">
        <v>1489</v>
      </c>
      <c r="D194" s="861" t="s">
        <v>371</v>
      </c>
      <c r="E194" s="861"/>
      <c r="F194" s="862"/>
      <c r="G194" s="869">
        <v>0</v>
      </c>
      <c r="H194" s="874">
        <v>1650879268.74</v>
      </c>
      <c r="I194" s="871"/>
      <c r="J194" s="862">
        <v>1.4999999999999999E-2</v>
      </c>
      <c r="K194" s="868">
        <f t="shared" si="30"/>
        <v>316</v>
      </c>
      <c r="L194" s="861" t="s">
        <v>1000</v>
      </c>
      <c r="M194" s="671">
        <f t="shared" si="31"/>
        <v>192</v>
      </c>
      <c r="N194" s="671" t="str">
        <f t="shared" si="32"/>
        <v>N/A</v>
      </c>
      <c r="O194" s="671">
        <f t="shared" si="33"/>
        <v>676</v>
      </c>
      <c r="P194" s="861" t="s">
        <v>1490</v>
      </c>
      <c r="Q194" s="861" t="s">
        <v>770</v>
      </c>
      <c r="R194" s="861" t="s">
        <v>1081</v>
      </c>
      <c r="S194" s="861" t="s">
        <v>1491</v>
      </c>
      <c r="T194" s="866" t="s">
        <v>1492</v>
      </c>
      <c r="U194" s="865"/>
    </row>
    <row r="195" spans="2:21" ht="15">
      <c r="B195" s="861" t="s">
        <v>1493</v>
      </c>
      <c r="C195" s="861" t="s">
        <v>1494</v>
      </c>
      <c r="D195" s="861" t="s">
        <v>371</v>
      </c>
      <c r="E195" s="861"/>
      <c r="F195" s="862">
        <v>-3.5999999999999997E-2</v>
      </c>
      <c r="G195" s="870" t="s">
        <v>1495</v>
      </c>
      <c r="H195" s="874">
        <v>1605619173.7</v>
      </c>
      <c r="I195" s="871">
        <v>57.15</v>
      </c>
      <c r="J195" s="863" t="s">
        <v>1496</v>
      </c>
      <c r="K195" s="868">
        <f t="shared" si="30"/>
        <v>338</v>
      </c>
      <c r="L195" s="861" t="s">
        <v>1497</v>
      </c>
      <c r="M195" s="671">
        <f t="shared" si="31"/>
        <v>193</v>
      </c>
      <c r="N195" s="671">
        <f t="shared" si="32"/>
        <v>80</v>
      </c>
      <c r="O195" s="671" t="str">
        <f t="shared" si="33"/>
        <v>N/A</v>
      </c>
      <c r="P195" s="861" t="s">
        <v>1498</v>
      </c>
      <c r="Q195" s="861" t="s">
        <v>1499</v>
      </c>
      <c r="R195" s="861"/>
      <c r="S195" s="861" t="s">
        <v>1500</v>
      </c>
      <c r="T195" s="866" t="s">
        <v>1501</v>
      </c>
      <c r="U195" s="865"/>
    </row>
    <row r="196" spans="2:21" ht="15">
      <c r="B196" s="861" t="s">
        <v>1502</v>
      </c>
      <c r="C196" s="861" t="s">
        <v>1503</v>
      </c>
      <c r="D196" s="861" t="s">
        <v>371</v>
      </c>
      <c r="E196" s="861"/>
      <c r="F196" s="862">
        <v>-0.124</v>
      </c>
      <c r="G196" s="869">
        <v>0</v>
      </c>
      <c r="H196" s="874">
        <v>1596337652.4000001</v>
      </c>
      <c r="I196" s="871"/>
      <c r="J196" s="862">
        <v>0.161</v>
      </c>
      <c r="K196" s="868">
        <f t="shared" ref="K196:K259" si="34">IFERROR(_xlfn.RANK.EQ(F196,F$3:F$1770),"N/A")</f>
        <v>392</v>
      </c>
      <c r="L196" s="861" t="s">
        <v>500</v>
      </c>
      <c r="M196" s="671">
        <f t="shared" ref="M196:M259" si="35">IFERROR(_xlfn.RANK.EQ(H196,H$3:H$1770),"N/A")</f>
        <v>194</v>
      </c>
      <c r="N196" s="671" t="str">
        <f t="shared" ref="N196:N259" si="36">IFERROR(_xlfn.RANK.EQ(I196,I$3:I$1770),"N/A")</f>
        <v>N/A</v>
      </c>
      <c r="O196" s="671">
        <f t="shared" ref="O196:O259" si="37">IFERROR(_xlfn.RANK.EQ(J196,J$3:J$1770),"N/A")</f>
        <v>316</v>
      </c>
      <c r="P196" s="861" t="s">
        <v>1504</v>
      </c>
      <c r="Q196" s="861" t="s">
        <v>1505</v>
      </c>
      <c r="R196" s="861" t="s">
        <v>1506</v>
      </c>
      <c r="S196" s="861" t="s">
        <v>1507</v>
      </c>
      <c r="T196" s="866" t="s">
        <v>1508</v>
      </c>
      <c r="U196" s="865"/>
    </row>
    <row r="197" spans="2:21" ht="15">
      <c r="B197" s="861" t="s">
        <v>1509</v>
      </c>
      <c r="C197" s="861" t="s">
        <v>1510</v>
      </c>
      <c r="D197" s="861" t="s">
        <v>371</v>
      </c>
      <c r="E197" s="861"/>
      <c r="F197" s="862">
        <v>-0.113</v>
      </c>
      <c r="G197" s="869">
        <v>7.2819559180000004</v>
      </c>
      <c r="H197" s="874">
        <v>1592130116.6800001</v>
      </c>
      <c r="I197" s="871"/>
      <c r="J197" s="862">
        <v>0.157</v>
      </c>
      <c r="K197" s="868">
        <f t="shared" si="34"/>
        <v>386</v>
      </c>
      <c r="L197" s="861"/>
      <c r="M197" s="671">
        <f t="shared" si="35"/>
        <v>195</v>
      </c>
      <c r="N197" s="671" t="str">
        <f t="shared" si="36"/>
        <v>N/A</v>
      </c>
      <c r="O197" s="671">
        <f t="shared" si="37"/>
        <v>325</v>
      </c>
      <c r="P197" s="861" t="s">
        <v>1511</v>
      </c>
      <c r="Q197" s="861"/>
      <c r="R197" s="861"/>
      <c r="S197" s="861" t="s">
        <v>424</v>
      </c>
      <c r="T197" s="866" t="s">
        <v>1512</v>
      </c>
      <c r="U197" s="865"/>
    </row>
    <row r="198" spans="2:21" ht="15">
      <c r="B198" s="861" t="s">
        <v>1513</v>
      </c>
      <c r="C198" s="861" t="s">
        <v>1514</v>
      </c>
      <c r="D198" s="861" t="s">
        <v>371</v>
      </c>
      <c r="E198" s="861"/>
      <c r="F198" s="862">
        <v>7.0000000000000007E-2</v>
      </c>
      <c r="G198" s="869">
        <v>0.46699812299999999</v>
      </c>
      <c r="H198" s="874">
        <v>1571729679.6300001</v>
      </c>
      <c r="I198" s="871"/>
      <c r="J198" s="862">
        <v>5.8999999999999997E-2</v>
      </c>
      <c r="K198" s="868">
        <f t="shared" si="34"/>
        <v>229</v>
      </c>
      <c r="L198" s="861"/>
      <c r="M198" s="671">
        <f t="shared" si="35"/>
        <v>196</v>
      </c>
      <c r="N198" s="671" t="str">
        <f t="shared" si="36"/>
        <v>N/A</v>
      </c>
      <c r="O198" s="671">
        <f t="shared" si="37"/>
        <v>585</v>
      </c>
      <c r="P198" s="861"/>
      <c r="Q198" s="861"/>
      <c r="R198" s="861"/>
      <c r="S198" s="861" t="s">
        <v>424</v>
      </c>
      <c r="T198" s="866" t="s">
        <v>1515</v>
      </c>
      <c r="U198" s="865"/>
    </row>
    <row r="199" spans="2:21" ht="15">
      <c r="B199" s="861" t="s">
        <v>1516</v>
      </c>
      <c r="C199" s="861" t="s">
        <v>1517</v>
      </c>
      <c r="D199" s="861" t="s">
        <v>371</v>
      </c>
      <c r="E199" s="861"/>
      <c r="F199" s="862">
        <v>3.9E-2</v>
      </c>
      <c r="G199" s="870" t="s">
        <v>1518</v>
      </c>
      <c r="H199" s="874">
        <v>1557311027.77</v>
      </c>
      <c r="I199" s="872" t="s">
        <v>1519</v>
      </c>
      <c r="J199" s="862">
        <v>0.128</v>
      </c>
      <c r="K199" s="868">
        <f t="shared" si="34"/>
        <v>268</v>
      </c>
      <c r="L199" s="863" t="s">
        <v>1520</v>
      </c>
      <c r="M199" s="671">
        <f t="shared" si="35"/>
        <v>197</v>
      </c>
      <c r="N199" s="671" t="str">
        <f t="shared" si="36"/>
        <v>N/A</v>
      </c>
      <c r="O199" s="671">
        <f t="shared" si="37"/>
        <v>405</v>
      </c>
      <c r="P199" s="861" t="s">
        <v>1521</v>
      </c>
      <c r="Q199" s="861"/>
      <c r="R199" s="863" t="s">
        <v>1522</v>
      </c>
      <c r="S199" s="861" t="s">
        <v>572</v>
      </c>
      <c r="T199" s="866" t="s">
        <v>1523</v>
      </c>
      <c r="U199" s="865"/>
    </row>
    <row r="200" spans="2:21" ht="15">
      <c r="B200" s="861" t="s">
        <v>1524</v>
      </c>
      <c r="C200" s="861" t="s">
        <v>1525</v>
      </c>
      <c r="D200" s="861" t="s">
        <v>371</v>
      </c>
      <c r="E200" s="861"/>
      <c r="F200" s="862">
        <v>0.125</v>
      </c>
      <c r="G200" s="869">
        <v>0.109040255</v>
      </c>
      <c r="H200" s="874">
        <v>1541938421.04</v>
      </c>
      <c r="I200" s="871"/>
      <c r="J200" s="862">
        <v>0.17599999999999999</v>
      </c>
      <c r="K200" s="868">
        <f t="shared" si="34"/>
        <v>169</v>
      </c>
      <c r="L200" s="861"/>
      <c r="M200" s="671">
        <f t="shared" si="35"/>
        <v>198</v>
      </c>
      <c r="N200" s="671" t="str">
        <f t="shared" si="36"/>
        <v>N/A</v>
      </c>
      <c r="O200" s="671">
        <f t="shared" si="37"/>
        <v>297</v>
      </c>
      <c r="P200" s="861"/>
      <c r="Q200" s="861"/>
      <c r="R200" s="861"/>
      <c r="S200" s="861" t="s">
        <v>1497</v>
      </c>
      <c r="T200" s="866" t="s">
        <v>1526</v>
      </c>
      <c r="U200" s="865"/>
    </row>
    <row r="201" spans="2:21" ht="15">
      <c r="B201" s="861" t="s">
        <v>1527</v>
      </c>
      <c r="C201" s="861" t="s">
        <v>1528</v>
      </c>
      <c r="D201" s="861" t="s">
        <v>371</v>
      </c>
      <c r="E201" s="861"/>
      <c r="F201" s="862">
        <v>0.13500000000000001</v>
      </c>
      <c r="G201" s="869">
        <v>1.843469749</v>
      </c>
      <c r="H201" s="874">
        <v>1540079655.9300001</v>
      </c>
      <c r="I201" s="871"/>
      <c r="J201" s="862">
        <v>2.5999999999999999E-2</v>
      </c>
      <c r="K201" s="868">
        <f t="shared" si="34"/>
        <v>158</v>
      </c>
      <c r="L201" s="861"/>
      <c r="M201" s="671">
        <f t="shared" si="35"/>
        <v>199</v>
      </c>
      <c r="N201" s="671" t="str">
        <f t="shared" si="36"/>
        <v>N/A</v>
      </c>
      <c r="O201" s="671">
        <f t="shared" si="37"/>
        <v>658</v>
      </c>
      <c r="P201" s="861" t="s">
        <v>1529</v>
      </c>
      <c r="Q201" s="861" t="s">
        <v>1530</v>
      </c>
      <c r="R201" s="861"/>
      <c r="S201" s="861" t="s">
        <v>1531</v>
      </c>
      <c r="T201" s="866" t="s">
        <v>1532</v>
      </c>
      <c r="U201" s="865"/>
    </row>
    <row r="202" spans="2:21" ht="15">
      <c r="B202" s="861" t="s">
        <v>1533</v>
      </c>
      <c r="C202" s="861" t="s">
        <v>1534</v>
      </c>
      <c r="D202" s="861" t="s">
        <v>371</v>
      </c>
      <c r="E202" s="861"/>
      <c r="F202" s="862">
        <v>0.14399999999999999</v>
      </c>
      <c r="G202" s="869">
        <v>0.41376836</v>
      </c>
      <c r="H202" s="874">
        <v>1514130827.1300001</v>
      </c>
      <c r="I202" s="871">
        <v>25.51</v>
      </c>
      <c r="J202" s="863" t="s">
        <v>1535</v>
      </c>
      <c r="K202" s="868">
        <f t="shared" si="34"/>
        <v>146</v>
      </c>
      <c r="L202" s="861" t="s">
        <v>696</v>
      </c>
      <c r="M202" s="671">
        <f t="shared" si="35"/>
        <v>200</v>
      </c>
      <c r="N202" s="671">
        <f t="shared" si="36"/>
        <v>158</v>
      </c>
      <c r="O202" s="671" t="str">
        <f t="shared" si="37"/>
        <v>N/A</v>
      </c>
      <c r="P202" s="861" t="s">
        <v>1536</v>
      </c>
      <c r="Q202" s="861" t="s">
        <v>1537</v>
      </c>
      <c r="R202" s="861" t="s">
        <v>1538</v>
      </c>
      <c r="S202" s="861" t="s">
        <v>1539</v>
      </c>
      <c r="T202" s="866" t="s">
        <v>1540</v>
      </c>
      <c r="U202" s="865"/>
    </row>
    <row r="203" spans="2:21" ht="15">
      <c r="B203" s="861" t="s">
        <v>1541</v>
      </c>
      <c r="C203" s="861" t="s">
        <v>1542</v>
      </c>
      <c r="D203" s="861" t="s">
        <v>371</v>
      </c>
      <c r="E203" s="861"/>
      <c r="F203" s="862">
        <v>-0.26400000000000001</v>
      </c>
      <c r="G203" s="870" t="s">
        <v>1543</v>
      </c>
      <c r="H203" s="874">
        <v>1436690835</v>
      </c>
      <c r="I203" s="871">
        <v>110.51</v>
      </c>
      <c r="J203" s="862">
        <v>0.42</v>
      </c>
      <c r="K203" s="868">
        <f t="shared" si="34"/>
        <v>436</v>
      </c>
      <c r="L203" s="861" t="s">
        <v>1497</v>
      </c>
      <c r="M203" s="671">
        <f t="shared" si="35"/>
        <v>201</v>
      </c>
      <c r="N203" s="671">
        <f t="shared" si="36"/>
        <v>25</v>
      </c>
      <c r="O203" s="671">
        <f t="shared" si="37"/>
        <v>50</v>
      </c>
      <c r="P203" s="861" t="s">
        <v>547</v>
      </c>
      <c r="Q203" s="861" t="s">
        <v>1544</v>
      </c>
      <c r="R203" s="863" t="s">
        <v>937</v>
      </c>
      <c r="S203" s="861" t="s">
        <v>1545</v>
      </c>
      <c r="T203" s="866" t="s">
        <v>1546</v>
      </c>
      <c r="U203" s="865"/>
    </row>
    <row r="204" spans="2:21" ht="15">
      <c r="B204" s="861" t="s">
        <v>1547</v>
      </c>
      <c r="C204" s="861" t="s">
        <v>1548</v>
      </c>
      <c r="D204" s="861" t="s">
        <v>371</v>
      </c>
      <c r="E204" s="861"/>
      <c r="F204" s="862">
        <v>0.22</v>
      </c>
      <c r="G204" s="869">
        <v>0.27030258400000001</v>
      </c>
      <c r="H204" s="874">
        <v>1436217970.29</v>
      </c>
      <c r="I204" s="871"/>
      <c r="J204" s="862">
        <v>3.6999999999999998E-2</v>
      </c>
      <c r="K204" s="868">
        <f t="shared" si="34"/>
        <v>87</v>
      </c>
      <c r="L204" s="861" t="s">
        <v>1549</v>
      </c>
      <c r="M204" s="671">
        <f t="shared" si="35"/>
        <v>202</v>
      </c>
      <c r="N204" s="671" t="str">
        <f t="shared" si="36"/>
        <v>N/A</v>
      </c>
      <c r="O204" s="671">
        <f t="shared" si="37"/>
        <v>635</v>
      </c>
      <c r="P204" s="861" t="s">
        <v>1550</v>
      </c>
      <c r="Q204" s="861" t="s">
        <v>1551</v>
      </c>
      <c r="R204" s="861" t="s">
        <v>1552</v>
      </c>
      <c r="S204" s="861" t="s">
        <v>1553</v>
      </c>
      <c r="T204" s="866" t="s">
        <v>1554</v>
      </c>
      <c r="U204" s="865"/>
    </row>
    <row r="205" spans="2:21" ht="15">
      <c r="B205" s="861" t="s">
        <v>1555</v>
      </c>
      <c r="C205" s="861" t="s">
        <v>1556</v>
      </c>
      <c r="D205" s="861" t="s">
        <v>371</v>
      </c>
      <c r="E205" s="861"/>
      <c r="F205" s="862"/>
      <c r="G205" s="870" t="s">
        <v>1557</v>
      </c>
      <c r="H205" s="874">
        <v>1425823882.45</v>
      </c>
      <c r="I205" s="871">
        <v>3.56</v>
      </c>
      <c r="J205" s="862">
        <v>0.192</v>
      </c>
      <c r="K205" s="868">
        <f t="shared" si="34"/>
        <v>316</v>
      </c>
      <c r="L205" s="861" t="s">
        <v>1002</v>
      </c>
      <c r="M205" s="671">
        <f t="shared" si="35"/>
        <v>203</v>
      </c>
      <c r="N205" s="671">
        <f t="shared" si="36"/>
        <v>283</v>
      </c>
      <c r="O205" s="671">
        <f t="shared" si="37"/>
        <v>269</v>
      </c>
      <c r="P205" s="861" t="s">
        <v>1558</v>
      </c>
      <c r="Q205" s="861" t="s">
        <v>1559</v>
      </c>
      <c r="R205" s="861" t="s">
        <v>1560</v>
      </c>
      <c r="S205" s="861" t="s">
        <v>1561</v>
      </c>
      <c r="T205" s="866" t="s">
        <v>1562</v>
      </c>
      <c r="U205" s="865"/>
    </row>
    <row r="206" spans="2:21" ht="15">
      <c r="B206" s="861" t="s">
        <v>1563</v>
      </c>
      <c r="C206" s="861" t="s">
        <v>1564</v>
      </c>
      <c r="D206" s="861" t="s">
        <v>371</v>
      </c>
      <c r="E206" s="861"/>
      <c r="F206" s="862">
        <v>0.16600000000000001</v>
      </c>
      <c r="G206" s="869">
        <v>1.1891985380000001</v>
      </c>
      <c r="H206" s="874">
        <v>1406048333.45</v>
      </c>
      <c r="I206" s="872" t="s">
        <v>1565</v>
      </c>
      <c r="J206" s="862">
        <v>0.48699999999999999</v>
      </c>
      <c r="K206" s="868">
        <f t="shared" si="34"/>
        <v>123</v>
      </c>
      <c r="L206" s="861" t="s">
        <v>951</v>
      </c>
      <c r="M206" s="671">
        <f t="shared" si="35"/>
        <v>204</v>
      </c>
      <c r="N206" s="671" t="str">
        <f t="shared" si="36"/>
        <v>N/A</v>
      </c>
      <c r="O206" s="671">
        <f t="shared" si="37"/>
        <v>26</v>
      </c>
      <c r="P206" s="861" t="s">
        <v>1566</v>
      </c>
      <c r="Q206" s="861" t="s">
        <v>1567</v>
      </c>
      <c r="R206" s="861" t="s">
        <v>1568</v>
      </c>
      <c r="S206" s="861" t="s">
        <v>1569</v>
      </c>
      <c r="T206" s="866" t="s">
        <v>1570</v>
      </c>
      <c r="U206" s="865"/>
    </row>
    <row r="207" spans="2:21" ht="15">
      <c r="B207" s="861" t="s">
        <v>1571</v>
      </c>
      <c r="C207" s="861" t="s">
        <v>1572</v>
      </c>
      <c r="D207" s="861" t="s">
        <v>371</v>
      </c>
      <c r="E207" s="861"/>
      <c r="F207" s="862"/>
      <c r="G207" s="869">
        <v>0</v>
      </c>
      <c r="H207" s="874">
        <v>1400253965.25</v>
      </c>
      <c r="I207" s="871"/>
      <c r="J207" s="862">
        <v>7.9000000000000001E-2</v>
      </c>
      <c r="K207" s="868">
        <f t="shared" si="34"/>
        <v>316</v>
      </c>
      <c r="L207" s="861" t="s">
        <v>454</v>
      </c>
      <c r="M207" s="671">
        <f t="shared" si="35"/>
        <v>205</v>
      </c>
      <c r="N207" s="671" t="str">
        <f t="shared" si="36"/>
        <v>N/A</v>
      </c>
      <c r="O207" s="671">
        <f t="shared" si="37"/>
        <v>544</v>
      </c>
      <c r="P207" s="861" t="s">
        <v>653</v>
      </c>
      <c r="Q207" s="861" t="s">
        <v>1573</v>
      </c>
      <c r="R207" s="861" t="s">
        <v>404</v>
      </c>
      <c r="S207" s="861" t="s">
        <v>1574</v>
      </c>
      <c r="T207" s="866" t="s">
        <v>1575</v>
      </c>
      <c r="U207" s="865"/>
    </row>
    <row r="208" spans="2:21" ht="15">
      <c r="B208" s="861" t="s">
        <v>1576</v>
      </c>
      <c r="C208" s="861" t="s">
        <v>1577</v>
      </c>
      <c r="D208" s="861" t="s">
        <v>371</v>
      </c>
      <c r="E208" s="861"/>
      <c r="F208" s="862">
        <v>4.7E-2</v>
      </c>
      <c r="G208" s="869">
        <v>0.16985201699999999</v>
      </c>
      <c r="H208" s="874">
        <v>1392696176.49</v>
      </c>
      <c r="I208" s="872" t="s">
        <v>1578</v>
      </c>
      <c r="J208" s="862">
        <v>0.10299999999999999</v>
      </c>
      <c r="K208" s="868">
        <f t="shared" si="34"/>
        <v>259</v>
      </c>
      <c r="L208" s="861"/>
      <c r="M208" s="671">
        <f t="shared" si="35"/>
        <v>206</v>
      </c>
      <c r="N208" s="671" t="str">
        <f t="shared" si="36"/>
        <v>N/A</v>
      </c>
      <c r="O208" s="671">
        <f t="shared" si="37"/>
        <v>482</v>
      </c>
      <c r="P208" s="861" t="s">
        <v>1579</v>
      </c>
      <c r="Q208" s="861"/>
      <c r="R208" s="861"/>
      <c r="S208" s="861" t="s">
        <v>485</v>
      </c>
      <c r="T208" s="866" t="s">
        <v>1580</v>
      </c>
      <c r="U208" s="865"/>
    </row>
    <row r="209" spans="2:21" ht="15">
      <c r="B209" s="861" t="s">
        <v>1581</v>
      </c>
      <c r="C209" s="861" t="s">
        <v>1582</v>
      </c>
      <c r="D209" s="861" t="s">
        <v>371</v>
      </c>
      <c r="E209" s="861"/>
      <c r="F209" s="862">
        <v>0.53700000000000003</v>
      </c>
      <c r="G209" s="870" t="s">
        <v>1583</v>
      </c>
      <c r="H209" s="874">
        <v>1392466638.0699999</v>
      </c>
      <c r="I209" s="871"/>
      <c r="J209" s="863" t="s">
        <v>1584</v>
      </c>
      <c r="K209" s="868">
        <f t="shared" si="34"/>
        <v>15</v>
      </c>
      <c r="L209" s="861"/>
      <c r="M209" s="671">
        <f t="shared" si="35"/>
        <v>207</v>
      </c>
      <c r="N209" s="671" t="str">
        <f t="shared" si="36"/>
        <v>N/A</v>
      </c>
      <c r="O209" s="671" t="str">
        <f t="shared" si="37"/>
        <v>N/A</v>
      </c>
      <c r="P209" s="861"/>
      <c r="Q209" s="861"/>
      <c r="R209" s="861"/>
      <c r="S209" s="861" t="s">
        <v>454</v>
      </c>
      <c r="T209" s="866" t="s">
        <v>1585</v>
      </c>
      <c r="U209" s="865"/>
    </row>
    <row r="210" spans="2:21" ht="15">
      <c r="B210" s="861" t="s">
        <v>1586</v>
      </c>
      <c r="C210" s="861" t="s">
        <v>1587</v>
      </c>
      <c r="D210" s="861" t="s">
        <v>371</v>
      </c>
      <c r="E210" s="861"/>
      <c r="F210" s="862">
        <v>-0.113</v>
      </c>
      <c r="G210" s="870" t="s">
        <v>1588</v>
      </c>
      <c r="H210" s="874">
        <v>1370946306.5599999</v>
      </c>
      <c r="I210" s="872" t="s">
        <v>1589</v>
      </c>
      <c r="J210" s="862">
        <v>0.3</v>
      </c>
      <c r="K210" s="868">
        <f t="shared" si="34"/>
        <v>386</v>
      </c>
      <c r="L210" s="861"/>
      <c r="M210" s="671">
        <f t="shared" si="35"/>
        <v>208</v>
      </c>
      <c r="N210" s="671" t="str">
        <f t="shared" si="36"/>
        <v>N/A</v>
      </c>
      <c r="O210" s="671">
        <f t="shared" si="37"/>
        <v>130</v>
      </c>
      <c r="P210" s="861"/>
      <c r="Q210" s="861"/>
      <c r="R210" s="861"/>
      <c r="S210" s="861" t="s">
        <v>424</v>
      </c>
      <c r="T210" s="866" t="s">
        <v>1590</v>
      </c>
      <c r="U210" s="865"/>
    </row>
    <row r="211" spans="2:21" ht="15">
      <c r="B211" s="861" t="s">
        <v>1591</v>
      </c>
      <c r="C211" s="861" t="s">
        <v>1592</v>
      </c>
      <c r="D211" s="861" t="s">
        <v>371</v>
      </c>
      <c r="E211" s="861"/>
      <c r="F211" s="862"/>
      <c r="G211" s="869">
        <v>0.211691659</v>
      </c>
      <c r="H211" s="874">
        <v>1363185618.5999999</v>
      </c>
      <c r="I211" s="871"/>
      <c r="J211" s="862">
        <v>0.34</v>
      </c>
      <c r="K211" s="868">
        <f t="shared" si="34"/>
        <v>316</v>
      </c>
      <c r="L211" s="861"/>
      <c r="M211" s="671">
        <f t="shared" si="35"/>
        <v>209</v>
      </c>
      <c r="N211" s="671" t="str">
        <f t="shared" si="36"/>
        <v>N/A</v>
      </c>
      <c r="O211" s="671">
        <f t="shared" si="37"/>
        <v>86</v>
      </c>
      <c r="P211" s="861" t="s">
        <v>1593</v>
      </c>
      <c r="Q211" s="861"/>
      <c r="R211" s="861"/>
      <c r="S211" s="861" t="s">
        <v>1236</v>
      </c>
      <c r="T211" s="866" t="s">
        <v>1594</v>
      </c>
      <c r="U211" s="865"/>
    </row>
    <row r="212" spans="2:21" ht="15">
      <c r="B212" s="861" t="s">
        <v>1595</v>
      </c>
      <c r="C212" s="861" t="s">
        <v>1596</v>
      </c>
      <c r="D212" s="861" t="s">
        <v>371</v>
      </c>
      <c r="E212" s="861"/>
      <c r="F212" s="862"/>
      <c r="G212" s="869">
        <v>26.315528310000001</v>
      </c>
      <c r="H212" s="874">
        <v>1344075606.4200001</v>
      </c>
      <c r="I212" s="871">
        <v>36.75</v>
      </c>
      <c r="J212" s="863" t="s">
        <v>760</v>
      </c>
      <c r="K212" s="868">
        <f t="shared" si="34"/>
        <v>316</v>
      </c>
      <c r="L212" s="861"/>
      <c r="M212" s="671">
        <f t="shared" si="35"/>
        <v>210</v>
      </c>
      <c r="N212" s="671">
        <f t="shared" si="36"/>
        <v>118</v>
      </c>
      <c r="O212" s="671" t="str">
        <f t="shared" si="37"/>
        <v>N/A</v>
      </c>
      <c r="P212" s="861" t="s">
        <v>1597</v>
      </c>
      <c r="Q212" s="861" t="s">
        <v>1598</v>
      </c>
      <c r="R212" s="861"/>
      <c r="S212" s="861" t="s">
        <v>1214</v>
      </c>
      <c r="T212" s="866" t="s">
        <v>1599</v>
      </c>
      <c r="U212" s="865"/>
    </row>
    <row r="213" spans="2:21" ht="15">
      <c r="B213" s="861" t="s">
        <v>1600</v>
      </c>
      <c r="C213" s="861" t="s">
        <v>1601</v>
      </c>
      <c r="D213" s="861" t="s">
        <v>371</v>
      </c>
      <c r="E213" s="861"/>
      <c r="F213" s="862">
        <v>-7.6999999999999999E-2</v>
      </c>
      <c r="G213" s="869">
        <v>0</v>
      </c>
      <c r="H213" s="874">
        <v>1324783756.75</v>
      </c>
      <c r="I213" s="871"/>
      <c r="J213" s="862">
        <v>9.1999999999999998E-2</v>
      </c>
      <c r="K213" s="868">
        <f t="shared" si="34"/>
        <v>368</v>
      </c>
      <c r="L213" s="861"/>
      <c r="M213" s="671">
        <f t="shared" si="35"/>
        <v>211</v>
      </c>
      <c r="N213" s="671" t="str">
        <f t="shared" si="36"/>
        <v>N/A</v>
      </c>
      <c r="O213" s="671">
        <f t="shared" si="37"/>
        <v>519</v>
      </c>
      <c r="P213" s="861"/>
      <c r="Q213" s="861"/>
      <c r="R213" s="861"/>
      <c r="S213" s="861" t="s">
        <v>424</v>
      </c>
      <c r="T213" s="866" t="s">
        <v>1602</v>
      </c>
      <c r="U213" s="865"/>
    </row>
    <row r="214" spans="2:21" ht="15">
      <c r="B214" s="861" t="s">
        <v>1603</v>
      </c>
      <c r="C214" s="861" t="s">
        <v>1604</v>
      </c>
      <c r="D214" s="861" t="s">
        <v>371</v>
      </c>
      <c r="E214" s="861"/>
      <c r="F214" s="862">
        <v>0.109</v>
      </c>
      <c r="G214" s="869">
        <v>1.608030308</v>
      </c>
      <c r="H214" s="874">
        <v>1317502444.48</v>
      </c>
      <c r="I214" s="871"/>
      <c r="J214" s="863" t="s">
        <v>1605</v>
      </c>
      <c r="K214" s="868">
        <f t="shared" si="34"/>
        <v>185</v>
      </c>
      <c r="L214" s="861"/>
      <c r="M214" s="671">
        <f t="shared" si="35"/>
        <v>212</v>
      </c>
      <c r="N214" s="671" t="str">
        <f t="shared" si="36"/>
        <v>N/A</v>
      </c>
      <c r="O214" s="671" t="str">
        <f t="shared" si="37"/>
        <v>N/A</v>
      </c>
      <c r="P214" s="861" t="s">
        <v>827</v>
      </c>
      <c r="Q214" s="861"/>
      <c r="R214" s="861"/>
      <c r="S214" s="861" t="s">
        <v>526</v>
      </c>
      <c r="T214" s="866" t="s">
        <v>1606</v>
      </c>
      <c r="U214" s="865"/>
    </row>
    <row r="215" spans="2:21" ht="15">
      <c r="B215" s="861" t="s">
        <v>1607</v>
      </c>
      <c r="C215" s="861" t="s">
        <v>1608</v>
      </c>
      <c r="D215" s="861" t="s">
        <v>371</v>
      </c>
      <c r="E215" s="861"/>
      <c r="F215" s="862"/>
      <c r="G215" s="869">
        <v>4.1602519039999999</v>
      </c>
      <c r="H215" s="874">
        <v>1315174307.76</v>
      </c>
      <c r="I215" s="871">
        <v>69.63</v>
      </c>
      <c r="J215" s="862">
        <v>0.10100000000000001</v>
      </c>
      <c r="K215" s="868">
        <f t="shared" si="34"/>
        <v>316</v>
      </c>
      <c r="L215" s="861" t="s">
        <v>708</v>
      </c>
      <c r="M215" s="671">
        <f t="shared" si="35"/>
        <v>213</v>
      </c>
      <c r="N215" s="671">
        <f t="shared" si="36"/>
        <v>56</v>
      </c>
      <c r="O215" s="671">
        <f t="shared" si="37"/>
        <v>492</v>
      </c>
      <c r="P215" s="861" t="s">
        <v>1609</v>
      </c>
      <c r="Q215" s="861" t="s">
        <v>1610</v>
      </c>
      <c r="R215" s="861" t="s">
        <v>1120</v>
      </c>
      <c r="S215" s="861" t="s">
        <v>1611</v>
      </c>
      <c r="T215" s="866" t="s">
        <v>1612</v>
      </c>
      <c r="U215" s="865"/>
    </row>
    <row r="216" spans="2:21" ht="15">
      <c r="B216" s="861" t="s">
        <v>1613</v>
      </c>
      <c r="C216" s="861" t="s">
        <v>1614</v>
      </c>
      <c r="D216" s="861" t="s">
        <v>371</v>
      </c>
      <c r="E216" s="861"/>
      <c r="F216" s="862">
        <v>3.9E-2</v>
      </c>
      <c r="G216" s="870" t="s">
        <v>1615</v>
      </c>
      <c r="H216" s="874">
        <v>1307697766.4000001</v>
      </c>
      <c r="I216" s="871">
        <v>32.82</v>
      </c>
      <c r="J216" s="862">
        <v>0.183</v>
      </c>
      <c r="K216" s="868">
        <f t="shared" si="34"/>
        <v>268</v>
      </c>
      <c r="L216" s="861"/>
      <c r="M216" s="671">
        <f t="shared" si="35"/>
        <v>214</v>
      </c>
      <c r="N216" s="671">
        <f t="shared" si="36"/>
        <v>135</v>
      </c>
      <c r="O216" s="671">
        <f t="shared" si="37"/>
        <v>281</v>
      </c>
      <c r="P216" s="861" t="s">
        <v>488</v>
      </c>
      <c r="Q216" s="861" t="s">
        <v>1616</v>
      </c>
      <c r="R216" s="861"/>
      <c r="S216" s="861" t="s">
        <v>1617</v>
      </c>
      <c r="T216" s="866" t="s">
        <v>1618</v>
      </c>
      <c r="U216" s="865"/>
    </row>
    <row r="217" spans="2:21" ht="15">
      <c r="B217" s="861" t="s">
        <v>1619</v>
      </c>
      <c r="C217" s="861" t="s">
        <v>1620</v>
      </c>
      <c r="D217" s="861" t="s">
        <v>371</v>
      </c>
      <c r="E217" s="861"/>
      <c r="F217" s="862">
        <v>0.189</v>
      </c>
      <c r="G217" s="869">
        <v>0</v>
      </c>
      <c r="H217" s="874">
        <v>1271754949.1700001</v>
      </c>
      <c r="I217" s="871">
        <v>34.39</v>
      </c>
      <c r="J217" s="863" t="s">
        <v>837</v>
      </c>
      <c r="K217" s="868">
        <f t="shared" si="34"/>
        <v>104</v>
      </c>
      <c r="L217" s="861"/>
      <c r="M217" s="671">
        <f t="shared" si="35"/>
        <v>215</v>
      </c>
      <c r="N217" s="671">
        <f t="shared" si="36"/>
        <v>130</v>
      </c>
      <c r="O217" s="671" t="str">
        <f t="shared" si="37"/>
        <v>N/A</v>
      </c>
      <c r="P217" s="861" t="s">
        <v>881</v>
      </c>
      <c r="Q217" s="861" t="s">
        <v>1621</v>
      </c>
      <c r="R217" s="861"/>
      <c r="S217" s="861" t="s">
        <v>819</v>
      </c>
      <c r="T217" s="866" t="s">
        <v>1622</v>
      </c>
      <c r="U217" s="865"/>
    </row>
    <row r="218" spans="2:21" ht="15">
      <c r="B218" s="861" t="s">
        <v>1623</v>
      </c>
      <c r="C218" s="861" t="s">
        <v>1624</v>
      </c>
      <c r="D218" s="861" t="s">
        <v>371</v>
      </c>
      <c r="E218" s="861"/>
      <c r="F218" s="862">
        <v>-0.17399999999999999</v>
      </c>
      <c r="G218" s="870" t="s">
        <v>1625</v>
      </c>
      <c r="H218" s="874">
        <v>1271738271.48</v>
      </c>
      <c r="I218" s="871"/>
      <c r="J218" s="862">
        <v>0.53200000000000003</v>
      </c>
      <c r="K218" s="868">
        <f t="shared" si="34"/>
        <v>405</v>
      </c>
      <c r="L218" s="861"/>
      <c r="M218" s="671">
        <f t="shared" si="35"/>
        <v>216</v>
      </c>
      <c r="N218" s="671" t="str">
        <f t="shared" si="36"/>
        <v>N/A</v>
      </c>
      <c r="O218" s="671">
        <f t="shared" si="37"/>
        <v>17</v>
      </c>
      <c r="P218" s="861" t="s">
        <v>1626</v>
      </c>
      <c r="Q218" s="861"/>
      <c r="R218" s="861"/>
      <c r="S218" s="861" t="s">
        <v>1627</v>
      </c>
      <c r="T218" s="866" t="s">
        <v>1628</v>
      </c>
      <c r="U218" s="865"/>
    </row>
    <row r="219" spans="2:21" ht="15">
      <c r="B219" s="861" t="s">
        <v>1629</v>
      </c>
      <c r="C219" s="861" t="s">
        <v>1630</v>
      </c>
      <c r="D219" s="861" t="s">
        <v>371</v>
      </c>
      <c r="E219" s="861"/>
      <c r="F219" s="862">
        <v>0.22700000000000001</v>
      </c>
      <c r="G219" s="869">
        <v>0</v>
      </c>
      <c r="H219" s="874">
        <v>1266745464.5999999</v>
      </c>
      <c r="I219" s="871">
        <v>20.87</v>
      </c>
      <c r="J219" s="863" t="s">
        <v>1631</v>
      </c>
      <c r="K219" s="868">
        <f t="shared" si="34"/>
        <v>82</v>
      </c>
      <c r="L219" s="861"/>
      <c r="M219" s="671">
        <f t="shared" si="35"/>
        <v>217</v>
      </c>
      <c r="N219" s="671">
        <f t="shared" si="36"/>
        <v>172</v>
      </c>
      <c r="O219" s="671" t="str">
        <f t="shared" si="37"/>
        <v>N/A</v>
      </c>
      <c r="P219" s="861"/>
      <c r="Q219" s="861"/>
      <c r="R219" s="861"/>
      <c r="S219" s="861" t="s">
        <v>424</v>
      </c>
      <c r="T219" s="866" t="s">
        <v>1632</v>
      </c>
      <c r="U219" s="865"/>
    </row>
    <row r="220" spans="2:21" ht="15">
      <c r="B220" s="861" t="s">
        <v>1633</v>
      </c>
      <c r="C220" s="861" t="s">
        <v>1634</v>
      </c>
      <c r="D220" s="861" t="s">
        <v>371</v>
      </c>
      <c r="E220" s="861"/>
      <c r="F220" s="862">
        <v>-7.3999999999999996E-2</v>
      </c>
      <c r="G220" s="869">
        <v>0</v>
      </c>
      <c r="H220" s="874">
        <v>1238350838.76</v>
      </c>
      <c r="I220" s="871">
        <v>1.98</v>
      </c>
      <c r="J220" s="861"/>
      <c r="K220" s="868">
        <f t="shared" si="34"/>
        <v>366</v>
      </c>
      <c r="L220" s="861"/>
      <c r="M220" s="671">
        <f t="shared" si="35"/>
        <v>218</v>
      </c>
      <c r="N220" s="671">
        <f t="shared" si="36"/>
        <v>295</v>
      </c>
      <c r="O220" s="671">
        <f t="shared" si="37"/>
        <v>708</v>
      </c>
      <c r="P220" s="861" t="s">
        <v>716</v>
      </c>
      <c r="Q220" s="861" t="s">
        <v>1635</v>
      </c>
      <c r="R220" s="861"/>
      <c r="S220" s="861" t="s">
        <v>1636</v>
      </c>
      <c r="T220" s="866" t="s">
        <v>1637</v>
      </c>
      <c r="U220" s="865"/>
    </row>
    <row r="221" spans="2:21" ht="15">
      <c r="B221" s="861" t="s">
        <v>1638</v>
      </c>
      <c r="C221" s="861" t="s">
        <v>1639</v>
      </c>
      <c r="D221" s="861" t="s">
        <v>371</v>
      </c>
      <c r="E221" s="861"/>
      <c r="F221" s="862">
        <v>0.17499999999999999</v>
      </c>
      <c r="G221" s="869">
        <v>1.625866721</v>
      </c>
      <c r="H221" s="874">
        <v>1231441121.8199999</v>
      </c>
      <c r="I221" s="871">
        <v>68.040000000000006</v>
      </c>
      <c r="J221" s="862">
        <v>0.115</v>
      </c>
      <c r="K221" s="868">
        <f t="shared" si="34"/>
        <v>114</v>
      </c>
      <c r="L221" s="861"/>
      <c r="M221" s="671">
        <f t="shared" si="35"/>
        <v>219</v>
      </c>
      <c r="N221" s="671">
        <f t="shared" si="36"/>
        <v>58</v>
      </c>
      <c r="O221" s="671">
        <f t="shared" si="37"/>
        <v>445</v>
      </c>
      <c r="P221" s="861" t="s">
        <v>1640</v>
      </c>
      <c r="Q221" s="861"/>
      <c r="R221" s="861"/>
      <c r="S221" s="861" t="s">
        <v>424</v>
      </c>
      <c r="T221" s="866" t="s">
        <v>1641</v>
      </c>
      <c r="U221" s="865"/>
    </row>
    <row r="222" spans="2:21" ht="15">
      <c r="B222" s="861" t="s">
        <v>1642</v>
      </c>
      <c r="C222" s="861" t="s">
        <v>1643</v>
      </c>
      <c r="D222" s="861" t="s">
        <v>371</v>
      </c>
      <c r="E222" s="861"/>
      <c r="F222" s="862">
        <v>0.156</v>
      </c>
      <c r="G222" s="869">
        <v>0</v>
      </c>
      <c r="H222" s="874">
        <v>1221185000</v>
      </c>
      <c r="I222" s="871"/>
      <c r="J222" s="863" t="s">
        <v>1644</v>
      </c>
      <c r="K222" s="868">
        <f t="shared" si="34"/>
        <v>134</v>
      </c>
      <c r="L222" s="861" t="s">
        <v>784</v>
      </c>
      <c r="M222" s="671">
        <f t="shared" si="35"/>
        <v>220</v>
      </c>
      <c r="N222" s="671" t="str">
        <f t="shared" si="36"/>
        <v>N/A</v>
      </c>
      <c r="O222" s="671" t="str">
        <f t="shared" si="37"/>
        <v>N/A</v>
      </c>
      <c r="P222" s="861" t="s">
        <v>1645</v>
      </c>
      <c r="Q222" s="861" t="s">
        <v>1646</v>
      </c>
      <c r="R222" s="861" t="s">
        <v>1647</v>
      </c>
      <c r="S222" s="861" t="s">
        <v>1648</v>
      </c>
      <c r="T222" s="866" t="s">
        <v>1649</v>
      </c>
      <c r="U222" s="865"/>
    </row>
    <row r="223" spans="2:21" ht="15">
      <c r="B223" s="861" t="s">
        <v>1650</v>
      </c>
      <c r="C223" s="861" t="s">
        <v>1651</v>
      </c>
      <c r="D223" s="861" t="s">
        <v>371</v>
      </c>
      <c r="E223" s="861"/>
      <c r="F223" s="862"/>
      <c r="G223" s="870" t="s">
        <v>1652</v>
      </c>
      <c r="H223" s="874">
        <v>1219540000</v>
      </c>
      <c r="I223" s="871"/>
      <c r="J223" s="863" t="s">
        <v>1653</v>
      </c>
      <c r="K223" s="868">
        <f t="shared" si="34"/>
        <v>316</v>
      </c>
      <c r="L223" s="861" t="s">
        <v>533</v>
      </c>
      <c r="M223" s="671">
        <f t="shared" si="35"/>
        <v>221</v>
      </c>
      <c r="N223" s="671" t="str">
        <f t="shared" si="36"/>
        <v>N/A</v>
      </c>
      <c r="O223" s="671" t="str">
        <f t="shared" si="37"/>
        <v>N/A</v>
      </c>
      <c r="P223" s="861" t="s">
        <v>655</v>
      </c>
      <c r="Q223" s="861" t="s">
        <v>1654</v>
      </c>
      <c r="R223" s="861"/>
      <c r="S223" s="861" t="s">
        <v>1536</v>
      </c>
      <c r="T223" s="866" t="s">
        <v>1655</v>
      </c>
      <c r="U223" s="865"/>
    </row>
    <row r="224" spans="2:21" ht="15">
      <c r="B224" s="861" t="s">
        <v>1656</v>
      </c>
      <c r="C224" s="861" t="s">
        <v>1657</v>
      </c>
      <c r="D224" s="861" t="s">
        <v>371</v>
      </c>
      <c r="E224" s="861"/>
      <c r="F224" s="862"/>
      <c r="G224" s="870" t="s">
        <v>1658</v>
      </c>
      <c r="H224" s="874">
        <v>1218055838.74</v>
      </c>
      <c r="I224" s="871"/>
      <c r="J224" s="862">
        <v>5.1999999999999998E-2</v>
      </c>
      <c r="K224" s="868">
        <f t="shared" si="34"/>
        <v>316</v>
      </c>
      <c r="L224" s="861" t="s">
        <v>959</v>
      </c>
      <c r="M224" s="671">
        <f t="shared" si="35"/>
        <v>222</v>
      </c>
      <c r="N224" s="671" t="str">
        <f t="shared" si="36"/>
        <v>N/A</v>
      </c>
      <c r="O224" s="671">
        <f t="shared" si="37"/>
        <v>596</v>
      </c>
      <c r="P224" s="861" t="s">
        <v>1659</v>
      </c>
      <c r="Q224" s="861" t="s">
        <v>1660</v>
      </c>
      <c r="R224" s="861"/>
      <c r="S224" s="861" t="s">
        <v>1235</v>
      </c>
      <c r="T224" s="866" t="s">
        <v>1661</v>
      </c>
      <c r="U224" s="865"/>
    </row>
    <row r="225" spans="2:21" ht="15">
      <c r="B225" s="861" t="s">
        <v>1662</v>
      </c>
      <c r="C225" s="861" t="s">
        <v>1663</v>
      </c>
      <c r="D225" s="861" t="s">
        <v>371</v>
      </c>
      <c r="E225" s="861"/>
      <c r="F225" s="862">
        <v>3.7999999999999999E-2</v>
      </c>
      <c r="G225" s="869">
        <v>9.8381263620000006</v>
      </c>
      <c r="H225" s="874">
        <v>1188085422.4100001</v>
      </c>
      <c r="I225" s="871"/>
      <c r="J225" s="862">
        <v>0.218</v>
      </c>
      <c r="K225" s="868">
        <f t="shared" si="34"/>
        <v>270</v>
      </c>
      <c r="L225" s="861"/>
      <c r="M225" s="671">
        <f t="shared" si="35"/>
        <v>223</v>
      </c>
      <c r="N225" s="671" t="str">
        <f t="shared" si="36"/>
        <v>N/A</v>
      </c>
      <c r="O225" s="671">
        <f t="shared" si="37"/>
        <v>223</v>
      </c>
      <c r="P225" s="861" t="s">
        <v>882</v>
      </c>
      <c r="Q225" s="861" t="s">
        <v>1664</v>
      </c>
      <c r="R225" s="861"/>
      <c r="S225" s="861" t="s">
        <v>1665</v>
      </c>
      <c r="T225" s="866" t="s">
        <v>1666</v>
      </c>
      <c r="U225" s="865"/>
    </row>
    <row r="226" spans="2:21" ht="15">
      <c r="B226" s="861" t="s">
        <v>1667</v>
      </c>
      <c r="C226" s="861" t="s">
        <v>1668</v>
      </c>
      <c r="D226" s="861" t="s">
        <v>371</v>
      </c>
      <c r="E226" s="861"/>
      <c r="F226" s="862">
        <v>0.19700000000000001</v>
      </c>
      <c r="G226" s="869">
        <v>0.22774703600000001</v>
      </c>
      <c r="H226" s="874">
        <v>1181461221.8599999</v>
      </c>
      <c r="I226" s="871">
        <v>19.95</v>
      </c>
      <c r="J226" s="863" t="s">
        <v>1234</v>
      </c>
      <c r="K226" s="868">
        <f t="shared" si="34"/>
        <v>96</v>
      </c>
      <c r="L226" s="861" t="s">
        <v>460</v>
      </c>
      <c r="M226" s="671">
        <f t="shared" si="35"/>
        <v>224</v>
      </c>
      <c r="N226" s="671">
        <f t="shared" si="36"/>
        <v>178</v>
      </c>
      <c r="O226" s="671" t="str">
        <f t="shared" si="37"/>
        <v>N/A</v>
      </c>
      <c r="P226" s="861" t="s">
        <v>1609</v>
      </c>
      <c r="Q226" s="861" t="s">
        <v>1669</v>
      </c>
      <c r="R226" s="861" t="s">
        <v>563</v>
      </c>
      <c r="S226" s="861" t="s">
        <v>812</v>
      </c>
      <c r="T226" s="866" t="s">
        <v>1670</v>
      </c>
      <c r="U226" s="865"/>
    </row>
    <row r="227" spans="2:21" ht="15">
      <c r="B227" s="861" t="s">
        <v>1671</v>
      </c>
      <c r="C227" s="861" t="s">
        <v>1672</v>
      </c>
      <c r="D227" s="861" t="s">
        <v>371</v>
      </c>
      <c r="E227" s="861"/>
      <c r="F227" s="862">
        <v>-0.39900000000000002</v>
      </c>
      <c r="G227" s="869">
        <v>0</v>
      </c>
      <c r="H227" s="874">
        <v>1177401202.48</v>
      </c>
      <c r="I227" s="871"/>
      <c r="J227" s="862">
        <v>0.15</v>
      </c>
      <c r="K227" s="868">
        <f t="shared" si="34"/>
        <v>464</v>
      </c>
      <c r="L227" s="861" t="s">
        <v>404</v>
      </c>
      <c r="M227" s="671">
        <f t="shared" si="35"/>
        <v>225</v>
      </c>
      <c r="N227" s="671" t="str">
        <f t="shared" si="36"/>
        <v>N/A</v>
      </c>
      <c r="O227" s="671">
        <f t="shared" si="37"/>
        <v>340</v>
      </c>
      <c r="P227" s="861" t="s">
        <v>1673</v>
      </c>
      <c r="Q227" s="861" t="s">
        <v>1674</v>
      </c>
      <c r="R227" s="863" t="s">
        <v>1675</v>
      </c>
      <c r="S227" s="861" t="s">
        <v>1676</v>
      </c>
      <c r="T227" s="866" t="s">
        <v>1677</v>
      </c>
      <c r="U227" s="865"/>
    </row>
    <row r="228" spans="2:21" ht="15">
      <c r="B228" s="861" t="s">
        <v>1678</v>
      </c>
      <c r="C228" s="861" t="s">
        <v>1679</v>
      </c>
      <c r="D228" s="861" t="s">
        <v>371</v>
      </c>
      <c r="E228" s="861"/>
      <c r="F228" s="862"/>
      <c r="G228" s="869">
        <v>1.0560486840000001</v>
      </c>
      <c r="H228" s="874">
        <v>1164685416.96</v>
      </c>
      <c r="I228" s="871">
        <v>49.07</v>
      </c>
      <c r="J228" s="862">
        <v>0.311</v>
      </c>
      <c r="K228" s="868">
        <f t="shared" si="34"/>
        <v>316</v>
      </c>
      <c r="L228" s="861" t="s">
        <v>1165</v>
      </c>
      <c r="M228" s="671">
        <f t="shared" si="35"/>
        <v>226</v>
      </c>
      <c r="N228" s="671">
        <f t="shared" si="36"/>
        <v>87</v>
      </c>
      <c r="O228" s="671">
        <f t="shared" si="37"/>
        <v>113</v>
      </c>
      <c r="P228" s="861" t="s">
        <v>1490</v>
      </c>
      <c r="Q228" s="861" t="s">
        <v>1680</v>
      </c>
      <c r="R228" s="861" t="s">
        <v>1018</v>
      </c>
      <c r="S228" s="861" t="s">
        <v>1681</v>
      </c>
      <c r="T228" s="866" t="s">
        <v>1682</v>
      </c>
      <c r="U228" s="865"/>
    </row>
    <row r="229" spans="2:21" ht="15">
      <c r="B229" s="861" t="s">
        <v>1683</v>
      </c>
      <c r="C229" s="861" t="s">
        <v>1684</v>
      </c>
      <c r="D229" s="861" t="s">
        <v>371</v>
      </c>
      <c r="E229" s="861"/>
      <c r="F229" s="862">
        <v>0.03</v>
      </c>
      <c r="G229" s="870" t="s">
        <v>1685</v>
      </c>
      <c r="H229" s="874">
        <v>1155080697.48</v>
      </c>
      <c r="I229" s="871"/>
      <c r="J229" s="863" t="s">
        <v>1686</v>
      </c>
      <c r="K229" s="868">
        <f t="shared" si="34"/>
        <v>282</v>
      </c>
      <c r="L229" s="861"/>
      <c r="M229" s="671">
        <f t="shared" si="35"/>
        <v>227</v>
      </c>
      <c r="N229" s="671" t="str">
        <f t="shared" si="36"/>
        <v>N/A</v>
      </c>
      <c r="O229" s="671" t="str">
        <f t="shared" si="37"/>
        <v>N/A</v>
      </c>
      <c r="P229" s="861" t="s">
        <v>882</v>
      </c>
      <c r="Q229" s="861"/>
      <c r="R229" s="861"/>
      <c r="S229" s="861" t="s">
        <v>1252</v>
      </c>
      <c r="T229" s="866" t="s">
        <v>1687</v>
      </c>
      <c r="U229" s="865"/>
    </row>
    <row r="230" spans="2:21" ht="15">
      <c r="B230" s="861" t="s">
        <v>1688</v>
      </c>
      <c r="C230" s="861" t="s">
        <v>1689</v>
      </c>
      <c r="D230" s="861" t="s">
        <v>371</v>
      </c>
      <c r="E230" s="861"/>
      <c r="F230" s="862">
        <v>-0.379</v>
      </c>
      <c r="G230" s="870" t="s">
        <v>1690</v>
      </c>
      <c r="H230" s="874">
        <v>1122864590.47</v>
      </c>
      <c r="I230" s="871">
        <v>11.83</v>
      </c>
      <c r="J230" s="863" t="s">
        <v>610</v>
      </c>
      <c r="K230" s="868">
        <f t="shared" si="34"/>
        <v>458</v>
      </c>
      <c r="L230" s="861" t="s">
        <v>460</v>
      </c>
      <c r="M230" s="671">
        <f t="shared" si="35"/>
        <v>228</v>
      </c>
      <c r="N230" s="671">
        <f t="shared" si="36"/>
        <v>213</v>
      </c>
      <c r="O230" s="671" t="str">
        <f t="shared" si="37"/>
        <v>N/A</v>
      </c>
      <c r="P230" s="861" t="s">
        <v>1691</v>
      </c>
      <c r="Q230" s="861" t="s">
        <v>1692</v>
      </c>
      <c r="R230" s="861"/>
      <c r="S230" s="861" t="s">
        <v>1693</v>
      </c>
      <c r="T230" s="866" t="s">
        <v>1694</v>
      </c>
      <c r="U230" s="865"/>
    </row>
    <row r="231" spans="2:21" ht="15">
      <c r="B231" s="861" t="s">
        <v>1695</v>
      </c>
      <c r="C231" s="861" t="s">
        <v>1696</v>
      </c>
      <c r="D231" s="861" t="s">
        <v>371</v>
      </c>
      <c r="E231" s="861"/>
      <c r="F231" s="862">
        <v>3.1E-2</v>
      </c>
      <c r="G231" s="869">
        <v>2.9177676529999999</v>
      </c>
      <c r="H231" s="874">
        <v>1119827209.8299999</v>
      </c>
      <c r="I231" s="871"/>
      <c r="J231" s="863" t="s">
        <v>1697</v>
      </c>
      <c r="K231" s="868">
        <f t="shared" si="34"/>
        <v>281</v>
      </c>
      <c r="L231" s="861"/>
      <c r="M231" s="671">
        <f t="shared" si="35"/>
        <v>229</v>
      </c>
      <c r="N231" s="671" t="str">
        <f t="shared" si="36"/>
        <v>N/A</v>
      </c>
      <c r="O231" s="671" t="str">
        <f t="shared" si="37"/>
        <v>N/A</v>
      </c>
      <c r="P231" s="861"/>
      <c r="Q231" s="861"/>
      <c r="R231" s="861"/>
      <c r="S231" s="861" t="s">
        <v>424</v>
      </c>
      <c r="T231" s="866" t="s">
        <v>1698</v>
      </c>
      <c r="U231" s="865"/>
    </row>
    <row r="232" spans="2:21" ht="15">
      <c r="B232" s="861" t="s">
        <v>1699</v>
      </c>
      <c r="C232" s="861" t="s">
        <v>1700</v>
      </c>
      <c r="D232" s="861" t="s">
        <v>371</v>
      </c>
      <c r="E232" s="861"/>
      <c r="F232" s="862">
        <v>-0.498</v>
      </c>
      <c r="G232" s="870" t="s">
        <v>1701</v>
      </c>
      <c r="H232" s="874">
        <v>1109679927.3599999</v>
      </c>
      <c r="I232" s="871"/>
      <c r="J232" s="863" t="s">
        <v>1702</v>
      </c>
      <c r="K232" s="868">
        <f t="shared" si="34"/>
        <v>476</v>
      </c>
      <c r="L232" s="861"/>
      <c r="M232" s="671">
        <f t="shared" si="35"/>
        <v>230</v>
      </c>
      <c r="N232" s="671" t="str">
        <f t="shared" si="36"/>
        <v>N/A</v>
      </c>
      <c r="O232" s="671" t="str">
        <f t="shared" si="37"/>
        <v>N/A</v>
      </c>
      <c r="P232" s="861" t="s">
        <v>1703</v>
      </c>
      <c r="Q232" s="861"/>
      <c r="R232" s="861"/>
      <c r="S232" s="861" t="s">
        <v>557</v>
      </c>
      <c r="T232" s="866" t="s">
        <v>1704</v>
      </c>
      <c r="U232" s="865"/>
    </row>
    <row r="233" spans="2:21" ht="15">
      <c r="B233" s="861" t="s">
        <v>1705</v>
      </c>
      <c r="C233" s="861" t="s">
        <v>1706</v>
      </c>
      <c r="D233" s="861" t="s">
        <v>371</v>
      </c>
      <c r="E233" s="861"/>
      <c r="F233" s="862"/>
      <c r="G233" s="869">
        <v>13.74397446</v>
      </c>
      <c r="H233" s="874">
        <v>1098650502.8</v>
      </c>
      <c r="I233" s="871">
        <v>61.95</v>
      </c>
      <c r="J233" s="862">
        <v>1.7000000000000001E-2</v>
      </c>
      <c r="K233" s="868">
        <f t="shared" si="34"/>
        <v>316</v>
      </c>
      <c r="L233" s="861" t="s">
        <v>1020</v>
      </c>
      <c r="M233" s="671">
        <f t="shared" si="35"/>
        <v>231</v>
      </c>
      <c r="N233" s="671">
        <f t="shared" si="36"/>
        <v>66</v>
      </c>
      <c r="O233" s="671">
        <f t="shared" si="37"/>
        <v>671</v>
      </c>
      <c r="P233" s="861" t="s">
        <v>1707</v>
      </c>
      <c r="Q233" s="861" t="s">
        <v>1708</v>
      </c>
      <c r="R233" s="861" t="s">
        <v>1709</v>
      </c>
      <c r="S233" s="861" t="s">
        <v>1710</v>
      </c>
      <c r="T233" s="866" t="s">
        <v>1711</v>
      </c>
      <c r="U233" s="865"/>
    </row>
    <row r="234" spans="2:21" ht="15">
      <c r="B234" s="861" t="s">
        <v>1712</v>
      </c>
      <c r="C234" s="861" t="s">
        <v>1713</v>
      </c>
      <c r="D234" s="861" t="s">
        <v>371</v>
      </c>
      <c r="E234" s="861"/>
      <c r="F234" s="862">
        <v>0.06</v>
      </c>
      <c r="G234" s="869">
        <v>5.0182368110000004</v>
      </c>
      <c r="H234" s="874">
        <v>1077282223.1900001</v>
      </c>
      <c r="I234" s="871"/>
      <c r="J234" s="863" t="s">
        <v>1714</v>
      </c>
      <c r="K234" s="868">
        <f t="shared" si="34"/>
        <v>241</v>
      </c>
      <c r="L234" s="861"/>
      <c r="M234" s="671">
        <f t="shared" si="35"/>
        <v>232</v>
      </c>
      <c r="N234" s="671" t="str">
        <f t="shared" si="36"/>
        <v>N/A</v>
      </c>
      <c r="O234" s="671" t="str">
        <f t="shared" si="37"/>
        <v>N/A</v>
      </c>
      <c r="P234" s="861"/>
      <c r="Q234" s="861"/>
      <c r="R234" s="861"/>
      <c r="S234" s="861" t="s">
        <v>1715</v>
      </c>
      <c r="T234" s="866" t="s">
        <v>1716</v>
      </c>
      <c r="U234" s="865"/>
    </row>
    <row r="235" spans="2:21" ht="15">
      <c r="B235" s="861" t="s">
        <v>1717</v>
      </c>
      <c r="C235" s="861" t="s">
        <v>1718</v>
      </c>
      <c r="D235" s="861" t="s">
        <v>371</v>
      </c>
      <c r="E235" s="861"/>
      <c r="F235" s="862"/>
      <c r="G235" s="869">
        <v>19.920006019999999</v>
      </c>
      <c r="H235" s="874">
        <v>1074766801.76</v>
      </c>
      <c r="I235" s="871"/>
      <c r="J235" s="863" t="s">
        <v>1719</v>
      </c>
      <c r="K235" s="868">
        <f t="shared" si="34"/>
        <v>316</v>
      </c>
      <c r="L235" s="861"/>
      <c r="M235" s="671">
        <f t="shared" si="35"/>
        <v>233</v>
      </c>
      <c r="N235" s="671" t="str">
        <f t="shared" si="36"/>
        <v>N/A</v>
      </c>
      <c r="O235" s="671" t="str">
        <f t="shared" si="37"/>
        <v>N/A</v>
      </c>
      <c r="P235" s="861"/>
      <c r="Q235" s="861"/>
      <c r="R235" s="861"/>
      <c r="S235" s="861" t="s">
        <v>454</v>
      </c>
      <c r="T235" s="866" t="s">
        <v>1720</v>
      </c>
      <c r="U235" s="865"/>
    </row>
    <row r="236" spans="2:21" ht="15">
      <c r="B236" s="861" t="s">
        <v>1721</v>
      </c>
      <c r="C236" s="861" t="s">
        <v>1722</v>
      </c>
      <c r="D236" s="861" t="s">
        <v>371</v>
      </c>
      <c r="E236" s="861"/>
      <c r="F236" s="862">
        <v>-1E-3</v>
      </c>
      <c r="G236" s="870" t="s">
        <v>1723</v>
      </c>
      <c r="H236" s="874">
        <v>1064144786.74</v>
      </c>
      <c r="I236" s="871"/>
      <c r="J236" s="862">
        <v>9.9000000000000005E-2</v>
      </c>
      <c r="K236" s="868">
        <f t="shared" si="34"/>
        <v>317</v>
      </c>
      <c r="L236" s="863" t="s">
        <v>1520</v>
      </c>
      <c r="M236" s="671">
        <f t="shared" si="35"/>
        <v>234</v>
      </c>
      <c r="N236" s="671" t="str">
        <f t="shared" si="36"/>
        <v>N/A</v>
      </c>
      <c r="O236" s="671">
        <f t="shared" si="37"/>
        <v>499</v>
      </c>
      <c r="P236" s="861" t="s">
        <v>1724</v>
      </c>
      <c r="Q236" s="861"/>
      <c r="R236" s="863" t="s">
        <v>1520</v>
      </c>
      <c r="S236" s="861" t="s">
        <v>1725</v>
      </c>
      <c r="T236" s="866" t="s">
        <v>1726</v>
      </c>
      <c r="U236" s="865"/>
    </row>
    <row r="237" spans="2:21" ht="15">
      <c r="B237" s="861" t="s">
        <v>1727</v>
      </c>
      <c r="C237" s="861" t="s">
        <v>1728</v>
      </c>
      <c r="D237" s="861" t="s">
        <v>371</v>
      </c>
      <c r="E237" s="861"/>
      <c r="F237" s="862"/>
      <c r="G237" s="869">
        <v>0.37920151200000002</v>
      </c>
      <c r="H237" s="874">
        <v>1059702623.34</v>
      </c>
      <c r="I237" s="871"/>
      <c r="J237" s="862">
        <v>0.14099999999999999</v>
      </c>
      <c r="K237" s="868">
        <f t="shared" si="34"/>
        <v>316</v>
      </c>
      <c r="L237" s="861"/>
      <c r="M237" s="671">
        <f t="shared" si="35"/>
        <v>235</v>
      </c>
      <c r="N237" s="671" t="str">
        <f t="shared" si="36"/>
        <v>N/A</v>
      </c>
      <c r="O237" s="671">
        <f t="shared" si="37"/>
        <v>363</v>
      </c>
      <c r="P237" s="861" t="s">
        <v>540</v>
      </c>
      <c r="Q237" s="861"/>
      <c r="R237" s="861"/>
      <c r="S237" s="861" t="s">
        <v>1475</v>
      </c>
      <c r="T237" s="866" t="s">
        <v>1729</v>
      </c>
      <c r="U237" s="865"/>
    </row>
    <row r="238" spans="2:21" ht="15">
      <c r="B238" s="861" t="s">
        <v>1730</v>
      </c>
      <c r="C238" s="861" t="s">
        <v>1731</v>
      </c>
      <c r="D238" s="861" t="s">
        <v>371</v>
      </c>
      <c r="E238" s="861"/>
      <c r="F238" s="862">
        <v>0.128</v>
      </c>
      <c r="G238" s="869">
        <v>0.20472741699999999</v>
      </c>
      <c r="H238" s="874">
        <v>1049803040</v>
      </c>
      <c r="I238" s="871"/>
      <c r="J238" s="862">
        <v>3.1E-2</v>
      </c>
      <c r="K238" s="868">
        <f t="shared" si="34"/>
        <v>167</v>
      </c>
      <c r="L238" s="861"/>
      <c r="M238" s="671">
        <f t="shared" si="35"/>
        <v>236</v>
      </c>
      <c r="N238" s="671" t="str">
        <f t="shared" si="36"/>
        <v>N/A</v>
      </c>
      <c r="O238" s="671">
        <f t="shared" si="37"/>
        <v>651</v>
      </c>
      <c r="P238" s="861" t="s">
        <v>1732</v>
      </c>
      <c r="Q238" s="861" t="s">
        <v>1733</v>
      </c>
      <c r="R238" s="861"/>
      <c r="S238" s="861" t="s">
        <v>449</v>
      </c>
      <c r="T238" s="866" t="s">
        <v>1734</v>
      </c>
      <c r="U238" s="865"/>
    </row>
    <row r="239" spans="2:21" ht="15">
      <c r="B239" s="861" t="s">
        <v>1735</v>
      </c>
      <c r="C239" s="861" t="s">
        <v>1736</v>
      </c>
      <c r="D239" s="861" t="s">
        <v>371</v>
      </c>
      <c r="E239" s="861"/>
      <c r="F239" s="862">
        <v>0.114</v>
      </c>
      <c r="G239" s="870" t="s">
        <v>1737</v>
      </c>
      <c r="H239" s="874">
        <v>1039900293.24</v>
      </c>
      <c r="I239" s="871">
        <v>73.69</v>
      </c>
      <c r="J239" s="862">
        <v>0.38</v>
      </c>
      <c r="K239" s="868">
        <f t="shared" si="34"/>
        <v>182</v>
      </c>
      <c r="L239" s="861"/>
      <c r="M239" s="671">
        <f t="shared" si="35"/>
        <v>237</v>
      </c>
      <c r="N239" s="671">
        <f t="shared" si="36"/>
        <v>51</v>
      </c>
      <c r="O239" s="671">
        <f t="shared" si="37"/>
        <v>65</v>
      </c>
      <c r="P239" s="861" t="s">
        <v>1738</v>
      </c>
      <c r="Q239" s="861" t="s">
        <v>1739</v>
      </c>
      <c r="R239" s="861"/>
      <c r="S239" s="861" t="s">
        <v>480</v>
      </c>
      <c r="T239" s="866" t="s">
        <v>1740</v>
      </c>
      <c r="U239" s="865"/>
    </row>
    <row r="240" spans="2:21" ht="15">
      <c r="B240" s="861" t="s">
        <v>1741</v>
      </c>
      <c r="C240" s="861" t="s">
        <v>1742</v>
      </c>
      <c r="D240" s="861" t="s">
        <v>371</v>
      </c>
      <c r="E240" s="861"/>
      <c r="F240" s="862">
        <v>0.33300000000000002</v>
      </c>
      <c r="G240" s="869">
        <v>0.20455761</v>
      </c>
      <c r="H240" s="874">
        <v>1029137918.67</v>
      </c>
      <c r="I240" s="871">
        <v>10.27</v>
      </c>
      <c r="J240" s="862">
        <v>0.246</v>
      </c>
      <c r="K240" s="868">
        <f t="shared" si="34"/>
        <v>43</v>
      </c>
      <c r="L240" s="861"/>
      <c r="M240" s="671">
        <f t="shared" si="35"/>
        <v>238</v>
      </c>
      <c r="N240" s="671">
        <f t="shared" si="36"/>
        <v>227</v>
      </c>
      <c r="O240" s="671">
        <f t="shared" si="37"/>
        <v>185</v>
      </c>
      <c r="P240" s="861"/>
      <c r="Q240" s="861"/>
      <c r="R240" s="861"/>
      <c r="S240" s="861" t="s">
        <v>424</v>
      </c>
      <c r="T240" s="866" t="s">
        <v>1743</v>
      </c>
      <c r="U240" s="865"/>
    </row>
    <row r="241" spans="2:21" ht="15">
      <c r="B241" s="861" t="s">
        <v>1744</v>
      </c>
      <c r="C241" s="861" t="s">
        <v>1745</v>
      </c>
      <c r="D241" s="861" t="s">
        <v>371</v>
      </c>
      <c r="E241" s="861"/>
      <c r="F241" s="862">
        <v>4.5999999999999999E-2</v>
      </c>
      <c r="G241" s="869">
        <v>1.1384388809999999</v>
      </c>
      <c r="H241" s="874">
        <v>1012877450.0599999</v>
      </c>
      <c r="I241" s="871"/>
      <c r="J241" s="862">
        <v>0.23699999999999999</v>
      </c>
      <c r="K241" s="868">
        <f t="shared" si="34"/>
        <v>261</v>
      </c>
      <c r="L241" s="861" t="s">
        <v>1746</v>
      </c>
      <c r="M241" s="671">
        <f t="shared" si="35"/>
        <v>239</v>
      </c>
      <c r="N241" s="671" t="str">
        <f t="shared" si="36"/>
        <v>N/A</v>
      </c>
      <c r="O241" s="671">
        <f t="shared" si="37"/>
        <v>202</v>
      </c>
      <c r="P241" s="861" t="s">
        <v>1747</v>
      </c>
      <c r="Q241" s="861" t="s">
        <v>1748</v>
      </c>
      <c r="R241" s="861" t="s">
        <v>1749</v>
      </c>
      <c r="S241" s="861" t="s">
        <v>1750</v>
      </c>
      <c r="T241" s="866" t="s">
        <v>1751</v>
      </c>
      <c r="U241" s="865"/>
    </row>
    <row r="242" spans="2:21" ht="15">
      <c r="B242" s="861" t="s">
        <v>1752</v>
      </c>
      <c r="C242" s="861" t="s">
        <v>1753</v>
      </c>
      <c r="D242" s="861" t="s">
        <v>371</v>
      </c>
      <c r="E242" s="861"/>
      <c r="F242" s="862">
        <v>0.19</v>
      </c>
      <c r="G242" s="870" t="s">
        <v>1754</v>
      </c>
      <c r="H242" s="874">
        <v>995789232.74000001</v>
      </c>
      <c r="I242" s="872" t="s">
        <v>1755</v>
      </c>
      <c r="J242" s="862">
        <v>0.19</v>
      </c>
      <c r="K242" s="868">
        <f t="shared" si="34"/>
        <v>103</v>
      </c>
      <c r="L242" s="861"/>
      <c r="M242" s="671">
        <f t="shared" si="35"/>
        <v>240</v>
      </c>
      <c r="N242" s="671" t="str">
        <f t="shared" si="36"/>
        <v>N/A</v>
      </c>
      <c r="O242" s="671">
        <f t="shared" si="37"/>
        <v>272</v>
      </c>
      <c r="P242" s="861"/>
      <c r="Q242" s="861"/>
      <c r="R242" s="861"/>
      <c r="S242" s="861" t="s">
        <v>424</v>
      </c>
      <c r="T242" s="866" t="s">
        <v>1756</v>
      </c>
      <c r="U242" s="865"/>
    </row>
    <row r="243" spans="2:21" ht="15">
      <c r="B243" s="861" t="s">
        <v>1757</v>
      </c>
      <c r="C243" s="861" t="s">
        <v>1758</v>
      </c>
      <c r="D243" s="861" t="s">
        <v>371</v>
      </c>
      <c r="E243" s="861"/>
      <c r="F243" s="862">
        <v>1.7999999999999999E-2</v>
      </c>
      <c r="G243" s="869">
        <v>0.174107242</v>
      </c>
      <c r="H243" s="874">
        <v>994196413.53999996</v>
      </c>
      <c r="I243" s="871">
        <v>15.15</v>
      </c>
      <c r="J243" s="863" t="s">
        <v>1759</v>
      </c>
      <c r="K243" s="868">
        <f t="shared" si="34"/>
        <v>303</v>
      </c>
      <c r="L243" s="861" t="s">
        <v>1332</v>
      </c>
      <c r="M243" s="671">
        <f t="shared" si="35"/>
        <v>241</v>
      </c>
      <c r="N243" s="671">
        <f t="shared" si="36"/>
        <v>196</v>
      </c>
      <c r="O243" s="671" t="str">
        <f t="shared" si="37"/>
        <v>N/A</v>
      </c>
      <c r="P243" s="861" t="s">
        <v>1760</v>
      </c>
      <c r="Q243" s="861" t="s">
        <v>1761</v>
      </c>
      <c r="R243" s="861" t="s">
        <v>1762</v>
      </c>
      <c r="S243" s="861" t="s">
        <v>1763</v>
      </c>
      <c r="T243" s="866" t="s">
        <v>1764</v>
      </c>
      <c r="U243" s="865"/>
    </row>
    <row r="244" spans="2:21" ht="15">
      <c r="B244" s="861" t="s">
        <v>1765</v>
      </c>
      <c r="C244" s="861" t="s">
        <v>1766</v>
      </c>
      <c r="D244" s="861" t="s">
        <v>371</v>
      </c>
      <c r="E244" s="861"/>
      <c r="F244" s="862">
        <v>-0.33300000000000002</v>
      </c>
      <c r="G244" s="870" t="s">
        <v>1767</v>
      </c>
      <c r="H244" s="874">
        <v>978752104.45000005</v>
      </c>
      <c r="I244" s="871"/>
      <c r="J244" s="862">
        <v>0.216</v>
      </c>
      <c r="K244" s="868">
        <f t="shared" si="34"/>
        <v>452</v>
      </c>
      <c r="L244" s="863" t="s">
        <v>1768</v>
      </c>
      <c r="M244" s="671">
        <f t="shared" si="35"/>
        <v>242</v>
      </c>
      <c r="N244" s="671" t="str">
        <f t="shared" si="36"/>
        <v>N/A</v>
      </c>
      <c r="O244" s="671">
        <f t="shared" si="37"/>
        <v>228</v>
      </c>
      <c r="P244" s="861" t="s">
        <v>1209</v>
      </c>
      <c r="Q244" s="861"/>
      <c r="R244" s="863" t="s">
        <v>1522</v>
      </c>
      <c r="S244" s="861" t="s">
        <v>480</v>
      </c>
      <c r="T244" s="866" t="s">
        <v>1769</v>
      </c>
      <c r="U244" s="865"/>
    </row>
    <row r="245" spans="2:21" ht="15">
      <c r="B245" s="861" t="s">
        <v>1770</v>
      </c>
      <c r="C245" s="861" t="s">
        <v>1771</v>
      </c>
      <c r="D245" s="861" t="s">
        <v>371</v>
      </c>
      <c r="E245" s="861"/>
      <c r="F245" s="862">
        <v>0.10299999999999999</v>
      </c>
      <c r="G245" s="869">
        <v>0.65814797800000002</v>
      </c>
      <c r="H245" s="874">
        <v>964230484.45000005</v>
      </c>
      <c r="I245" s="871"/>
      <c r="J245" s="862">
        <v>0.16800000000000001</v>
      </c>
      <c r="K245" s="868">
        <f t="shared" si="34"/>
        <v>191</v>
      </c>
      <c r="L245" s="861"/>
      <c r="M245" s="671">
        <f t="shared" si="35"/>
        <v>243</v>
      </c>
      <c r="N245" s="671" t="str">
        <f t="shared" si="36"/>
        <v>N/A</v>
      </c>
      <c r="O245" s="671">
        <f t="shared" si="37"/>
        <v>308</v>
      </c>
      <c r="P245" s="861" t="s">
        <v>1772</v>
      </c>
      <c r="Q245" s="861"/>
      <c r="R245" s="861"/>
      <c r="S245" s="861" t="s">
        <v>1640</v>
      </c>
      <c r="T245" s="866" t="s">
        <v>1773</v>
      </c>
      <c r="U245" s="865"/>
    </row>
    <row r="246" spans="2:21" ht="15">
      <c r="B246" s="861" t="s">
        <v>1774</v>
      </c>
      <c r="C246" s="861" t="s">
        <v>1775</v>
      </c>
      <c r="D246" s="861" t="s">
        <v>371</v>
      </c>
      <c r="E246" s="861"/>
      <c r="F246" s="862"/>
      <c r="G246" s="869">
        <v>0.88003533199999995</v>
      </c>
      <c r="H246" s="874">
        <v>963220482.52999997</v>
      </c>
      <c r="I246" s="871"/>
      <c r="J246" s="863" t="s">
        <v>1776</v>
      </c>
      <c r="K246" s="868">
        <f t="shared" si="34"/>
        <v>316</v>
      </c>
      <c r="L246" s="861"/>
      <c r="M246" s="671">
        <f t="shared" si="35"/>
        <v>244</v>
      </c>
      <c r="N246" s="671" t="str">
        <f t="shared" si="36"/>
        <v>N/A</v>
      </c>
      <c r="O246" s="671" t="str">
        <f t="shared" si="37"/>
        <v>N/A</v>
      </c>
      <c r="P246" s="861" t="s">
        <v>1777</v>
      </c>
      <c r="Q246" s="861"/>
      <c r="R246" s="861"/>
      <c r="S246" s="861" t="s">
        <v>392</v>
      </c>
      <c r="T246" s="866" t="s">
        <v>1778</v>
      </c>
      <c r="U246" s="865"/>
    </row>
    <row r="247" spans="2:21" ht="15">
      <c r="B247" s="861" t="s">
        <v>1779</v>
      </c>
      <c r="C247" s="861" t="s">
        <v>1780</v>
      </c>
      <c r="D247" s="861" t="s">
        <v>371</v>
      </c>
      <c r="E247" s="861"/>
      <c r="F247" s="862"/>
      <c r="G247" s="869">
        <v>0.45669310000000002</v>
      </c>
      <c r="H247" s="874">
        <v>938577606.21000004</v>
      </c>
      <c r="I247" s="871"/>
      <c r="J247" s="863" t="s">
        <v>1781</v>
      </c>
      <c r="K247" s="868">
        <f t="shared" si="34"/>
        <v>316</v>
      </c>
      <c r="L247" s="861" t="s">
        <v>1000</v>
      </c>
      <c r="M247" s="671">
        <f t="shared" si="35"/>
        <v>245</v>
      </c>
      <c r="N247" s="671" t="str">
        <f t="shared" si="36"/>
        <v>N/A</v>
      </c>
      <c r="O247" s="671" t="str">
        <f t="shared" si="37"/>
        <v>N/A</v>
      </c>
      <c r="P247" s="861" t="s">
        <v>1782</v>
      </c>
      <c r="Q247" s="861" t="s">
        <v>1783</v>
      </c>
      <c r="R247" s="861" t="s">
        <v>763</v>
      </c>
      <c r="S247" s="861" t="s">
        <v>1784</v>
      </c>
      <c r="T247" s="866" t="s">
        <v>1785</v>
      </c>
      <c r="U247" s="865"/>
    </row>
    <row r="248" spans="2:21" ht="15">
      <c r="B248" s="861" t="s">
        <v>1786</v>
      </c>
      <c r="C248" s="861" t="s">
        <v>1787</v>
      </c>
      <c r="D248" s="861" t="s">
        <v>371</v>
      </c>
      <c r="E248" s="861"/>
      <c r="F248" s="862"/>
      <c r="G248" s="870" t="s">
        <v>1788</v>
      </c>
      <c r="H248" s="874">
        <v>936984538.98000002</v>
      </c>
      <c r="I248" s="871"/>
      <c r="J248" s="862">
        <v>0.183</v>
      </c>
      <c r="K248" s="868">
        <f t="shared" si="34"/>
        <v>316</v>
      </c>
      <c r="L248" s="861" t="s">
        <v>1789</v>
      </c>
      <c r="M248" s="671">
        <f t="shared" si="35"/>
        <v>246</v>
      </c>
      <c r="N248" s="671" t="str">
        <f t="shared" si="36"/>
        <v>N/A</v>
      </c>
      <c r="O248" s="671">
        <f t="shared" si="37"/>
        <v>281</v>
      </c>
      <c r="P248" s="861" t="s">
        <v>1790</v>
      </c>
      <c r="Q248" s="861" t="s">
        <v>1791</v>
      </c>
      <c r="R248" s="861" t="s">
        <v>1319</v>
      </c>
      <c r="S248" s="861" t="s">
        <v>1792</v>
      </c>
      <c r="T248" s="866" t="s">
        <v>1793</v>
      </c>
      <c r="U248" s="865"/>
    </row>
    <row r="249" spans="2:21" ht="15">
      <c r="B249" s="861" t="s">
        <v>1794</v>
      </c>
      <c r="C249" s="861" t="s">
        <v>1795</v>
      </c>
      <c r="D249" s="861" t="s">
        <v>371</v>
      </c>
      <c r="E249" s="861"/>
      <c r="F249" s="862">
        <v>-0.192</v>
      </c>
      <c r="G249" s="870" t="s">
        <v>1796</v>
      </c>
      <c r="H249" s="874">
        <v>935577094.26999998</v>
      </c>
      <c r="I249" s="871"/>
      <c r="J249" s="863"/>
      <c r="K249" s="868">
        <f t="shared" si="34"/>
        <v>410</v>
      </c>
      <c r="L249" s="861" t="s">
        <v>1797</v>
      </c>
      <c r="M249" s="671">
        <f t="shared" si="35"/>
        <v>247</v>
      </c>
      <c r="N249" s="671" t="str">
        <f t="shared" si="36"/>
        <v>N/A</v>
      </c>
      <c r="O249" s="671">
        <f t="shared" si="37"/>
        <v>708</v>
      </c>
      <c r="P249" s="861" t="s">
        <v>1798</v>
      </c>
      <c r="Q249" s="861" t="s">
        <v>1799</v>
      </c>
      <c r="R249" s="863" t="s">
        <v>1800</v>
      </c>
      <c r="S249" s="861" t="s">
        <v>1801</v>
      </c>
      <c r="T249" s="866" t="s">
        <v>1802</v>
      </c>
      <c r="U249" s="865"/>
    </row>
    <row r="250" spans="2:21" ht="15">
      <c r="B250" s="861" t="s">
        <v>1803</v>
      </c>
      <c r="C250" s="861" t="s">
        <v>1804</v>
      </c>
      <c r="D250" s="861" t="s">
        <v>371</v>
      </c>
      <c r="E250" s="861"/>
      <c r="F250" s="862">
        <v>0.2</v>
      </c>
      <c r="G250" s="869">
        <v>0.70222803499999997</v>
      </c>
      <c r="H250" s="874">
        <v>935447989.94000006</v>
      </c>
      <c r="I250" s="871"/>
      <c r="J250" s="862">
        <v>0.14899999999999999</v>
      </c>
      <c r="K250" s="868">
        <f t="shared" si="34"/>
        <v>95</v>
      </c>
      <c r="L250" s="861" t="s">
        <v>734</v>
      </c>
      <c r="M250" s="671">
        <f t="shared" si="35"/>
        <v>248</v>
      </c>
      <c r="N250" s="671" t="str">
        <f t="shared" si="36"/>
        <v>N/A</v>
      </c>
      <c r="O250" s="671">
        <f t="shared" si="37"/>
        <v>345</v>
      </c>
      <c r="P250" s="861" t="s">
        <v>1805</v>
      </c>
      <c r="Q250" s="861" t="s">
        <v>1806</v>
      </c>
      <c r="R250" s="861" t="s">
        <v>404</v>
      </c>
      <c r="S250" s="861" t="s">
        <v>1807</v>
      </c>
      <c r="T250" s="866" t="s">
        <v>1808</v>
      </c>
      <c r="U250" s="865"/>
    </row>
    <row r="251" spans="2:21" ht="15">
      <c r="B251" s="861" t="s">
        <v>1809</v>
      </c>
      <c r="C251" s="861" t="s">
        <v>1810</v>
      </c>
      <c r="D251" s="861" t="s">
        <v>371</v>
      </c>
      <c r="E251" s="861"/>
      <c r="F251" s="862"/>
      <c r="G251" s="869">
        <v>1.837828486</v>
      </c>
      <c r="H251" s="874">
        <v>933905803.40999997</v>
      </c>
      <c r="I251" s="871"/>
      <c r="J251" s="863" t="s">
        <v>1811</v>
      </c>
      <c r="K251" s="868">
        <f t="shared" si="34"/>
        <v>316</v>
      </c>
      <c r="L251" s="863" t="s">
        <v>937</v>
      </c>
      <c r="M251" s="671">
        <f t="shared" si="35"/>
        <v>249</v>
      </c>
      <c r="N251" s="671" t="str">
        <f t="shared" si="36"/>
        <v>N/A</v>
      </c>
      <c r="O251" s="671" t="str">
        <f t="shared" si="37"/>
        <v>N/A</v>
      </c>
      <c r="P251" s="861" t="s">
        <v>519</v>
      </c>
      <c r="Q251" s="861"/>
      <c r="R251" s="863" t="s">
        <v>1768</v>
      </c>
      <c r="S251" s="861" t="s">
        <v>1812</v>
      </c>
      <c r="T251" s="866" t="s">
        <v>1813</v>
      </c>
      <c r="U251" s="865"/>
    </row>
    <row r="252" spans="2:21" ht="15">
      <c r="B252" s="861" t="s">
        <v>1814</v>
      </c>
      <c r="C252" s="861" t="s">
        <v>1815</v>
      </c>
      <c r="D252" s="861" t="s">
        <v>371</v>
      </c>
      <c r="E252" s="861"/>
      <c r="F252" s="862">
        <v>0.72799999999999998</v>
      </c>
      <c r="G252" s="869">
        <v>0.77377033399999995</v>
      </c>
      <c r="H252" s="874">
        <v>933499915.63999999</v>
      </c>
      <c r="I252" s="871">
        <v>51.35</v>
      </c>
      <c r="J252" s="862">
        <v>6.0999999999999999E-2</v>
      </c>
      <c r="K252" s="868">
        <f t="shared" si="34"/>
        <v>12</v>
      </c>
      <c r="L252" s="861"/>
      <c r="M252" s="671">
        <f t="shared" si="35"/>
        <v>250</v>
      </c>
      <c r="N252" s="671">
        <f t="shared" si="36"/>
        <v>85</v>
      </c>
      <c r="O252" s="671">
        <f t="shared" si="37"/>
        <v>580</v>
      </c>
      <c r="P252" s="861" t="s">
        <v>1816</v>
      </c>
      <c r="Q252" s="861" t="s">
        <v>1817</v>
      </c>
      <c r="R252" s="861"/>
      <c r="S252" s="861" t="s">
        <v>1026</v>
      </c>
      <c r="T252" s="866" t="s">
        <v>1818</v>
      </c>
      <c r="U252" s="865"/>
    </row>
    <row r="253" spans="2:21" ht="15">
      <c r="B253" s="861" t="s">
        <v>1819</v>
      </c>
      <c r="C253" s="861" t="s">
        <v>1820</v>
      </c>
      <c r="D253" s="861" t="s">
        <v>371</v>
      </c>
      <c r="E253" s="861"/>
      <c r="F253" s="862">
        <v>8.2000000000000003E-2</v>
      </c>
      <c r="G253" s="870" t="s">
        <v>1821</v>
      </c>
      <c r="H253" s="874">
        <v>931176093.44000006</v>
      </c>
      <c r="I253" s="871">
        <v>7.27</v>
      </c>
      <c r="J253" s="862">
        <v>0.17</v>
      </c>
      <c r="K253" s="868">
        <f t="shared" si="34"/>
        <v>212</v>
      </c>
      <c r="L253" s="861"/>
      <c r="M253" s="671">
        <f t="shared" si="35"/>
        <v>251</v>
      </c>
      <c r="N253" s="671">
        <f t="shared" si="36"/>
        <v>250</v>
      </c>
      <c r="O253" s="671">
        <f t="shared" si="37"/>
        <v>305</v>
      </c>
      <c r="P253" s="861"/>
      <c r="Q253" s="861"/>
      <c r="R253" s="861"/>
      <c r="S253" s="861" t="s">
        <v>1369</v>
      </c>
      <c r="T253" s="866" t="s">
        <v>1822</v>
      </c>
      <c r="U253" s="865"/>
    </row>
    <row r="254" spans="2:21" ht="15">
      <c r="B254" s="861" t="s">
        <v>1823</v>
      </c>
      <c r="C254" s="861" t="s">
        <v>1824</v>
      </c>
      <c r="D254" s="861" t="s">
        <v>371</v>
      </c>
      <c r="E254" s="861"/>
      <c r="F254" s="862"/>
      <c r="G254" s="869">
        <v>0</v>
      </c>
      <c r="H254" s="874">
        <v>925968601.20000005</v>
      </c>
      <c r="I254" s="871">
        <v>40.98</v>
      </c>
      <c r="J254" s="863" t="s">
        <v>703</v>
      </c>
      <c r="K254" s="868">
        <f t="shared" si="34"/>
        <v>316</v>
      </c>
      <c r="L254" s="861" t="s">
        <v>672</v>
      </c>
      <c r="M254" s="671">
        <f t="shared" si="35"/>
        <v>252</v>
      </c>
      <c r="N254" s="671">
        <f t="shared" si="36"/>
        <v>109</v>
      </c>
      <c r="O254" s="671" t="str">
        <f t="shared" si="37"/>
        <v>N/A</v>
      </c>
      <c r="P254" s="861" t="s">
        <v>1127</v>
      </c>
      <c r="Q254" s="861" t="s">
        <v>1790</v>
      </c>
      <c r="R254" s="861" t="s">
        <v>1709</v>
      </c>
      <c r="S254" s="861" t="s">
        <v>1825</v>
      </c>
      <c r="T254" s="866" t="s">
        <v>1826</v>
      </c>
      <c r="U254" s="865"/>
    </row>
    <row r="255" spans="2:21" ht="15">
      <c r="B255" s="861" t="s">
        <v>1827</v>
      </c>
      <c r="C255" s="861" t="s">
        <v>1828</v>
      </c>
      <c r="D255" s="861" t="s">
        <v>371</v>
      </c>
      <c r="E255" s="861"/>
      <c r="F255" s="862">
        <v>0.02</v>
      </c>
      <c r="G255" s="869">
        <v>0</v>
      </c>
      <c r="H255" s="874">
        <v>924901499.88999999</v>
      </c>
      <c r="I255" s="871"/>
      <c r="J255" s="862">
        <v>0.158</v>
      </c>
      <c r="K255" s="868">
        <f t="shared" si="34"/>
        <v>299</v>
      </c>
      <c r="L255" s="861"/>
      <c r="M255" s="671">
        <f t="shared" si="35"/>
        <v>253</v>
      </c>
      <c r="N255" s="671" t="str">
        <f t="shared" si="36"/>
        <v>N/A</v>
      </c>
      <c r="O255" s="671">
        <f t="shared" si="37"/>
        <v>321</v>
      </c>
      <c r="P255" s="861"/>
      <c r="Q255" s="861"/>
      <c r="R255" s="861"/>
      <c r="S255" s="861" t="s">
        <v>404</v>
      </c>
      <c r="T255" s="866" t="s">
        <v>1829</v>
      </c>
      <c r="U255" s="865"/>
    </row>
    <row r="256" spans="2:21" ht="15">
      <c r="B256" s="861" t="s">
        <v>1830</v>
      </c>
      <c r="C256" s="861" t="s">
        <v>1831</v>
      </c>
      <c r="D256" s="861" t="s">
        <v>371</v>
      </c>
      <c r="E256" s="861"/>
      <c r="F256" s="862">
        <v>0.111</v>
      </c>
      <c r="G256" s="869">
        <v>0.36224583799999999</v>
      </c>
      <c r="H256" s="874">
        <v>917482570.21000004</v>
      </c>
      <c r="I256" s="871">
        <v>30.7</v>
      </c>
      <c r="J256" s="863" t="s">
        <v>1832</v>
      </c>
      <c r="K256" s="868">
        <f t="shared" si="34"/>
        <v>183</v>
      </c>
      <c r="L256" s="861"/>
      <c r="M256" s="671">
        <f t="shared" si="35"/>
        <v>254</v>
      </c>
      <c r="N256" s="671">
        <f t="shared" si="36"/>
        <v>144</v>
      </c>
      <c r="O256" s="671" t="str">
        <f t="shared" si="37"/>
        <v>N/A</v>
      </c>
      <c r="P256" s="861"/>
      <c r="Q256" s="861"/>
      <c r="R256" s="861"/>
      <c r="S256" s="861" t="s">
        <v>734</v>
      </c>
      <c r="T256" s="866" t="s">
        <v>1833</v>
      </c>
      <c r="U256" s="865"/>
    </row>
    <row r="257" spans="2:21" ht="15">
      <c r="B257" s="861" t="s">
        <v>1834</v>
      </c>
      <c r="C257" s="861" t="s">
        <v>1835</v>
      </c>
      <c r="D257" s="861" t="s">
        <v>371</v>
      </c>
      <c r="E257" s="861"/>
      <c r="F257" s="862">
        <v>-0.24299999999999999</v>
      </c>
      <c r="G257" s="869">
        <v>0</v>
      </c>
      <c r="H257" s="874">
        <v>910510739.28999996</v>
      </c>
      <c r="I257" s="871"/>
      <c r="J257" s="863" t="s">
        <v>1836</v>
      </c>
      <c r="K257" s="868">
        <f t="shared" si="34"/>
        <v>429</v>
      </c>
      <c r="L257" s="861"/>
      <c r="M257" s="671">
        <f t="shared" si="35"/>
        <v>255</v>
      </c>
      <c r="N257" s="671" t="str">
        <f t="shared" si="36"/>
        <v>N/A</v>
      </c>
      <c r="O257" s="671" t="str">
        <f t="shared" si="37"/>
        <v>N/A</v>
      </c>
      <c r="P257" s="861"/>
      <c r="Q257" s="861"/>
      <c r="R257" s="861"/>
      <c r="S257" s="861" t="s">
        <v>424</v>
      </c>
      <c r="T257" s="866" t="s">
        <v>1837</v>
      </c>
      <c r="U257" s="865"/>
    </row>
    <row r="258" spans="2:21" ht="15">
      <c r="B258" s="861" t="s">
        <v>1838</v>
      </c>
      <c r="C258" s="861" t="s">
        <v>1839</v>
      </c>
      <c r="D258" s="861" t="s">
        <v>371</v>
      </c>
      <c r="E258" s="861"/>
      <c r="F258" s="862">
        <v>-0.188</v>
      </c>
      <c r="G258" s="870" t="s">
        <v>1840</v>
      </c>
      <c r="H258" s="874">
        <v>897101547.45000005</v>
      </c>
      <c r="I258" s="871"/>
      <c r="J258" s="863" t="s">
        <v>1841</v>
      </c>
      <c r="K258" s="868">
        <f t="shared" si="34"/>
        <v>408</v>
      </c>
      <c r="L258" s="861"/>
      <c r="M258" s="671">
        <f t="shared" si="35"/>
        <v>256</v>
      </c>
      <c r="N258" s="671" t="str">
        <f t="shared" si="36"/>
        <v>N/A</v>
      </c>
      <c r="O258" s="671" t="str">
        <f t="shared" si="37"/>
        <v>N/A</v>
      </c>
      <c r="P258" s="861"/>
      <c r="Q258" s="861"/>
      <c r="R258" s="861"/>
      <c r="S258" s="861" t="s">
        <v>563</v>
      </c>
      <c r="T258" s="866" t="s">
        <v>1842</v>
      </c>
      <c r="U258" s="865"/>
    </row>
    <row r="259" spans="2:21" ht="15">
      <c r="B259" s="861" t="s">
        <v>1843</v>
      </c>
      <c r="C259" s="861" t="s">
        <v>1844</v>
      </c>
      <c r="D259" s="861" t="s">
        <v>371</v>
      </c>
      <c r="E259" s="861"/>
      <c r="F259" s="862">
        <v>-0.49</v>
      </c>
      <c r="G259" s="870" t="s">
        <v>1845</v>
      </c>
      <c r="H259" s="874">
        <v>885997078.84000003</v>
      </c>
      <c r="I259" s="871">
        <v>29.82</v>
      </c>
      <c r="J259" s="863" t="s">
        <v>1846</v>
      </c>
      <c r="K259" s="868">
        <f t="shared" si="34"/>
        <v>475</v>
      </c>
      <c r="L259" s="861"/>
      <c r="M259" s="671">
        <f t="shared" si="35"/>
        <v>257</v>
      </c>
      <c r="N259" s="671">
        <f t="shared" si="36"/>
        <v>145</v>
      </c>
      <c r="O259" s="671" t="str">
        <f t="shared" si="37"/>
        <v>N/A</v>
      </c>
      <c r="P259" s="861" t="s">
        <v>1665</v>
      </c>
      <c r="Q259" s="861" t="s">
        <v>1847</v>
      </c>
      <c r="R259" s="861"/>
      <c r="S259" s="861" t="s">
        <v>1848</v>
      </c>
      <c r="T259" s="866" t="s">
        <v>1849</v>
      </c>
      <c r="U259" s="865"/>
    </row>
    <row r="260" spans="2:21" ht="15">
      <c r="B260" s="861" t="s">
        <v>1850</v>
      </c>
      <c r="C260" s="861" t="s">
        <v>1851</v>
      </c>
      <c r="D260" s="861" t="s">
        <v>371</v>
      </c>
      <c r="E260" s="861"/>
      <c r="F260" s="862">
        <v>-0.20799999999999999</v>
      </c>
      <c r="G260" s="869">
        <v>0</v>
      </c>
      <c r="H260" s="874">
        <v>881490153.65999997</v>
      </c>
      <c r="I260" s="871">
        <v>15.45</v>
      </c>
      <c r="J260" s="862">
        <v>1.6E-2</v>
      </c>
      <c r="K260" s="868">
        <f t="shared" ref="K260:K323" si="38">IFERROR(_xlfn.RANK.EQ(F260,F$3:F$1770),"N/A")</f>
        <v>418</v>
      </c>
      <c r="L260" s="861"/>
      <c r="M260" s="671">
        <f t="shared" ref="M260:M323" si="39">IFERROR(_xlfn.RANK.EQ(H260,H$3:H$1770),"N/A")</f>
        <v>258</v>
      </c>
      <c r="N260" s="671">
        <f t="shared" ref="N260:N323" si="40">IFERROR(_xlfn.RANK.EQ(I260,I$3:I$1770),"N/A")</f>
        <v>194</v>
      </c>
      <c r="O260" s="671">
        <f t="shared" ref="O260:O323" si="41">IFERROR(_xlfn.RANK.EQ(J260,J$3:J$1770),"N/A")</f>
        <v>674</v>
      </c>
      <c r="P260" s="861" t="s">
        <v>1852</v>
      </c>
      <c r="Q260" s="861"/>
      <c r="R260" s="861"/>
      <c r="S260" s="861" t="s">
        <v>734</v>
      </c>
      <c r="T260" s="866" t="s">
        <v>1853</v>
      </c>
      <c r="U260" s="865"/>
    </row>
    <row r="261" spans="2:21" ht="15">
      <c r="B261" s="861" t="s">
        <v>1854</v>
      </c>
      <c r="C261" s="861" t="s">
        <v>1855</v>
      </c>
      <c r="D261" s="861" t="s">
        <v>371</v>
      </c>
      <c r="E261" s="861"/>
      <c r="F261" s="862">
        <v>0.34399999999999997</v>
      </c>
      <c r="G261" s="870" t="s">
        <v>1856</v>
      </c>
      <c r="H261" s="874">
        <v>880655315.54999995</v>
      </c>
      <c r="I261" s="871">
        <v>15.88</v>
      </c>
      <c r="J261" s="862">
        <v>0.24399999999999999</v>
      </c>
      <c r="K261" s="868">
        <f t="shared" si="38"/>
        <v>40</v>
      </c>
      <c r="L261" s="861"/>
      <c r="M261" s="671">
        <f t="shared" si="39"/>
        <v>259</v>
      </c>
      <c r="N261" s="671">
        <f t="shared" si="40"/>
        <v>191</v>
      </c>
      <c r="O261" s="671">
        <f t="shared" si="41"/>
        <v>189</v>
      </c>
      <c r="P261" s="861"/>
      <c r="Q261" s="861"/>
      <c r="R261" s="861"/>
      <c r="S261" s="861" t="s">
        <v>424</v>
      </c>
      <c r="T261" s="866" t="s">
        <v>1857</v>
      </c>
      <c r="U261" s="865"/>
    </row>
    <row r="262" spans="2:21" ht="15">
      <c r="B262" s="861" t="s">
        <v>1858</v>
      </c>
      <c r="C262" s="861" t="s">
        <v>1859</v>
      </c>
      <c r="D262" s="861" t="s">
        <v>371</v>
      </c>
      <c r="E262" s="861"/>
      <c r="F262" s="862">
        <v>8.2000000000000003E-2</v>
      </c>
      <c r="G262" s="869">
        <v>0.75537924700000003</v>
      </c>
      <c r="H262" s="874">
        <v>876620506.78999996</v>
      </c>
      <c r="I262" s="871"/>
      <c r="J262" s="862">
        <v>8.5999999999999993E-2</v>
      </c>
      <c r="K262" s="868">
        <f t="shared" si="38"/>
        <v>212</v>
      </c>
      <c r="L262" s="861"/>
      <c r="M262" s="671">
        <f t="shared" si="39"/>
        <v>260</v>
      </c>
      <c r="N262" s="671" t="str">
        <f t="shared" si="40"/>
        <v>N/A</v>
      </c>
      <c r="O262" s="671">
        <f t="shared" si="41"/>
        <v>529</v>
      </c>
      <c r="P262" s="861" t="s">
        <v>1860</v>
      </c>
      <c r="Q262" s="861"/>
      <c r="R262" s="861"/>
      <c r="S262" s="861" t="s">
        <v>424</v>
      </c>
      <c r="T262" s="866" t="s">
        <v>1861</v>
      </c>
      <c r="U262" s="865"/>
    </row>
    <row r="263" spans="2:21" ht="15">
      <c r="B263" s="861" t="s">
        <v>1862</v>
      </c>
      <c r="C263" s="861" t="s">
        <v>1863</v>
      </c>
      <c r="D263" s="861" t="s">
        <v>371</v>
      </c>
      <c r="E263" s="861"/>
      <c r="F263" s="862">
        <v>1.2999999999999999E-2</v>
      </c>
      <c r="G263" s="869">
        <v>7.2342343619999996</v>
      </c>
      <c r="H263" s="874">
        <v>875394329.27999997</v>
      </c>
      <c r="I263" s="871"/>
      <c r="J263" s="863" t="s">
        <v>1864</v>
      </c>
      <c r="K263" s="868">
        <f t="shared" si="38"/>
        <v>306</v>
      </c>
      <c r="L263" s="861"/>
      <c r="M263" s="671">
        <f t="shared" si="39"/>
        <v>261</v>
      </c>
      <c r="N263" s="671" t="str">
        <f t="shared" si="40"/>
        <v>N/A</v>
      </c>
      <c r="O263" s="671" t="str">
        <f t="shared" si="41"/>
        <v>N/A</v>
      </c>
      <c r="P263" s="861" t="s">
        <v>1865</v>
      </c>
      <c r="Q263" s="861"/>
      <c r="R263" s="861"/>
      <c r="S263" s="861" t="s">
        <v>1866</v>
      </c>
      <c r="T263" s="866" t="s">
        <v>1867</v>
      </c>
      <c r="U263" s="865"/>
    </row>
    <row r="264" spans="2:21" ht="15">
      <c r="B264" s="861" t="s">
        <v>1868</v>
      </c>
      <c r="C264" s="861" t="s">
        <v>1869</v>
      </c>
      <c r="D264" s="861" t="s">
        <v>371</v>
      </c>
      <c r="E264" s="861"/>
      <c r="F264" s="862"/>
      <c r="G264" s="869">
        <v>0.66067916199999999</v>
      </c>
      <c r="H264" s="874">
        <v>848896711.32000005</v>
      </c>
      <c r="I264" s="871"/>
      <c r="J264" s="862">
        <v>0.499</v>
      </c>
      <c r="K264" s="868">
        <f t="shared" si="38"/>
        <v>316</v>
      </c>
      <c r="L264" s="861"/>
      <c r="M264" s="671">
        <f t="shared" si="39"/>
        <v>262</v>
      </c>
      <c r="N264" s="671" t="str">
        <f t="shared" si="40"/>
        <v>N/A</v>
      </c>
      <c r="O264" s="671">
        <f t="shared" si="41"/>
        <v>21</v>
      </c>
      <c r="P264" s="863" t="s">
        <v>1870</v>
      </c>
      <c r="Q264" s="861"/>
      <c r="R264" s="861"/>
      <c r="S264" s="861" t="s">
        <v>404</v>
      </c>
      <c r="T264" s="866" t="s">
        <v>1871</v>
      </c>
      <c r="U264" s="865"/>
    </row>
    <row r="265" spans="2:21" ht="15">
      <c r="B265" s="861" t="s">
        <v>1872</v>
      </c>
      <c r="C265" s="861" t="s">
        <v>1873</v>
      </c>
      <c r="D265" s="861" t="s">
        <v>371</v>
      </c>
      <c r="E265" s="861"/>
      <c r="F265" s="862"/>
      <c r="G265" s="869">
        <v>4.6239196119999999</v>
      </c>
      <c r="H265" s="874">
        <v>847351887.98000002</v>
      </c>
      <c r="I265" s="872" t="s">
        <v>1874</v>
      </c>
      <c r="J265" s="862">
        <v>6.7000000000000004E-2</v>
      </c>
      <c r="K265" s="868">
        <f t="shared" si="38"/>
        <v>316</v>
      </c>
      <c r="L265" s="861"/>
      <c r="M265" s="671">
        <f t="shared" si="39"/>
        <v>263</v>
      </c>
      <c r="N265" s="671" t="str">
        <f t="shared" si="40"/>
        <v>N/A</v>
      </c>
      <c r="O265" s="671">
        <f t="shared" si="41"/>
        <v>568</v>
      </c>
      <c r="P265" s="861"/>
      <c r="Q265" s="861"/>
      <c r="R265" s="861"/>
      <c r="S265" s="861" t="s">
        <v>424</v>
      </c>
      <c r="T265" s="866" t="s">
        <v>1875</v>
      </c>
      <c r="U265" s="865"/>
    </row>
    <row r="266" spans="2:21" ht="15">
      <c r="B266" s="861" t="s">
        <v>1876</v>
      </c>
      <c r="C266" s="861" t="s">
        <v>1877</v>
      </c>
      <c r="D266" s="861" t="s">
        <v>371</v>
      </c>
      <c r="E266" s="861"/>
      <c r="F266" s="862">
        <v>7.5999999999999998E-2</v>
      </c>
      <c r="G266" s="869">
        <v>0.459237799</v>
      </c>
      <c r="H266" s="874">
        <v>840333315.38</v>
      </c>
      <c r="I266" s="871"/>
      <c r="J266" s="863" t="s">
        <v>1878</v>
      </c>
      <c r="K266" s="868">
        <f t="shared" si="38"/>
        <v>220</v>
      </c>
      <c r="L266" s="861" t="s">
        <v>526</v>
      </c>
      <c r="M266" s="671">
        <f t="shared" si="39"/>
        <v>264</v>
      </c>
      <c r="N266" s="671" t="str">
        <f t="shared" si="40"/>
        <v>N/A</v>
      </c>
      <c r="O266" s="671" t="str">
        <f t="shared" si="41"/>
        <v>N/A</v>
      </c>
      <c r="P266" s="861" t="s">
        <v>1879</v>
      </c>
      <c r="Q266" s="861" t="s">
        <v>1880</v>
      </c>
      <c r="R266" s="861"/>
      <c r="S266" s="861" t="s">
        <v>1881</v>
      </c>
      <c r="T266" s="866" t="s">
        <v>1882</v>
      </c>
      <c r="U266" s="865"/>
    </row>
    <row r="267" spans="2:21" ht="15">
      <c r="B267" s="861" t="s">
        <v>1883</v>
      </c>
      <c r="C267" s="861" t="s">
        <v>1884</v>
      </c>
      <c r="D267" s="861" t="s">
        <v>371</v>
      </c>
      <c r="E267" s="861"/>
      <c r="F267" s="862">
        <v>2.1999999999999999E-2</v>
      </c>
      <c r="G267" s="870" t="s">
        <v>1885</v>
      </c>
      <c r="H267" s="874">
        <v>833888021.20000005</v>
      </c>
      <c r="I267" s="871"/>
      <c r="J267" s="862">
        <v>4.5999999999999999E-2</v>
      </c>
      <c r="K267" s="868">
        <f t="shared" si="38"/>
        <v>296</v>
      </c>
      <c r="L267" s="861"/>
      <c r="M267" s="671">
        <f t="shared" si="39"/>
        <v>265</v>
      </c>
      <c r="N267" s="671" t="str">
        <f t="shared" si="40"/>
        <v>N/A</v>
      </c>
      <c r="O267" s="671">
        <f t="shared" si="41"/>
        <v>612</v>
      </c>
      <c r="P267" s="861" t="s">
        <v>1886</v>
      </c>
      <c r="Q267" s="861" t="s">
        <v>1887</v>
      </c>
      <c r="R267" s="861"/>
      <c r="S267" s="861" t="s">
        <v>1888</v>
      </c>
      <c r="T267" s="866" t="s">
        <v>1889</v>
      </c>
      <c r="U267" s="865"/>
    </row>
    <row r="268" spans="2:21" ht="15">
      <c r="B268" s="861" t="s">
        <v>1890</v>
      </c>
      <c r="C268" s="861" t="s">
        <v>1891</v>
      </c>
      <c r="D268" s="861" t="s">
        <v>371</v>
      </c>
      <c r="E268" s="861"/>
      <c r="F268" s="862"/>
      <c r="G268" s="869">
        <v>1.818342363</v>
      </c>
      <c r="H268" s="874">
        <v>825888270.82000005</v>
      </c>
      <c r="I268" s="872" t="s">
        <v>1892</v>
      </c>
      <c r="J268" s="862">
        <v>0.126</v>
      </c>
      <c r="K268" s="868">
        <f t="shared" si="38"/>
        <v>316</v>
      </c>
      <c r="L268" s="861" t="s">
        <v>533</v>
      </c>
      <c r="M268" s="671">
        <f t="shared" si="39"/>
        <v>266</v>
      </c>
      <c r="N268" s="671" t="str">
        <f t="shared" si="40"/>
        <v>N/A</v>
      </c>
      <c r="O268" s="671">
        <f t="shared" si="41"/>
        <v>410</v>
      </c>
      <c r="P268" s="861" t="s">
        <v>1893</v>
      </c>
      <c r="Q268" s="861" t="s">
        <v>1894</v>
      </c>
      <c r="R268" s="861" t="s">
        <v>533</v>
      </c>
      <c r="S268" s="861" t="s">
        <v>1895</v>
      </c>
      <c r="T268" s="866" t="s">
        <v>1896</v>
      </c>
      <c r="U268" s="865"/>
    </row>
    <row r="269" spans="2:21" ht="15">
      <c r="B269" s="861" t="s">
        <v>1897</v>
      </c>
      <c r="C269" s="861" t="s">
        <v>1898</v>
      </c>
      <c r="D269" s="861" t="s">
        <v>371</v>
      </c>
      <c r="E269" s="861"/>
      <c r="F269" s="862">
        <v>0.158</v>
      </c>
      <c r="G269" s="869">
        <v>0.20610793999999999</v>
      </c>
      <c r="H269" s="874">
        <v>821402341.02999997</v>
      </c>
      <c r="I269" s="871"/>
      <c r="J269" s="862">
        <v>0.125</v>
      </c>
      <c r="K269" s="868">
        <f t="shared" si="38"/>
        <v>130</v>
      </c>
      <c r="L269" s="861"/>
      <c r="M269" s="671">
        <f t="shared" si="39"/>
        <v>267</v>
      </c>
      <c r="N269" s="671" t="str">
        <f t="shared" si="40"/>
        <v>N/A</v>
      </c>
      <c r="O269" s="671">
        <f t="shared" si="41"/>
        <v>416</v>
      </c>
      <c r="P269" s="861"/>
      <c r="Q269" s="861"/>
      <c r="R269" s="861"/>
      <c r="S269" s="861" t="s">
        <v>1165</v>
      </c>
      <c r="T269" s="866" t="s">
        <v>1899</v>
      </c>
      <c r="U269" s="865"/>
    </row>
    <row r="270" spans="2:21" ht="15">
      <c r="B270" s="861" t="s">
        <v>1900</v>
      </c>
      <c r="C270" s="861" t="s">
        <v>1901</v>
      </c>
      <c r="D270" s="861" t="s">
        <v>371</v>
      </c>
      <c r="E270" s="861"/>
      <c r="F270" s="862">
        <v>0.115</v>
      </c>
      <c r="G270" s="869">
        <v>0.32865240200000001</v>
      </c>
      <c r="H270" s="874">
        <v>821048223.49000001</v>
      </c>
      <c r="I270" s="871"/>
      <c r="J270" s="862">
        <v>0</v>
      </c>
      <c r="K270" s="868">
        <f t="shared" si="38"/>
        <v>181</v>
      </c>
      <c r="L270" s="861"/>
      <c r="M270" s="671">
        <f t="shared" si="39"/>
        <v>268</v>
      </c>
      <c r="N270" s="671" t="str">
        <f t="shared" si="40"/>
        <v>N/A</v>
      </c>
      <c r="O270" s="671">
        <f t="shared" si="41"/>
        <v>708</v>
      </c>
      <c r="P270" s="861"/>
      <c r="Q270" s="861"/>
      <c r="R270" s="861"/>
      <c r="S270" s="861" t="s">
        <v>424</v>
      </c>
      <c r="T270" s="866" t="s">
        <v>1902</v>
      </c>
      <c r="U270" s="865"/>
    </row>
    <row r="271" spans="2:21" ht="15">
      <c r="B271" s="861" t="s">
        <v>1903</v>
      </c>
      <c r="C271" s="861" t="s">
        <v>1904</v>
      </c>
      <c r="D271" s="861" t="s">
        <v>371</v>
      </c>
      <c r="E271" s="861"/>
      <c r="F271" s="862"/>
      <c r="G271" s="870" t="s">
        <v>1905</v>
      </c>
      <c r="H271" s="874">
        <v>810672094.45000005</v>
      </c>
      <c r="I271" s="871">
        <v>6.27</v>
      </c>
      <c r="J271" s="862">
        <v>0.152</v>
      </c>
      <c r="K271" s="868">
        <f t="shared" si="38"/>
        <v>316</v>
      </c>
      <c r="L271" s="861"/>
      <c r="M271" s="671">
        <f t="shared" si="39"/>
        <v>269</v>
      </c>
      <c r="N271" s="671">
        <f t="shared" si="40"/>
        <v>259</v>
      </c>
      <c r="O271" s="671">
        <f t="shared" si="41"/>
        <v>333</v>
      </c>
      <c r="P271" s="861" t="s">
        <v>1230</v>
      </c>
      <c r="Q271" s="861" t="s">
        <v>1906</v>
      </c>
      <c r="R271" s="861"/>
      <c r="S271" s="861" t="s">
        <v>533</v>
      </c>
      <c r="T271" s="866" t="s">
        <v>1907</v>
      </c>
      <c r="U271" s="865"/>
    </row>
    <row r="272" spans="2:21" ht="15">
      <c r="B272" s="861" t="s">
        <v>1908</v>
      </c>
      <c r="C272" s="861" t="s">
        <v>1909</v>
      </c>
      <c r="D272" s="861" t="s">
        <v>371</v>
      </c>
      <c r="E272" s="861"/>
      <c r="F272" s="862">
        <v>0.10100000000000001</v>
      </c>
      <c r="G272" s="869">
        <v>1.8287266E-2</v>
      </c>
      <c r="H272" s="874">
        <v>793608723.48000002</v>
      </c>
      <c r="I272" s="871"/>
      <c r="J272" s="862">
        <v>0.14599999999999999</v>
      </c>
      <c r="K272" s="868">
        <f t="shared" si="38"/>
        <v>192</v>
      </c>
      <c r="L272" s="861"/>
      <c r="M272" s="671">
        <f t="shared" si="39"/>
        <v>270</v>
      </c>
      <c r="N272" s="671" t="str">
        <f t="shared" si="40"/>
        <v>N/A</v>
      </c>
      <c r="O272" s="671">
        <f t="shared" si="41"/>
        <v>356</v>
      </c>
      <c r="P272" s="861"/>
      <c r="Q272" s="861"/>
      <c r="R272" s="861"/>
      <c r="S272" s="861" t="s">
        <v>424</v>
      </c>
      <c r="T272" s="866" t="s">
        <v>1910</v>
      </c>
      <c r="U272" s="865"/>
    </row>
    <row r="273" spans="2:21" ht="15">
      <c r="B273" s="861" t="s">
        <v>1911</v>
      </c>
      <c r="C273" s="861" t="s">
        <v>1912</v>
      </c>
      <c r="D273" s="861" t="s">
        <v>371</v>
      </c>
      <c r="E273" s="861"/>
      <c r="F273" s="862"/>
      <c r="G273" s="869">
        <v>0.103599285</v>
      </c>
      <c r="H273" s="874">
        <v>787733270.67999995</v>
      </c>
      <c r="I273" s="871"/>
      <c r="J273" s="862">
        <v>0.16800000000000001</v>
      </c>
      <c r="K273" s="868">
        <f t="shared" si="38"/>
        <v>316</v>
      </c>
      <c r="L273" s="861"/>
      <c r="M273" s="671">
        <f t="shared" si="39"/>
        <v>271</v>
      </c>
      <c r="N273" s="671" t="str">
        <f t="shared" si="40"/>
        <v>N/A</v>
      </c>
      <c r="O273" s="671">
        <f t="shared" si="41"/>
        <v>308</v>
      </c>
      <c r="P273" s="861" t="s">
        <v>519</v>
      </c>
      <c r="Q273" s="861"/>
      <c r="R273" s="863" t="s">
        <v>1913</v>
      </c>
      <c r="S273" s="861" t="s">
        <v>748</v>
      </c>
      <c r="T273" s="866" t="s">
        <v>1914</v>
      </c>
      <c r="U273" s="865"/>
    </row>
    <row r="274" spans="2:21" ht="15">
      <c r="B274" s="861" t="s">
        <v>1915</v>
      </c>
      <c r="C274" s="861" t="s">
        <v>1916</v>
      </c>
      <c r="D274" s="861" t="s">
        <v>371</v>
      </c>
      <c r="E274" s="861"/>
      <c r="F274" s="862"/>
      <c r="G274" s="869">
        <v>2.8885792119999998</v>
      </c>
      <c r="H274" s="874">
        <v>784060949.44000006</v>
      </c>
      <c r="I274" s="871"/>
      <c r="J274" s="862">
        <v>4.3999999999999997E-2</v>
      </c>
      <c r="K274" s="868">
        <f t="shared" si="38"/>
        <v>316</v>
      </c>
      <c r="L274" s="861"/>
      <c r="M274" s="671">
        <f t="shared" si="39"/>
        <v>272</v>
      </c>
      <c r="N274" s="671" t="str">
        <f t="shared" si="40"/>
        <v>N/A</v>
      </c>
      <c r="O274" s="671">
        <f t="shared" si="41"/>
        <v>614</v>
      </c>
      <c r="P274" s="861" t="s">
        <v>1177</v>
      </c>
      <c r="Q274" s="861" t="s">
        <v>1917</v>
      </c>
      <c r="R274" s="861" t="s">
        <v>404</v>
      </c>
      <c r="S274" s="861" t="s">
        <v>526</v>
      </c>
      <c r="T274" s="866" t="s">
        <v>1918</v>
      </c>
      <c r="U274" s="865"/>
    </row>
    <row r="275" spans="2:21" ht="15">
      <c r="B275" s="861" t="s">
        <v>1919</v>
      </c>
      <c r="C275" s="861" t="s">
        <v>1920</v>
      </c>
      <c r="D275" s="861" t="s">
        <v>371</v>
      </c>
      <c r="E275" s="861"/>
      <c r="F275" s="862">
        <v>6.3E-2</v>
      </c>
      <c r="G275" s="869">
        <v>20.580018500000001</v>
      </c>
      <c r="H275" s="874">
        <v>783784469.79999995</v>
      </c>
      <c r="I275" s="871">
        <v>10.4</v>
      </c>
      <c r="J275" s="862">
        <v>0.19800000000000001</v>
      </c>
      <c r="K275" s="868">
        <f t="shared" si="38"/>
        <v>238</v>
      </c>
      <c r="L275" s="861" t="s">
        <v>1921</v>
      </c>
      <c r="M275" s="671">
        <f t="shared" si="39"/>
        <v>273</v>
      </c>
      <c r="N275" s="671">
        <f t="shared" si="40"/>
        <v>224</v>
      </c>
      <c r="O275" s="671">
        <f t="shared" si="41"/>
        <v>257</v>
      </c>
      <c r="P275" s="861" t="s">
        <v>1922</v>
      </c>
      <c r="Q275" s="861" t="s">
        <v>1923</v>
      </c>
      <c r="R275" s="861" t="s">
        <v>1319</v>
      </c>
      <c r="S275" s="861" t="s">
        <v>1924</v>
      </c>
      <c r="T275" s="866" t="s">
        <v>1925</v>
      </c>
      <c r="U275" s="865"/>
    </row>
    <row r="276" spans="2:21" ht="15">
      <c r="B276" s="861" t="s">
        <v>1926</v>
      </c>
      <c r="C276" s="861" t="s">
        <v>1927</v>
      </c>
      <c r="D276" s="861" t="s">
        <v>371</v>
      </c>
      <c r="E276" s="861"/>
      <c r="F276" s="862"/>
      <c r="G276" s="869">
        <v>0</v>
      </c>
      <c r="H276" s="874">
        <v>766747495.63999999</v>
      </c>
      <c r="I276" s="871">
        <v>35.57</v>
      </c>
      <c r="J276" s="862">
        <v>0.17799999999999999</v>
      </c>
      <c r="K276" s="868">
        <f t="shared" si="38"/>
        <v>316</v>
      </c>
      <c r="L276" s="861"/>
      <c r="M276" s="671">
        <f t="shared" si="39"/>
        <v>274</v>
      </c>
      <c r="N276" s="671">
        <f t="shared" si="40"/>
        <v>123</v>
      </c>
      <c r="O276" s="671">
        <f t="shared" si="41"/>
        <v>294</v>
      </c>
      <c r="P276" s="861"/>
      <c r="Q276" s="861"/>
      <c r="R276" s="861"/>
      <c r="S276" s="861" t="s">
        <v>392</v>
      </c>
      <c r="T276" s="866" t="s">
        <v>1928</v>
      </c>
      <c r="U276" s="865"/>
    </row>
    <row r="277" spans="2:21" ht="15">
      <c r="B277" s="861" t="s">
        <v>1929</v>
      </c>
      <c r="C277" s="861" t="s">
        <v>1930</v>
      </c>
      <c r="D277" s="861" t="s">
        <v>371</v>
      </c>
      <c r="E277" s="861"/>
      <c r="F277" s="862">
        <v>0.126</v>
      </c>
      <c r="G277" s="869">
        <v>5.8281530999999998E-2</v>
      </c>
      <c r="H277" s="874">
        <v>766580952</v>
      </c>
      <c r="I277" s="871">
        <v>3.74</v>
      </c>
      <c r="J277" s="863" t="s">
        <v>1931</v>
      </c>
      <c r="K277" s="868">
        <f t="shared" si="38"/>
        <v>168</v>
      </c>
      <c r="L277" s="861" t="s">
        <v>1932</v>
      </c>
      <c r="M277" s="671">
        <f t="shared" si="39"/>
        <v>275</v>
      </c>
      <c r="N277" s="671">
        <f t="shared" si="40"/>
        <v>281</v>
      </c>
      <c r="O277" s="671" t="str">
        <f t="shared" si="41"/>
        <v>N/A</v>
      </c>
      <c r="P277" s="861" t="s">
        <v>981</v>
      </c>
      <c r="Q277" s="861" t="s">
        <v>1933</v>
      </c>
      <c r="R277" s="861" t="s">
        <v>1626</v>
      </c>
      <c r="S277" s="861" t="s">
        <v>1934</v>
      </c>
      <c r="T277" s="866" t="s">
        <v>1935</v>
      </c>
      <c r="U277" s="865"/>
    </row>
    <row r="278" spans="2:21" ht="15">
      <c r="B278" s="861" t="s">
        <v>1936</v>
      </c>
      <c r="C278" s="861" t="s">
        <v>1937</v>
      </c>
      <c r="D278" s="861" t="s">
        <v>371</v>
      </c>
      <c r="E278" s="861"/>
      <c r="F278" s="862">
        <v>-6.2E-2</v>
      </c>
      <c r="G278" s="869">
        <v>0</v>
      </c>
      <c r="H278" s="874">
        <v>765099214.97000003</v>
      </c>
      <c r="I278" s="871"/>
      <c r="J278" s="862">
        <v>5.0000000000000001E-3</v>
      </c>
      <c r="K278" s="868">
        <f t="shared" si="38"/>
        <v>352</v>
      </c>
      <c r="L278" s="861"/>
      <c r="M278" s="671">
        <f t="shared" si="39"/>
        <v>276</v>
      </c>
      <c r="N278" s="671" t="str">
        <f t="shared" si="40"/>
        <v>N/A</v>
      </c>
      <c r="O278" s="671">
        <f t="shared" si="41"/>
        <v>695</v>
      </c>
      <c r="P278" s="861" t="s">
        <v>1938</v>
      </c>
      <c r="Q278" s="861"/>
      <c r="R278" s="861"/>
      <c r="S278" s="861" t="s">
        <v>404</v>
      </c>
      <c r="T278" s="866" t="s">
        <v>1939</v>
      </c>
      <c r="U278" s="865"/>
    </row>
    <row r="279" spans="2:21" ht="15">
      <c r="B279" s="861" t="s">
        <v>1940</v>
      </c>
      <c r="C279" s="861" t="s">
        <v>1941</v>
      </c>
      <c r="D279" s="861" t="s">
        <v>371</v>
      </c>
      <c r="E279" s="861"/>
      <c r="F279" s="862"/>
      <c r="G279" s="870" t="s">
        <v>1942</v>
      </c>
      <c r="H279" s="874">
        <v>763189774.88999999</v>
      </c>
      <c r="I279" s="871"/>
      <c r="J279" s="862">
        <v>0.222</v>
      </c>
      <c r="K279" s="868">
        <f t="shared" si="38"/>
        <v>316</v>
      </c>
      <c r="L279" s="861"/>
      <c r="M279" s="671">
        <f t="shared" si="39"/>
        <v>277</v>
      </c>
      <c r="N279" s="671" t="str">
        <f t="shared" si="40"/>
        <v>N/A</v>
      </c>
      <c r="O279" s="671">
        <f t="shared" si="41"/>
        <v>220</v>
      </c>
      <c r="P279" s="861" t="s">
        <v>1529</v>
      </c>
      <c r="Q279" s="861" t="s">
        <v>1943</v>
      </c>
      <c r="R279" s="861"/>
      <c r="S279" s="861" t="s">
        <v>1944</v>
      </c>
      <c r="T279" s="866" t="s">
        <v>1945</v>
      </c>
      <c r="U279" s="865"/>
    </row>
    <row r="280" spans="2:21" ht="15">
      <c r="B280" s="861" t="s">
        <v>1946</v>
      </c>
      <c r="C280" s="861" t="s">
        <v>1947</v>
      </c>
      <c r="D280" s="861" t="s">
        <v>371</v>
      </c>
      <c r="E280" s="861"/>
      <c r="F280" s="862">
        <v>5.7000000000000002E-2</v>
      </c>
      <c r="G280" s="869">
        <v>10.80203944</v>
      </c>
      <c r="H280" s="874">
        <v>761094224.19000006</v>
      </c>
      <c r="I280" s="871">
        <v>53.59</v>
      </c>
      <c r="J280" s="863" t="s">
        <v>1948</v>
      </c>
      <c r="K280" s="868">
        <f t="shared" si="38"/>
        <v>247</v>
      </c>
      <c r="L280" s="861"/>
      <c r="M280" s="671">
        <f t="shared" si="39"/>
        <v>278</v>
      </c>
      <c r="N280" s="671">
        <f t="shared" si="40"/>
        <v>83</v>
      </c>
      <c r="O280" s="671" t="str">
        <f t="shared" si="41"/>
        <v>N/A</v>
      </c>
      <c r="P280" s="861" t="s">
        <v>1064</v>
      </c>
      <c r="Q280" s="861" t="s">
        <v>581</v>
      </c>
      <c r="R280" s="861"/>
      <c r="S280" s="861" t="s">
        <v>1617</v>
      </c>
      <c r="T280" s="866" t="s">
        <v>1949</v>
      </c>
      <c r="U280" s="865"/>
    </row>
    <row r="281" spans="2:21" ht="15">
      <c r="B281" s="861" t="s">
        <v>1950</v>
      </c>
      <c r="C281" s="861" t="s">
        <v>1951</v>
      </c>
      <c r="D281" s="861" t="s">
        <v>371</v>
      </c>
      <c r="E281" s="861"/>
      <c r="F281" s="862">
        <v>-0.27400000000000002</v>
      </c>
      <c r="G281" s="869">
        <v>0</v>
      </c>
      <c r="H281" s="874">
        <v>746318926.80999994</v>
      </c>
      <c r="I281" s="871"/>
      <c r="J281" s="863" t="s">
        <v>1952</v>
      </c>
      <c r="K281" s="868">
        <f t="shared" si="38"/>
        <v>439</v>
      </c>
      <c r="L281" s="861"/>
      <c r="M281" s="671">
        <f t="shared" si="39"/>
        <v>279</v>
      </c>
      <c r="N281" s="671" t="str">
        <f t="shared" si="40"/>
        <v>N/A</v>
      </c>
      <c r="O281" s="671" t="str">
        <f t="shared" si="41"/>
        <v>N/A</v>
      </c>
      <c r="P281" s="861" t="s">
        <v>979</v>
      </c>
      <c r="Q281" s="861" t="s">
        <v>1953</v>
      </c>
      <c r="R281" s="861"/>
      <c r="S281" s="861" t="s">
        <v>1073</v>
      </c>
      <c r="T281" s="866" t="s">
        <v>1954</v>
      </c>
      <c r="U281" s="865"/>
    </row>
    <row r="282" spans="2:21" ht="15">
      <c r="B282" s="861" t="s">
        <v>1955</v>
      </c>
      <c r="C282" s="861" t="s">
        <v>1956</v>
      </c>
      <c r="D282" s="861" t="s">
        <v>371</v>
      </c>
      <c r="E282" s="861"/>
      <c r="F282" s="862">
        <v>0.16200000000000001</v>
      </c>
      <c r="G282" s="869">
        <v>0.16318832699999999</v>
      </c>
      <c r="H282" s="874">
        <v>745899694.00999999</v>
      </c>
      <c r="I282" s="872" t="s">
        <v>1957</v>
      </c>
      <c r="J282" s="862">
        <v>1.2E-2</v>
      </c>
      <c r="K282" s="868">
        <f t="shared" si="38"/>
        <v>127</v>
      </c>
      <c r="L282" s="861"/>
      <c r="M282" s="671">
        <f t="shared" si="39"/>
        <v>280</v>
      </c>
      <c r="N282" s="671" t="str">
        <f t="shared" si="40"/>
        <v>N/A</v>
      </c>
      <c r="O282" s="671">
        <f t="shared" si="41"/>
        <v>678</v>
      </c>
      <c r="P282" s="861"/>
      <c r="Q282" s="861"/>
      <c r="R282" s="861"/>
      <c r="S282" s="861" t="s">
        <v>424</v>
      </c>
      <c r="T282" s="866" t="s">
        <v>1958</v>
      </c>
      <c r="U282" s="865"/>
    </row>
    <row r="283" spans="2:21" ht="15">
      <c r="B283" s="861" t="s">
        <v>1959</v>
      </c>
      <c r="C283" s="861" t="s">
        <v>1960</v>
      </c>
      <c r="D283" s="861" t="s">
        <v>371</v>
      </c>
      <c r="E283" s="861"/>
      <c r="F283" s="862"/>
      <c r="G283" s="870" t="s">
        <v>1961</v>
      </c>
      <c r="H283" s="874">
        <v>734296737.71000004</v>
      </c>
      <c r="I283" s="872" t="s">
        <v>1962</v>
      </c>
      <c r="J283" s="863" t="s">
        <v>1963</v>
      </c>
      <c r="K283" s="868">
        <f t="shared" si="38"/>
        <v>316</v>
      </c>
      <c r="L283" s="861" t="s">
        <v>1709</v>
      </c>
      <c r="M283" s="671">
        <f t="shared" si="39"/>
        <v>281</v>
      </c>
      <c r="N283" s="671" t="str">
        <f t="shared" si="40"/>
        <v>N/A</v>
      </c>
      <c r="O283" s="671" t="str">
        <f t="shared" si="41"/>
        <v>N/A</v>
      </c>
      <c r="P283" s="861" t="s">
        <v>1209</v>
      </c>
      <c r="Q283" s="861"/>
      <c r="R283" s="861" t="s">
        <v>655</v>
      </c>
      <c r="S283" s="861" t="s">
        <v>1964</v>
      </c>
      <c r="T283" s="866" t="s">
        <v>1965</v>
      </c>
      <c r="U283" s="865"/>
    </row>
    <row r="284" spans="2:21" ht="15">
      <c r="B284" s="861" t="s">
        <v>1966</v>
      </c>
      <c r="C284" s="861" t="s">
        <v>1967</v>
      </c>
      <c r="D284" s="861" t="s">
        <v>371</v>
      </c>
      <c r="E284" s="861"/>
      <c r="F284" s="862"/>
      <c r="G284" s="870" t="s">
        <v>1968</v>
      </c>
      <c r="H284" s="874">
        <v>733401083.07000005</v>
      </c>
      <c r="I284" s="871"/>
      <c r="J284" s="863" t="s">
        <v>1969</v>
      </c>
      <c r="K284" s="868">
        <f t="shared" si="38"/>
        <v>316</v>
      </c>
      <c r="L284" s="861"/>
      <c r="M284" s="671">
        <f t="shared" si="39"/>
        <v>282</v>
      </c>
      <c r="N284" s="671" t="str">
        <f t="shared" si="40"/>
        <v>N/A</v>
      </c>
      <c r="O284" s="671" t="str">
        <f t="shared" si="41"/>
        <v>N/A</v>
      </c>
      <c r="P284" s="861" t="s">
        <v>1970</v>
      </c>
      <c r="Q284" s="861" t="s">
        <v>1971</v>
      </c>
      <c r="R284" s="861" t="s">
        <v>718</v>
      </c>
      <c r="S284" s="861" t="s">
        <v>1972</v>
      </c>
      <c r="T284" s="866" t="s">
        <v>1973</v>
      </c>
      <c r="U284" s="865"/>
    </row>
    <row r="285" spans="2:21" ht="15">
      <c r="B285" s="861" t="s">
        <v>1974</v>
      </c>
      <c r="C285" s="861" t="s">
        <v>1975</v>
      </c>
      <c r="D285" s="861" t="s">
        <v>371</v>
      </c>
      <c r="E285" s="861"/>
      <c r="F285" s="862">
        <v>-0.18099999999999999</v>
      </c>
      <c r="G285" s="870" t="s">
        <v>1976</v>
      </c>
      <c r="H285" s="874">
        <v>725653947.12</v>
      </c>
      <c r="I285" s="871">
        <v>33.5</v>
      </c>
      <c r="J285" s="862">
        <v>0.33700000000000002</v>
      </c>
      <c r="K285" s="868">
        <f t="shared" si="38"/>
        <v>407</v>
      </c>
      <c r="L285" s="861" t="s">
        <v>1061</v>
      </c>
      <c r="M285" s="671">
        <f t="shared" si="39"/>
        <v>283</v>
      </c>
      <c r="N285" s="671">
        <f t="shared" si="40"/>
        <v>133</v>
      </c>
      <c r="O285" s="671">
        <f t="shared" si="41"/>
        <v>88</v>
      </c>
      <c r="P285" s="861" t="s">
        <v>1977</v>
      </c>
      <c r="Q285" s="861" t="s">
        <v>1978</v>
      </c>
      <c r="R285" s="861" t="s">
        <v>1404</v>
      </c>
      <c r="S285" s="861" t="s">
        <v>1979</v>
      </c>
      <c r="T285" s="866" t="s">
        <v>1980</v>
      </c>
      <c r="U285" s="865"/>
    </row>
    <row r="286" spans="2:21" ht="15">
      <c r="B286" s="861" t="s">
        <v>1981</v>
      </c>
      <c r="C286" s="861" t="s">
        <v>1982</v>
      </c>
      <c r="D286" s="861" t="s">
        <v>371</v>
      </c>
      <c r="E286" s="861"/>
      <c r="F286" s="862">
        <v>0.13500000000000001</v>
      </c>
      <c r="G286" s="869">
        <v>2.0539580609999999</v>
      </c>
      <c r="H286" s="874">
        <v>723445495.88999999</v>
      </c>
      <c r="I286" s="872" t="s">
        <v>1983</v>
      </c>
      <c r="J286" s="862">
        <v>0.193</v>
      </c>
      <c r="K286" s="868">
        <f t="shared" si="38"/>
        <v>158</v>
      </c>
      <c r="L286" s="863" t="s">
        <v>1984</v>
      </c>
      <c r="M286" s="671">
        <f t="shared" si="39"/>
        <v>284</v>
      </c>
      <c r="N286" s="671" t="str">
        <f t="shared" si="40"/>
        <v>N/A</v>
      </c>
      <c r="O286" s="671">
        <f t="shared" si="41"/>
        <v>267</v>
      </c>
      <c r="P286" s="861" t="s">
        <v>550</v>
      </c>
      <c r="Q286" s="861"/>
      <c r="R286" s="863" t="s">
        <v>1985</v>
      </c>
      <c r="S286" s="861" t="s">
        <v>517</v>
      </c>
      <c r="T286" s="866" t="s">
        <v>1986</v>
      </c>
      <c r="U286" s="865"/>
    </row>
    <row r="287" spans="2:21" ht="15">
      <c r="B287" s="861" t="s">
        <v>1987</v>
      </c>
      <c r="C287" s="861" t="s">
        <v>1988</v>
      </c>
      <c r="D287" s="861" t="s">
        <v>371</v>
      </c>
      <c r="E287" s="861"/>
      <c r="F287" s="862">
        <v>1.2E-2</v>
      </c>
      <c r="G287" s="869">
        <v>7.6595744679999997</v>
      </c>
      <c r="H287" s="874">
        <v>721081645.25999999</v>
      </c>
      <c r="I287" s="871"/>
      <c r="J287" s="862">
        <v>0.28599999999999998</v>
      </c>
      <c r="K287" s="868">
        <f t="shared" si="38"/>
        <v>308</v>
      </c>
      <c r="L287" s="861"/>
      <c r="M287" s="671">
        <f t="shared" si="39"/>
        <v>285</v>
      </c>
      <c r="N287" s="671" t="str">
        <f t="shared" si="40"/>
        <v>N/A</v>
      </c>
      <c r="O287" s="671">
        <f t="shared" si="41"/>
        <v>141</v>
      </c>
      <c r="P287" s="861" t="s">
        <v>1989</v>
      </c>
      <c r="Q287" s="861" t="s">
        <v>1990</v>
      </c>
      <c r="R287" s="861"/>
      <c r="S287" s="861" t="s">
        <v>1991</v>
      </c>
      <c r="T287" s="866" t="s">
        <v>1992</v>
      </c>
      <c r="U287" s="865"/>
    </row>
    <row r="288" spans="2:21" ht="15">
      <c r="B288" s="861" t="s">
        <v>1993</v>
      </c>
      <c r="C288" s="861" t="s">
        <v>1994</v>
      </c>
      <c r="D288" s="861" t="s">
        <v>371</v>
      </c>
      <c r="E288" s="861"/>
      <c r="F288" s="862">
        <v>9.2999999999999999E-2</v>
      </c>
      <c r="G288" s="869">
        <v>4.8258090070000002</v>
      </c>
      <c r="H288" s="874">
        <v>720118998.54999995</v>
      </c>
      <c r="I288" s="871">
        <v>13.69</v>
      </c>
      <c r="J288" s="863" t="s">
        <v>1969</v>
      </c>
      <c r="K288" s="868">
        <f t="shared" si="38"/>
        <v>202</v>
      </c>
      <c r="L288" s="861"/>
      <c r="M288" s="671">
        <f t="shared" si="39"/>
        <v>286</v>
      </c>
      <c r="N288" s="671">
        <f t="shared" si="40"/>
        <v>202</v>
      </c>
      <c r="O288" s="671" t="str">
        <f t="shared" si="41"/>
        <v>N/A</v>
      </c>
      <c r="P288" s="863" t="s">
        <v>1995</v>
      </c>
      <c r="Q288" s="861"/>
      <c r="R288" s="861"/>
      <c r="S288" s="861" t="s">
        <v>424</v>
      </c>
      <c r="T288" s="866" t="s">
        <v>1996</v>
      </c>
      <c r="U288" s="865"/>
    </row>
    <row r="289" spans="2:21" ht="15">
      <c r="B289" s="861" t="s">
        <v>1997</v>
      </c>
      <c r="C289" s="861" t="s">
        <v>1998</v>
      </c>
      <c r="D289" s="861" t="s">
        <v>371</v>
      </c>
      <c r="E289" s="861"/>
      <c r="F289" s="862">
        <v>-6.6000000000000003E-2</v>
      </c>
      <c r="G289" s="870" t="s">
        <v>1999</v>
      </c>
      <c r="H289" s="874">
        <v>718258014.46000004</v>
      </c>
      <c r="I289" s="871"/>
      <c r="J289" s="862">
        <v>0.53800000000000003</v>
      </c>
      <c r="K289" s="868">
        <f t="shared" si="38"/>
        <v>358</v>
      </c>
      <c r="L289" s="861"/>
      <c r="M289" s="671">
        <f t="shared" si="39"/>
        <v>287</v>
      </c>
      <c r="N289" s="671" t="str">
        <f t="shared" si="40"/>
        <v>N/A</v>
      </c>
      <c r="O289" s="671">
        <f t="shared" si="41"/>
        <v>16</v>
      </c>
      <c r="P289" s="861"/>
      <c r="Q289" s="861"/>
      <c r="R289" s="861"/>
      <c r="S289" s="861" t="s">
        <v>424</v>
      </c>
      <c r="T289" s="866" t="s">
        <v>2000</v>
      </c>
      <c r="U289" s="865"/>
    </row>
    <row r="290" spans="2:21" ht="15">
      <c r="B290" s="861" t="s">
        <v>2001</v>
      </c>
      <c r="C290" s="861" t="s">
        <v>2002</v>
      </c>
      <c r="D290" s="861" t="s">
        <v>371</v>
      </c>
      <c r="E290" s="861"/>
      <c r="F290" s="862"/>
      <c r="G290" s="869">
        <v>0.45984957599999998</v>
      </c>
      <c r="H290" s="874">
        <v>717627152.38</v>
      </c>
      <c r="I290" s="871"/>
      <c r="J290" s="862">
        <v>0.66</v>
      </c>
      <c r="K290" s="868">
        <f t="shared" si="38"/>
        <v>316</v>
      </c>
      <c r="L290" s="861" t="s">
        <v>526</v>
      </c>
      <c r="M290" s="671">
        <f t="shared" si="39"/>
        <v>288</v>
      </c>
      <c r="N290" s="671" t="str">
        <f t="shared" si="40"/>
        <v>N/A</v>
      </c>
      <c r="O290" s="671">
        <f t="shared" si="41"/>
        <v>7</v>
      </c>
      <c r="P290" s="861" t="s">
        <v>1165</v>
      </c>
      <c r="Q290" s="861" t="s">
        <v>2003</v>
      </c>
      <c r="R290" s="863" t="s">
        <v>1995</v>
      </c>
      <c r="S290" s="861" t="s">
        <v>1538</v>
      </c>
      <c r="T290" s="866" t="s">
        <v>2004</v>
      </c>
      <c r="U290" s="865"/>
    </row>
    <row r="291" spans="2:21" ht="15">
      <c r="B291" s="861" t="s">
        <v>2005</v>
      </c>
      <c r="C291" s="861" t="s">
        <v>2006</v>
      </c>
      <c r="D291" s="861" t="s">
        <v>371</v>
      </c>
      <c r="E291" s="861"/>
      <c r="F291" s="862"/>
      <c r="G291" s="869">
        <v>5.3210990000000001E-3</v>
      </c>
      <c r="H291" s="874">
        <v>710373474.55999994</v>
      </c>
      <c r="I291" s="871"/>
      <c r="J291" s="863" t="s">
        <v>512</v>
      </c>
      <c r="K291" s="868">
        <f t="shared" si="38"/>
        <v>316</v>
      </c>
      <c r="L291" s="861" t="s">
        <v>1659</v>
      </c>
      <c r="M291" s="671">
        <f t="shared" si="39"/>
        <v>289</v>
      </c>
      <c r="N291" s="671" t="str">
        <f t="shared" si="40"/>
        <v>N/A</v>
      </c>
      <c r="O291" s="671" t="str">
        <f t="shared" si="41"/>
        <v>N/A</v>
      </c>
      <c r="P291" s="861" t="s">
        <v>2007</v>
      </c>
      <c r="Q291" s="861" t="s">
        <v>2008</v>
      </c>
      <c r="R291" s="861" t="s">
        <v>1404</v>
      </c>
      <c r="S291" s="861" t="s">
        <v>2009</v>
      </c>
      <c r="T291" s="866" t="s">
        <v>2010</v>
      </c>
      <c r="U291" s="865"/>
    </row>
    <row r="292" spans="2:21" ht="15">
      <c r="B292" s="861" t="s">
        <v>2011</v>
      </c>
      <c r="C292" s="861" t="s">
        <v>2012</v>
      </c>
      <c r="D292" s="861" t="s">
        <v>371</v>
      </c>
      <c r="E292" s="861"/>
      <c r="F292" s="862">
        <v>-6.8000000000000005E-2</v>
      </c>
      <c r="G292" s="870" t="s">
        <v>2013</v>
      </c>
      <c r="H292" s="874">
        <v>709614052.24000001</v>
      </c>
      <c r="I292" s="871"/>
      <c r="J292" s="862">
        <v>0.113</v>
      </c>
      <c r="K292" s="868">
        <f t="shared" si="38"/>
        <v>361</v>
      </c>
      <c r="L292" s="861"/>
      <c r="M292" s="671">
        <f t="shared" si="39"/>
        <v>290</v>
      </c>
      <c r="N292" s="671" t="str">
        <f t="shared" si="40"/>
        <v>N/A</v>
      </c>
      <c r="O292" s="671">
        <f t="shared" si="41"/>
        <v>448</v>
      </c>
      <c r="P292" s="861" t="s">
        <v>1545</v>
      </c>
      <c r="Q292" s="861"/>
      <c r="R292" s="863" t="s">
        <v>2014</v>
      </c>
      <c r="S292" s="861" t="s">
        <v>2015</v>
      </c>
      <c r="T292" s="866" t="s">
        <v>2016</v>
      </c>
      <c r="U292" s="865"/>
    </row>
    <row r="293" spans="2:21" ht="15">
      <c r="B293" s="861" t="s">
        <v>2017</v>
      </c>
      <c r="C293" s="861" t="s">
        <v>2018</v>
      </c>
      <c r="D293" s="861" t="s">
        <v>371</v>
      </c>
      <c r="E293" s="861"/>
      <c r="F293" s="862"/>
      <c r="G293" s="869">
        <v>4.4229339999999999E-3</v>
      </c>
      <c r="H293" s="874">
        <v>708292534.35000002</v>
      </c>
      <c r="I293" s="871"/>
      <c r="J293" s="862">
        <v>0.14099999999999999</v>
      </c>
      <c r="K293" s="868">
        <f t="shared" si="38"/>
        <v>316</v>
      </c>
      <c r="L293" s="861" t="s">
        <v>550</v>
      </c>
      <c r="M293" s="671">
        <f t="shared" si="39"/>
        <v>291</v>
      </c>
      <c r="N293" s="671" t="str">
        <f t="shared" si="40"/>
        <v>N/A</v>
      </c>
      <c r="O293" s="671">
        <f t="shared" si="41"/>
        <v>363</v>
      </c>
      <c r="P293" s="861" t="s">
        <v>942</v>
      </c>
      <c r="Q293" s="861" t="s">
        <v>2019</v>
      </c>
      <c r="R293" s="861"/>
      <c r="S293" s="861" t="s">
        <v>2020</v>
      </c>
      <c r="T293" s="866" t="s">
        <v>2021</v>
      </c>
      <c r="U293" s="865"/>
    </row>
    <row r="294" spans="2:21" ht="15">
      <c r="B294" s="861" t="s">
        <v>2022</v>
      </c>
      <c r="C294" s="861" t="s">
        <v>2023</v>
      </c>
      <c r="D294" s="861" t="s">
        <v>371</v>
      </c>
      <c r="E294" s="861"/>
      <c r="F294" s="862">
        <v>0.09</v>
      </c>
      <c r="G294" s="869">
        <v>0.87499954700000004</v>
      </c>
      <c r="H294" s="874">
        <v>706197173.42999995</v>
      </c>
      <c r="I294" s="871"/>
      <c r="J294" s="863" t="s">
        <v>2024</v>
      </c>
      <c r="K294" s="868">
        <f t="shared" si="38"/>
        <v>204</v>
      </c>
      <c r="L294" s="861" t="s">
        <v>1497</v>
      </c>
      <c r="M294" s="671">
        <f t="shared" si="39"/>
        <v>292</v>
      </c>
      <c r="N294" s="671" t="str">
        <f t="shared" si="40"/>
        <v>N/A</v>
      </c>
      <c r="O294" s="671" t="str">
        <f t="shared" si="41"/>
        <v>N/A</v>
      </c>
      <c r="P294" s="861" t="s">
        <v>1062</v>
      </c>
      <c r="Q294" s="861" t="s">
        <v>2025</v>
      </c>
      <c r="R294" s="861" t="s">
        <v>1369</v>
      </c>
      <c r="S294" s="861" t="s">
        <v>2026</v>
      </c>
      <c r="T294" s="866" t="s">
        <v>2027</v>
      </c>
      <c r="U294" s="865"/>
    </row>
    <row r="295" spans="2:21" ht="15">
      <c r="B295" s="861" t="s">
        <v>2028</v>
      </c>
      <c r="C295" s="861" t="s">
        <v>2029</v>
      </c>
      <c r="D295" s="861" t="s">
        <v>371</v>
      </c>
      <c r="E295" s="861"/>
      <c r="F295" s="862">
        <v>-0.11899999999999999</v>
      </c>
      <c r="G295" s="870" t="s">
        <v>2030</v>
      </c>
      <c r="H295" s="874">
        <v>705440838.15999997</v>
      </c>
      <c r="I295" s="871"/>
      <c r="J295" s="862">
        <v>0.19700000000000001</v>
      </c>
      <c r="K295" s="868">
        <f t="shared" si="38"/>
        <v>390</v>
      </c>
      <c r="L295" s="861"/>
      <c r="M295" s="671">
        <f t="shared" si="39"/>
        <v>293</v>
      </c>
      <c r="N295" s="671" t="str">
        <f t="shared" si="40"/>
        <v>N/A</v>
      </c>
      <c r="O295" s="671">
        <f t="shared" si="41"/>
        <v>258</v>
      </c>
      <c r="P295" s="861"/>
      <c r="Q295" s="861"/>
      <c r="R295" s="861"/>
      <c r="S295" s="861" t="s">
        <v>404</v>
      </c>
      <c r="T295" s="866" t="s">
        <v>2031</v>
      </c>
      <c r="U295" s="865"/>
    </row>
    <row r="296" spans="2:21" ht="15">
      <c r="B296" s="861" t="s">
        <v>2032</v>
      </c>
      <c r="C296" s="861" t="s">
        <v>2033</v>
      </c>
      <c r="D296" s="861" t="s">
        <v>371</v>
      </c>
      <c r="E296" s="861"/>
      <c r="F296" s="862">
        <v>0.106</v>
      </c>
      <c r="G296" s="869">
        <v>7.1001544E-2</v>
      </c>
      <c r="H296" s="874">
        <v>699860777.69000006</v>
      </c>
      <c r="I296" s="871"/>
      <c r="J296" s="862">
        <v>0.14799999999999999</v>
      </c>
      <c r="K296" s="868">
        <f t="shared" si="38"/>
        <v>188</v>
      </c>
      <c r="L296" s="861"/>
      <c r="M296" s="671">
        <f t="shared" si="39"/>
        <v>294</v>
      </c>
      <c r="N296" s="671" t="str">
        <f t="shared" si="40"/>
        <v>N/A</v>
      </c>
      <c r="O296" s="671">
        <f t="shared" si="41"/>
        <v>349</v>
      </c>
      <c r="P296" s="861" t="s">
        <v>682</v>
      </c>
      <c r="Q296" s="861" t="s">
        <v>2034</v>
      </c>
      <c r="R296" s="861" t="s">
        <v>424</v>
      </c>
      <c r="S296" s="861" t="s">
        <v>459</v>
      </c>
      <c r="T296" s="866" t="s">
        <v>2035</v>
      </c>
      <c r="U296" s="865"/>
    </row>
    <row r="297" spans="2:21" ht="15">
      <c r="B297" s="861" t="s">
        <v>2036</v>
      </c>
      <c r="C297" s="861" t="s">
        <v>2037</v>
      </c>
      <c r="D297" s="861" t="s">
        <v>371</v>
      </c>
      <c r="E297" s="861"/>
      <c r="F297" s="862">
        <v>5.8999999999999997E-2</v>
      </c>
      <c r="G297" s="869">
        <v>7.5871187129999997</v>
      </c>
      <c r="H297" s="874">
        <v>697660115.20000005</v>
      </c>
      <c r="I297" s="872" t="s">
        <v>2038</v>
      </c>
      <c r="J297" s="863" t="s">
        <v>2039</v>
      </c>
      <c r="K297" s="868">
        <f t="shared" si="38"/>
        <v>242</v>
      </c>
      <c r="L297" s="861"/>
      <c r="M297" s="671">
        <f t="shared" si="39"/>
        <v>295</v>
      </c>
      <c r="N297" s="671" t="str">
        <f t="shared" si="40"/>
        <v>N/A</v>
      </c>
      <c r="O297" s="671" t="str">
        <f t="shared" si="41"/>
        <v>N/A</v>
      </c>
      <c r="P297" s="861"/>
      <c r="Q297" s="861"/>
      <c r="R297" s="861"/>
      <c r="S297" s="861" t="s">
        <v>424</v>
      </c>
      <c r="T297" s="866" t="s">
        <v>2040</v>
      </c>
      <c r="U297" s="865"/>
    </row>
    <row r="298" spans="2:21" ht="15">
      <c r="B298" s="861" t="s">
        <v>2041</v>
      </c>
      <c r="C298" s="861" t="s">
        <v>2042</v>
      </c>
      <c r="D298" s="861" t="s">
        <v>371</v>
      </c>
      <c r="E298" s="861"/>
      <c r="F298" s="862">
        <v>2.1999999999999999E-2</v>
      </c>
      <c r="G298" s="870" t="s">
        <v>2043</v>
      </c>
      <c r="H298" s="874">
        <v>697309040.85000002</v>
      </c>
      <c r="I298" s="871"/>
      <c r="J298" s="863" t="s">
        <v>2044</v>
      </c>
      <c r="K298" s="868">
        <f t="shared" si="38"/>
        <v>296</v>
      </c>
      <c r="L298" s="861" t="s">
        <v>404</v>
      </c>
      <c r="M298" s="671">
        <f t="shared" si="39"/>
        <v>296</v>
      </c>
      <c r="N298" s="671" t="str">
        <f t="shared" si="40"/>
        <v>N/A</v>
      </c>
      <c r="O298" s="671" t="str">
        <f t="shared" si="41"/>
        <v>N/A</v>
      </c>
      <c r="P298" s="861" t="s">
        <v>500</v>
      </c>
      <c r="Q298" s="861"/>
      <c r="R298" s="861" t="s">
        <v>404</v>
      </c>
      <c r="S298" s="861" t="s">
        <v>1384</v>
      </c>
      <c r="T298" s="866" t="s">
        <v>2045</v>
      </c>
      <c r="U298" s="865"/>
    </row>
    <row r="299" spans="2:21" ht="15">
      <c r="B299" s="861" t="s">
        <v>2046</v>
      </c>
      <c r="C299" s="861" t="s">
        <v>2047</v>
      </c>
      <c r="D299" s="861" t="s">
        <v>371</v>
      </c>
      <c r="E299" s="861"/>
      <c r="F299" s="862"/>
      <c r="G299" s="869">
        <v>0.19643508400000001</v>
      </c>
      <c r="H299" s="874">
        <v>695363724.03999996</v>
      </c>
      <c r="I299" s="871">
        <v>69.36</v>
      </c>
      <c r="J299" s="862">
        <v>0.104</v>
      </c>
      <c r="K299" s="868">
        <f t="shared" si="38"/>
        <v>316</v>
      </c>
      <c r="L299" s="861"/>
      <c r="M299" s="671">
        <f t="shared" si="39"/>
        <v>297</v>
      </c>
      <c r="N299" s="671">
        <f t="shared" si="40"/>
        <v>57</v>
      </c>
      <c r="O299" s="671">
        <f t="shared" si="41"/>
        <v>475</v>
      </c>
      <c r="P299" s="861" t="s">
        <v>2048</v>
      </c>
      <c r="Q299" s="861" t="s">
        <v>2049</v>
      </c>
      <c r="R299" s="861"/>
      <c r="S299" s="861" t="s">
        <v>2050</v>
      </c>
      <c r="T299" s="866" t="s">
        <v>2051</v>
      </c>
      <c r="U299" s="865"/>
    </row>
    <row r="300" spans="2:21" ht="15">
      <c r="B300" s="861" t="s">
        <v>2052</v>
      </c>
      <c r="C300" s="861" t="s">
        <v>2053</v>
      </c>
      <c r="D300" s="861" t="s">
        <v>371</v>
      </c>
      <c r="E300" s="861"/>
      <c r="F300" s="862"/>
      <c r="G300" s="869">
        <v>0.71401869200000001</v>
      </c>
      <c r="H300" s="874">
        <v>693136027.16999996</v>
      </c>
      <c r="I300" s="871"/>
      <c r="J300" s="862">
        <v>4.1000000000000002E-2</v>
      </c>
      <c r="K300" s="868">
        <f t="shared" si="38"/>
        <v>316</v>
      </c>
      <c r="L300" s="861"/>
      <c r="M300" s="671">
        <f t="shared" si="39"/>
        <v>298</v>
      </c>
      <c r="N300" s="671" t="str">
        <f t="shared" si="40"/>
        <v>N/A</v>
      </c>
      <c r="O300" s="671">
        <f t="shared" si="41"/>
        <v>626</v>
      </c>
      <c r="P300" s="861" t="s">
        <v>2054</v>
      </c>
      <c r="Q300" s="861"/>
      <c r="R300" s="861"/>
      <c r="S300" s="861" t="s">
        <v>404</v>
      </c>
      <c r="T300" s="866" t="s">
        <v>2055</v>
      </c>
      <c r="U300" s="865"/>
    </row>
    <row r="301" spans="2:21" ht="15">
      <c r="B301" s="861" t="s">
        <v>2056</v>
      </c>
      <c r="C301" s="861" t="s">
        <v>2057</v>
      </c>
      <c r="D301" s="861" t="s">
        <v>371</v>
      </c>
      <c r="E301" s="861"/>
      <c r="F301" s="862"/>
      <c r="G301" s="869">
        <v>6.6581853869999996</v>
      </c>
      <c r="H301" s="874">
        <v>693035340.13</v>
      </c>
      <c r="I301" s="871"/>
      <c r="J301" s="862">
        <v>0.15</v>
      </c>
      <c r="K301" s="868">
        <f t="shared" si="38"/>
        <v>316</v>
      </c>
      <c r="L301" s="861"/>
      <c r="M301" s="671">
        <f t="shared" si="39"/>
        <v>299</v>
      </c>
      <c r="N301" s="671" t="str">
        <f t="shared" si="40"/>
        <v>N/A</v>
      </c>
      <c r="O301" s="671">
        <f t="shared" si="41"/>
        <v>340</v>
      </c>
      <c r="P301" s="861"/>
      <c r="Q301" s="861"/>
      <c r="R301" s="861"/>
      <c r="S301" s="861" t="s">
        <v>2058</v>
      </c>
      <c r="T301" s="866" t="s">
        <v>2059</v>
      </c>
      <c r="U301" s="865"/>
    </row>
    <row r="302" spans="2:21" ht="15">
      <c r="B302" s="861" t="s">
        <v>2060</v>
      </c>
      <c r="C302" s="861" t="s">
        <v>2061</v>
      </c>
      <c r="D302" s="861" t="s">
        <v>371</v>
      </c>
      <c r="E302" s="861"/>
      <c r="F302" s="862"/>
      <c r="G302" s="869">
        <v>3.7097969999999999E-3</v>
      </c>
      <c r="H302" s="874">
        <v>691636825.69000006</v>
      </c>
      <c r="I302" s="871"/>
      <c r="J302" s="862">
        <v>0.41099999999999998</v>
      </c>
      <c r="K302" s="868">
        <f t="shared" si="38"/>
        <v>316</v>
      </c>
      <c r="L302" s="861" t="s">
        <v>2062</v>
      </c>
      <c r="M302" s="671">
        <f t="shared" si="39"/>
        <v>300</v>
      </c>
      <c r="N302" s="671" t="str">
        <f t="shared" si="40"/>
        <v>N/A</v>
      </c>
      <c r="O302" s="671">
        <f t="shared" si="41"/>
        <v>54</v>
      </c>
      <c r="P302" s="861" t="s">
        <v>838</v>
      </c>
      <c r="Q302" s="861" t="s">
        <v>2063</v>
      </c>
      <c r="R302" s="861" t="s">
        <v>1020</v>
      </c>
      <c r="S302" s="861" t="s">
        <v>2064</v>
      </c>
      <c r="T302" s="866" t="s">
        <v>2065</v>
      </c>
      <c r="U302" s="865"/>
    </row>
    <row r="303" spans="2:21" ht="15">
      <c r="B303" s="861" t="s">
        <v>2066</v>
      </c>
      <c r="C303" s="861" t="s">
        <v>2067</v>
      </c>
      <c r="D303" s="861" t="s">
        <v>371</v>
      </c>
      <c r="E303" s="861"/>
      <c r="F303" s="862">
        <v>0.252</v>
      </c>
      <c r="G303" s="869">
        <v>2.4780372220000002</v>
      </c>
      <c r="H303" s="874">
        <v>691537225.87</v>
      </c>
      <c r="I303" s="871"/>
      <c r="J303" s="862">
        <v>3.6999999999999998E-2</v>
      </c>
      <c r="K303" s="868">
        <f t="shared" si="38"/>
        <v>69</v>
      </c>
      <c r="L303" s="861" t="s">
        <v>734</v>
      </c>
      <c r="M303" s="671">
        <f t="shared" si="39"/>
        <v>301</v>
      </c>
      <c r="N303" s="671" t="str">
        <f t="shared" si="40"/>
        <v>N/A</v>
      </c>
      <c r="O303" s="671">
        <f t="shared" si="41"/>
        <v>635</v>
      </c>
      <c r="P303" s="861" t="s">
        <v>2068</v>
      </c>
      <c r="Q303" s="861" t="s">
        <v>781</v>
      </c>
      <c r="R303" s="861"/>
      <c r="S303" s="861" t="s">
        <v>2069</v>
      </c>
      <c r="T303" s="866" t="s">
        <v>2070</v>
      </c>
      <c r="U303" s="865"/>
    </row>
    <row r="304" spans="2:21" ht="15">
      <c r="B304" s="861" t="s">
        <v>2071</v>
      </c>
      <c r="C304" s="861" t="s">
        <v>2072</v>
      </c>
      <c r="D304" s="861" t="s">
        <v>371</v>
      </c>
      <c r="E304" s="861"/>
      <c r="F304" s="862">
        <v>9.8000000000000004E-2</v>
      </c>
      <c r="G304" s="869">
        <v>8.6785769999999998E-2</v>
      </c>
      <c r="H304" s="874">
        <v>690872802.24000001</v>
      </c>
      <c r="I304" s="871">
        <v>151.04</v>
      </c>
      <c r="J304" s="863" t="s">
        <v>2073</v>
      </c>
      <c r="K304" s="868">
        <f t="shared" si="38"/>
        <v>193</v>
      </c>
      <c r="L304" s="861"/>
      <c r="M304" s="671">
        <f t="shared" si="39"/>
        <v>302</v>
      </c>
      <c r="N304" s="671">
        <f t="shared" si="40"/>
        <v>14</v>
      </c>
      <c r="O304" s="671" t="str">
        <f t="shared" si="41"/>
        <v>N/A</v>
      </c>
      <c r="P304" s="861" t="s">
        <v>616</v>
      </c>
      <c r="Q304" s="861" t="s">
        <v>2074</v>
      </c>
      <c r="R304" s="861"/>
      <c r="S304" s="861" t="s">
        <v>1497</v>
      </c>
      <c r="T304" s="866" t="s">
        <v>2075</v>
      </c>
      <c r="U304" s="865"/>
    </row>
    <row r="305" spans="2:21" ht="15">
      <c r="B305" s="861" t="s">
        <v>2076</v>
      </c>
      <c r="C305" s="861" t="s">
        <v>2077</v>
      </c>
      <c r="D305" s="861" t="s">
        <v>371</v>
      </c>
      <c r="E305" s="861"/>
      <c r="F305" s="862"/>
      <c r="G305" s="870" t="s">
        <v>2078</v>
      </c>
      <c r="H305" s="874">
        <v>689703114.79999995</v>
      </c>
      <c r="I305" s="871"/>
      <c r="J305" s="863" t="s">
        <v>2079</v>
      </c>
      <c r="K305" s="868">
        <f t="shared" si="38"/>
        <v>316</v>
      </c>
      <c r="L305" s="861"/>
      <c r="M305" s="671">
        <f t="shared" si="39"/>
        <v>303</v>
      </c>
      <c r="N305" s="671" t="str">
        <f t="shared" si="40"/>
        <v>N/A</v>
      </c>
      <c r="O305" s="671" t="str">
        <f t="shared" si="41"/>
        <v>N/A</v>
      </c>
      <c r="P305" s="861" t="s">
        <v>2080</v>
      </c>
      <c r="Q305" s="861"/>
      <c r="R305" s="861"/>
      <c r="S305" s="861" t="s">
        <v>2081</v>
      </c>
      <c r="T305" s="866" t="s">
        <v>2082</v>
      </c>
      <c r="U305" s="865"/>
    </row>
    <row r="306" spans="2:21" ht="15">
      <c r="B306" s="861" t="s">
        <v>2083</v>
      </c>
      <c r="C306" s="861" t="s">
        <v>2084</v>
      </c>
      <c r="D306" s="861" t="s">
        <v>371</v>
      </c>
      <c r="E306" s="861"/>
      <c r="F306" s="862">
        <v>7.2999999999999995E-2</v>
      </c>
      <c r="G306" s="870" t="s">
        <v>2085</v>
      </c>
      <c r="H306" s="874">
        <v>688640393.95000005</v>
      </c>
      <c r="I306" s="871"/>
      <c r="J306" s="862">
        <v>0.18099999999999999</v>
      </c>
      <c r="K306" s="868">
        <f t="shared" si="38"/>
        <v>222</v>
      </c>
      <c r="L306" s="861"/>
      <c r="M306" s="671">
        <f t="shared" si="39"/>
        <v>304</v>
      </c>
      <c r="N306" s="671" t="str">
        <f t="shared" si="40"/>
        <v>N/A</v>
      </c>
      <c r="O306" s="671">
        <f t="shared" si="41"/>
        <v>287</v>
      </c>
      <c r="P306" s="861" t="s">
        <v>690</v>
      </c>
      <c r="Q306" s="861" t="s">
        <v>2086</v>
      </c>
      <c r="R306" s="863" t="s">
        <v>1522</v>
      </c>
      <c r="S306" s="861" t="s">
        <v>825</v>
      </c>
      <c r="T306" s="866" t="s">
        <v>2087</v>
      </c>
      <c r="U306" s="865"/>
    </row>
    <row r="307" spans="2:21" ht="15">
      <c r="B307" s="861" t="s">
        <v>2088</v>
      </c>
      <c r="C307" s="861" t="s">
        <v>2089</v>
      </c>
      <c r="D307" s="861" t="s">
        <v>371</v>
      </c>
      <c r="E307" s="861"/>
      <c r="F307" s="862">
        <v>0.108</v>
      </c>
      <c r="G307" s="869">
        <v>4.5357742999999999E-2</v>
      </c>
      <c r="H307" s="874">
        <v>682689924.64999998</v>
      </c>
      <c r="I307" s="871"/>
      <c r="J307" s="862">
        <v>0.314</v>
      </c>
      <c r="K307" s="868">
        <f t="shared" si="38"/>
        <v>186</v>
      </c>
      <c r="L307" s="861"/>
      <c r="M307" s="671">
        <f t="shared" si="39"/>
        <v>305</v>
      </c>
      <c r="N307" s="671" t="str">
        <f t="shared" si="40"/>
        <v>N/A</v>
      </c>
      <c r="O307" s="671">
        <f t="shared" si="41"/>
        <v>109</v>
      </c>
      <c r="P307" s="861"/>
      <c r="Q307" s="861"/>
      <c r="R307" s="861"/>
      <c r="S307" s="861" t="s">
        <v>424</v>
      </c>
      <c r="T307" s="866" t="s">
        <v>2090</v>
      </c>
      <c r="U307" s="865"/>
    </row>
    <row r="308" spans="2:21" ht="15">
      <c r="B308" s="861" t="s">
        <v>2091</v>
      </c>
      <c r="C308" s="861" t="s">
        <v>2092</v>
      </c>
      <c r="D308" s="861" t="s">
        <v>371</v>
      </c>
      <c r="E308" s="861"/>
      <c r="F308" s="862">
        <v>0.17100000000000001</v>
      </c>
      <c r="G308" s="869">
        <v>1.286900009</v>
      </c>
      <c r="H308" s="874">
        <v>682525586.73000002</v>
      </c>
      <c r="I308" s="871">
        <v>4.18</v>
      </c>
      <c r="J308" s="863" t="s">
        <v>2093</v>
      </c>
      <c r="K308" s="868">
        <f t="shared" si="38"/>
        <v>119</v>
      </c>
      <c r="L308" s="863" t="s">
        <v>2094</v>
      </c>
      <c r="M308" s="671">
        <f t="shared" si="39"/>
        <v>306</v>
      </c>
      <c r="N308" s="671">
        <f t="shared" si="40"/>
        <v>275</v>
      </c>
      <c r="O308" s="671" t="str">
        <f t="shared" si="41"/>
        <v>N/A</v>
      </c>
      <c r="P308" s="861" t="s">
        <v>784</v>
      </c>
      <c r="Q308" s="861" t="s">
        <v>2095</v>
      </c>
      <c r="R308" s="861" t="s">
        <v>557</v>
      </c>
      <c r="S308" s="861" t="s">
        <v>2096</v>
      </c>
      <c r="T308" s="866" t="s">
        <v>2097</v>
      </c>
      <c r="U308" s="865"/>
    </row>
    <row r="309" spans="2:21" ht="15">
      <c r="B309" s="861" t="s">
        <v>2098</v>
      </c>
      <c r="C309" s="861" t="s">
        <v>2099</v>
      </c>
      <c r="D309" s="861" t="s">
        <v>371</v>
      </c>
      <c r="E309" s="861"/>
      <c r="F309" s="862">
        <v>-0.503</v>
      </c>
      <c r="G309" s="870" t="s">
        <v>2100</v>
      </c>
      <c r="H309" s="874">
        <v>681581487.60000002</v>
      </c>
      <c r="I309" s="872" t="s">
        <v>2101</v>
      </c>
      <c r="J309" s="863" t="s">
        <v>2102</v>
      </c>
      <c r="K309" s="868">
        <f t="shared" si="38"/>
        <v>477</v>
      </c>
      <c r="L309" s="861" t="s">
        <v>1574</v>
      </c>
      <c r="M309" s="671">
        <f t="shared" si="39"/>
        <v>307</v>
      </c>
      <c r="N309" s="671" t="str">
        <f t="shared" si="40"/>
        <v>N/A</v>
      </c>
      <c r="O309" s="671" t="str">
        <f t="shared" si="41"/>
        <v>N/A</v>
      </c>
      <c r="P309" s="861" t="s">
        <v>2103</v>
      </c>
      <c r="Q309" s="861" t="s">
        <v>2104</v>
      </c>
      <c r="R309" s="861" t="s">
        <v>964</v>
      </c>
      <c r="S309" s="861" t="s">
        <v>2105</v>
      </c>
      <c r="T309" s="866" t="s">
        <v>2106</v>
      </c>
      <c r="U309" s="865"/>
    </row>
    <row r="310" spans="2:21" ht="15">
      <c r="B310" s="861" t="s">
        <v>2107</v>
      </c>
      <c r="C310" s="861" t="s">
        <v>2108</v>
      </c>
      <c r="D310" s="861" t="s">
        <v>371</v>
      </c>
      <c r="E310" s="861"/>
      <c r="F310" s="862"/>
      <c r="G310" s="869">
        <v>0</v>
      </c>
      <c r="H310" s="874">
        <v>680995424.52999997</v>
      </c>
      <c r="I310" s="872" t="s">
        <v>2109</v>
      </c>
      <c r="J310" s="862">
        <v>0.26600000000000001</v>
      </c>
      <c r="K310" s="868">
        <f t="shared" si="38"/>
        <v>316</v>
      </c>
      <c r="L310" s="861" t="s">
        <v>2110</v>
      </c>
      <c r="M310" s="671">
        <f t="shared" si="39"/>
        <v>308</v>
      </c>
      <c r="N310" s="671" t="str">
        <f t="shared" si="40"/>
        <v>N/A</v>
      </c>
      <c r="O310" s="671">
        <f t="shared" si="41"/>
        <v>159</v>
      </c>
      <c r="P310" s="861" t="s">
        <v>2111</v>
      </c>
      <c r="Q310" s="861" t="s">
        <v>2112</v>
      </c>
      <c r="R310" s="861" t="s">
        <v>698</v>
      </c>
      <c r="S310" s="861" t="s">
        <v>2113</v>
      </c>
      <c r="T310" s="866" t="s">
        <v>2114</v>
      </c>
      <c r="U310" s="865"/>
    </row>
    <row r="311" spans="2:21" ht="15">
      <c r="B311" s="861" t="s">
        <v>2115</v>
      </c>
      <c r="C311" s="861" t="s">
        <v>2116</v>
      </c>
      <c r="D311" s="861" t="s">
        <v>371</v>
      </c>
      <c r="E311" s="861"/>
      <c r="F311" s="862">
        <v>5.1999999999999998E-2</v>
      </c>
      <c r="G311" s="869">
        <v>5.9659271760000001</v>
      </c>
      <c r="H311" s="874">
        <v>677100413.65999997</v>
      </c>
      <c r="I311" s="871">
        <v>80.75</v>
      </c>
      <c r="J311" s="861"/>
      <c r="K311" s="868">
        <f t="shared" si="38"/>
        <v>253</v>
      </c>
      <c r="L311" s="861"/>
      <c r="M311" s="671">
        <f t="shared" si="39"/>
        <v>309</v>
      </c>
      <c r="N311" s="671">
        <f t="shared" si="40"/>
        <v>47</v>
      </c>
      <c r="O311" s="671">
        <f t="shared" si="41"/>
        <v>708</v>
      </c>
      <c r="P311" s="861" t="s">
        <v>2117</v>
      </c>
      <c r="Q311" s="861" t="s">
        <v>2118</v>
      </c>
      <c r="R311" s="861"/>
      <c r="S311" s="861" t="s">
        <v>1989</v>
      </c>
      <c r="T311" s="866" t="s">
        <v>2119</v>
      </c>
      <c r="U311" s="865"/>
    </row>
    <row r="312" spans="2:21" ht="15">
      <c r="B312" s="861" t="s">
        <v>2120</v>
      </c>
      <c r="C312" s="861" t="s">
        <v>2121</v>
      </c>
      <c r="D312" s="861" t="s">
        <v>371</v>
      </c>
      <c r="E312" s="861"/>
      <c r="F312" s="862">
        <v>0.17599999999999999</v>
      </c>
      <c r="G312" s="869">
        <v>2.9486767390000002</v>
      </c>
      <c r="H312" s="874">
        <v>676653044.60000002</v>
      </c>
      <c r="I312" s="871">
        <v>13.72</v>
      </c>
      <c r="J312" s="862">
        <v>0.24199999999999999</v>
      </c>
      <c r="K312" s="868">
        <f t="shared" si="38"/>
        <v>112</v>
      </c>
      <c r="L312" s="861"/>
      <c r="M312" s="671">
        <f t="shared" si="39"/>
        <v>310</v>
      </c>
      <c r="N312" s="671">
        <f t="shared" si="40"/>
        <v>201</v>
      </c>
      <c r="O312" s="671">
        <f t="shared" si="41"/>
        <v>194</v>
      </c>
      <c r="P312" s="861"/>
      <c r="Q312" s="861"/>
      <c r="R312" s="861"/>
      <c r="S312" s="861" t="s">
        <v>931</v>
      </c>
      <c r="T312" s="866" t="s">
        <v>2122</v>
      </c>
      <c r="U312" s="865"/>
    </row>
    <row r="313" spans="2:21" ht="15">
      <c r="B313" s="861" t="s">
        <v>2123</v>
      </c>
      <c r="C313" s="861" t="s">
        <v>2124</v>
      </c>
      <c r="D313" s="861" t="s">
        <v>371</v>
      </c>
      <c r="E313" s="861"/>
      <c r="F313" s="862">
        <v>2.5999999999999999E-2</v>
      </c>
      <c r="G313" s="869">
        <v>1.7726545499999999</v>
      </c>
      <c r="H313" s="874">
        <v>674911873.19000006</v>
      </c>
      <c r="I313" s="871"/>
      <c r="J313" s="862">
        <v>5.1999999999999998E-2</v>
      </c>
      <c r="K313" s="868">
        <f t="shared" si="38"/>
        <v>291</v>
      </c>
      <c r="L313" s="861"/>
      <c r="M313" s="671">
        <f t="shared" si="39"/>
        <v>311</v>
      </c>
      <c r="N313" s="671" t="str">
        <f t="shared" si="40"/>
        <v>N/A</v>
      </c>
      <c r="O313" s="671">
        <f t="shared" si="41"/>
        <v>596</v>
      </c>
      <c r="P313" s="861"/>
      <c r="Q313" s="861"/>
      <c r="R313" s="861"/>
      <c r="S313" s="861" t="s">
        <v>424</v>
      </c>
      <c r="T313" s="866" t="s">
        <v>2125</v>
      </c>
      <c r="U313" s="865"/>
    </row>
    <row r="314" spans="2:21" ht="15">
      <c r="B314" s="861" t="s">
        <v>2126</v>
      </c>
      <c r="C314" s="861" t="s">
        <v>2127</v>
      </c>
      <c r="D314" s="861" t="s">
        <v>371</v>
      </c>
      <c r="E314" s="861"/>
      <c r="F314" s="862"/>
      <c r="G314" s="869">
        <v>3.6802169939999998</v>
      </c>
      <c r="H314" s="874">
        <v>664171545.15999997</v>
      </c>
      <c r="I314" s="871">
        <v>55.39</v>
      </c>
      <c r="J314" s="863" t="s">
        <v>2128</v>
      </c>
      <c r="K314" s="868">
        <f t="shared" si="38"/>
        <v>316</v>
      </c>
      <c r="L314" s="861"/>
      <c r="M314" s="671">
        <f t="shared" si="39"/>
        <v>312</v>
      </c>
      <c r="N314" s="671">
        <f t="shared" si="40"/>
        <v>81</v>
      </c>
      <c r="O314" s="671" t="str">
        <f t="shared" si="41"/>
        <v>N/A</v>
      </c>
      <c r="P314" s="861"/>
      <c r="Q314" s="861"/>
      <c r="R314" s="861"/>
      <c r="S314" s="861" t="s">
        <v>2069</v>
      </c>
      <c r="T314" s="866" t="s">
        <v>2129</v>
      </c>
      <c r="U314" s="865"/>
    </row>
    <row r="315" spans="2:21" ht="15">
      <c r="B315" s="861" t="s">
        <v>2130</v>
      </c>
      <c r="C315" s="861" t="s">
        <v>2131</v>
      </c>
      <c r="D315" s="861" t="s">
        <v>371</v>
      </c>
      <c r="E315" s="861"/>
      <c r="F315" s="862">
        <v>-0.317</v>
      </c>
      <c r="G315" s="870" t="s">
        <v>2132</v>
      </c>
      <c r="H315" s="874">
        <v>658100074.95000005</v>
      </c>
      <c r="I315" s="872" t="s">
        <v>2133</v>
      </c>
      <c r="J315" s="863" t="s">
        <v>799</v>
      </c>
      <c r="K315" s="868">
        <f t="shared" si="38"/>
        <v>450</v>
      </c>
      <c r="L315" s="861"/>
      <c r="M315" s="671">
        <f t="shared" si="39"/>
        <v>313</v>
      </c>
      <c r="N315" s="671" t="str">
        <f t="shared" si="40"/>
        <v>N/A</v>
      </c>
      <c r="O315" s="671" t="str">
        <f t="shared" si="41"/>
        <v>N/A</v>
      </c>
      <c r="P315" s="861" t="s">
        <v>2134</v>
      </c>
      <c r="Q315" s="861" t="s">
        <v>2135</v>
      </c>
      <c r="R315" s="861" t="s">
        <v>404</v>
      </c>
      <c r="S315" s="861" t="s">
        <v>2136</v>
      </c>
      <c r="T315" s="866" t="s">
        <v>2137</v>
      </c>
      <c r="U315" s="865"/>
    </row>
    <row r="316" spans="2:21" ht="15">
      <c r="B316" s="861" t="s">
        <v>2138</v>
      </c>
      <c r="C316" s="861" t="s">
        <v>2139</v>
      </c>
      <c r="D316" s="861" t="s">
        <v>371</v>
      </c>
      <c r="E316" s="861"/>
      <c r="F316" s="862">
        <v>8.8999999999999996E-2</v>
      </c>
      <c r="G316" s="869">
        <v>0</v>
      </c>
      <c r="H316" s="874">
        <v>657285462.05999994</v>
      </c>
      <c r="I316" s="871"/>
      <c r="J316" s="863" t="s">
        <v>789</v>
      </c>
      <c r="K316" s="868">
        <f t="shared" si="38"/>
        <v>206</v>
      </c>
      <c r="L316" s="861"/>
      <c r="M316" s="671">
        <f t="shared" si="39"/>
        <v>314</v>
      </c>
      <c r="N316" s="671" t="str">
        <f t="shared" si="40"/>
        <v>N/A</v>
      </c>
      <c r="O316" s="671" t="str">
        <f t="shared" si="41"/>
        <v>N/A</v>
      </c>
      <c r="P316" s="861" t="s">
        <v>467</v>
      </c>
      <c r="Q316" s="861" t="s">
        <v>615</v>
      </c>
      <c r="R316" s="861"/>
      <c r="S316" s="861" t="s">
        <v>2140</v>
      </c>
      <c r="T316" s="866" t="s">
        <v>2141</v>
      </c>
      <c r="U316" s="865"/>
    </row>
    <row r="317" spans="2:21" ht="15">
      <c r="B317" s="861" t="s">
        <v>2142</v>
      </c>
      <c r="C317" s="861" t="s">
        <v>2143</v>
      </c>
      <c r="D317" s="861" t="s">
        <v>371</v>
      </c>
      <c r="E317" s="861"/>
      <c r="F317" s="862"/>
      <c r="G317" s="870" t="s">
        <v>2144</v>
      </c>
      <c r="H317" s="874">
        <v>650671721.97000003</v>
      </c>
      <c r="I317" s="871">
        <v>15.27</v>
      </c>
      <c r="J317" s="863" t="s">
        <v>2145</v>
      </c>
      <c r="K317" s="868">
        <f t="shared" si="38"/>
        <v>316</v>
      </c>
      <c r="L317" s="861" t="s">
        <v>1536</v>
      </c>
      <c r="M317" s="671">
        <f t="shared" si="39"/>
        <v>315</v>
      </c>
      <c r="N317" s="671">
        <f t="shared" si="40"/>
        <v>195</v>
      </c>
      <c r="O317" s="671" t="str">
        <f t="shared" si="41"/>
        <v>N/A</v>
      </c>
      <c r="P317" s="861" t="s">
        <v>2146</v>
      </c>
      <c r="Q317" s="861" t="s">
        <v>1341</v>
      </c>
      <c r="R317" s="861" t="s">
        <v>1209</v>
      </c>
      <c r="S317" s="861" t="s">
        <v>2147</v>
      </c>
      <c r="T317" s="866" t="s">
        <v>2148</v>
      </c>
      <c r="U317" s="865"/>
    </row>
    <row r="318" spans="2:21" ht="15">
      <c r="B318" s="861" t="s">
        <v>2149</v>
      </c>
      <c r="C318" s="861" t="s">
        <v>2150</v>
      </c>
      <c r="D318" s="861" t="s">
        <v>371</v>
      </c>
      <c r="E318" s="861"/>
      <c r="F318" s="862">
        <v>6.5000000000000002E-2</v>
      </c>
      <c r="G318" s="869">
        <v>0.90337176200000002</v>
      </c>
      <c r="H318" s="874">
        <v>647522672.52999997</v>
      </c>
      <c r="I318" s="871"/>
      <c r="J318" s="862">
        <v>0.35799999999999998</v>
      </c>
      <c r="K318" s="868">
        <f t="shared" si="38"/>
        <v>236</v>
      </c>
      <c r="L318" s="861" t="s">
        <v>454</v>
      </c>
      <c r="M318" s="671">
        <f t="shared" si="39"/>
        <v>316</v>
      </c>
      <c r="N318" s="671" t="str">
        <f t="shared" si="40"/>
        <v>N/A</v>
      </c>
      <c r="O318" s="671">
        <f t="shared" si="41"/>
        <v>76</v>
      </c>
      <c r="P318" s="861" t="s">
        <v>1932</v>
      </c>
      <c r="Q318" s="861" t="s">
        <v>2151</v>
      </c>
      <c r="R318" s="861" t="s">
        <v>454</v>
      </c>
      <c r="S318" s="861" t="s">
        <v>1421</v>
      </c>
      <c r="T318" s="866" t="s">
        <v>2152</v>
      </c>
      <c r="U318" s="865"/>
    </row>
    <row r="319" spans="2:21" ht="15">
      <c r="B319" s="861" t="s">
        <v>2153</v>
      </c>
      <c r="C319" s="861" t="s">
        <v>2154</v>
      </c>
      <c r="D319" s="861" t="s">
        <v>371</v>
      </c>
      <c r="E319" s="861"/>
      <c r="F319" s="862">
        <v>-0.17899999999999999</v>
      </c>
      <c r="G319" s="869">
        <v>0.32246437</v>
      </c>
      <c r="H319" s="874">
        <v>643303161.84000003</v>
      </c>
      <c r="I319" s="871"/>
      <c r="J319" s="863" t="s">
        <v>2155</v>
      </c>
      <c r="K319" s="868">
        <f t="shared" si="38"/>
        <v>406</v>
      </c>
      <c r="L319" s="861"/>
      <c r="M319" s="671">
        <f t="shared" si="39"/>
        <v>317</v>
      </c>
      <c r="N319" s="671" t="str">
        <f t="shared" si="40"/>
        <v>N/A</v>
      </c>
      <c r="O319" s="671" t="str">
        <f t="shared" si="41"/>
        <v>N/A</v>
      </c>
      <c r="P319" s="861"/>
      <c r="Q319" s="861"/>
      <c r="R319" s="861"/>
      <c r="S319" s="861" t="s">
        <v>404</v>
      </c>
      <c r="T319" s="866" t="s">
        <v>2156</v>
      </c>
      <c r="U319" s="865"/>
    </row>
    <row r="320" spans="2:21" ht="15">
      <c r="B320" s="861" t="s">
        <v>2157</v>
      </c>
      <c r="C320" s="861" t="s">
        <v>2158</v>
      </c>
      <c r="D320" s="861" t="s">
        <v>371</v>
      </c>
      <c r="E320" s="861"/>
      <c r="F320" s="862">
        <v>0.159</v>
      </c>
      <c r="G320" s="869">
        <v>5.0190495000000002E-2</v>
      </c>
      <c r="H320" s="874">
        <v>640381128.09000003</v>
      </c>
      <c r="I320" s="871"/>
      <c r="J320" s="863" t="s">
        <v>2159</v>
      </c>
      <c r="K320" s="868">
        <f t="shared" si="38"/>
        <v>128</v>
      </c>
      <c r="L320" s="861"/>
      <c r="M320" s="671">
        <f t="shared" si="39"/>
        <v>318</v>
      </c>
      <c r="N320" s="671" t="str">
        <f t="shared" si="40"/>
        <v>N/A</v>
      </c>
      <c r="O320" s="671" t="str">
        <f t="shared" si="41"/>
        <v>N/A</v>
      </c>
      <c r="P320" s="861" t="s">
        <v>1335</v>
      </c>
      <c r="Q320" s="861" t="s">
        <v>2160</v>
      </c>
      <c r="R320" s="861"/>
      <c r="S320" s="861" t="s">
        <v>2161</v>
      </c>
      <c r="T320" s="866" t="s">
        <v>2162</v>
      </c>
      <c r="U320" s="865"/>
    </row>
    <row r="321" spans="2:21" ht="15">
      <c r="B321" s="861" t="s">
        <v>2163</v>
      </c>
      <c r="C321" s="861" t="s">
        <v>2164</v>
      </c>
      <c r="D321" s="861" t="s">
        <v>371</v>
      </c>
      <c r="E321" s="861"/>
      <c r="F321" s="862">
        <v>7.8E-2</v>
      </c>
      <c r="G321" s="869">
        <v>3.303122492</v>
      </c>
      <c r="H321" s="874">
        <v>630572990.57000005</v>
      </c>
      <c r="I321" s="871">
        <v>0.61</v>
      </c>
      <c r="J321" s="862">
        <v>0.442</v>
      </c>
      <c r="K321" s="868">
        <f t="shared" si="38"/>
        <v>216</v>
      </c>
      <c r="L321" s="861"/>
      <c r="M321" s="671">
        <f t="shared" si="39"/>
        <v>319</v>
      </c>
      <c r="N321" s="671">
        <f t="shared" si="40"/>
        <v>304</v>
      </c>
      <c r="O321" s="671">
        <f t="shared" si="41"/>
        <v>43</v>
      </c>
      <c r="P321" s="861"/>
      <c r="Q321" s="861"/>
      <c r="R321" s="861"/>
      <c r="S321" s="861" t="s">
        <v>424</v>
      </c>
      <c r="T321" s="866" t="s">
        <v>2165</v>
      </c>
      <c r="U321" s="865"/>
    </row>
    <row r="322" spans="2:21" ht="15">
      <c r="B322" s="861" t="s">
        <v>2166</v>
      </c>
      <c r="C322" s="861" t="s">
        <v>2167</v>
      </c>
      <c r="D322" s="861" t="s">
        <v>371</v>
      </c>
      <c r="E322" s="861"/>
      <c r="F322" s="862">
        <v>0.39900000000000002</v>
      </c>
      <c r="G322" s="869">
        <v>1.468677494</v>
      </c>
      <c r="H322" s="874">
        <v>626894555.10000002</v>
      </c>
      <c r="I322" s="871">
        <v>23.58</v>
      </c>
      <c r="J322" s="862">
        <v>2.5999999999999999E-2</v>
      </c>
      <c r="K322" s="868">
        <f t="shared" si="38"/>
        <v>29</v>
      </c>
      <c r="L322" s="861"/>
      <c r="M322" s="671">
        <f t="shared" si="39"/>
        <v>320</v>
      </c>
      <c r="N322" s="671">
        <f t="shared" si="40"/>
        <v>166</v>
      </c>
      <c r="O322" s="671">
        <f t="shared" si="41"/>
        <v>658</v>
      </c>
      <c r="P322" s="861" t="s">
        <v>2168</v>
      </c>
      <c r="Q322" s="861" t="s">
        <v>2169</v>
      </c>
      <c r="R322" s="861"/>
      <c r="S322" s="861" t="s">
        <v>2170</v>
      </c>
      <c r="T322" s="866" t="s">
        <v>2010</v>
      </c>
      <c r="U322" s="865"/>
    </row>
    <row r="323" spans="2:21" ht="15">
      <c r="B323" s="861" t="s">
        <v>2171</v>
      </c>
      <c r="C323" s="861" t="s">
        <v>2172</v>
      </c>
      <c r="D323" s="861" t="s">
        <v>371</v>
      </c>
      <c r="E323" s="861"/>
      <c r="F323" s="862">
        <v>-0.22</v>
      </c>
      <c r="G323" s="869">
        <v>0</v>
      </c>
      <c r="H323" s="874">
        <v>623083700.44000006</v>
      </c>
      <c r="I323" s="871"/>
      <c r="J323" s="863" t="s">
        <v>2173</v>
      </c>
      <c r="K323" s="868">
        <f t="shared" si="38"/>
        <v>422</v>
      </c>
      <c r="L323" s="861"/>
      <c r="M323" s="671">
        <f t="shared" si="39"/>
        <v>321</v>
      </c>
      <c r="N323" s="671" t="str">
        <f t="shared" si="40"/>
        <v>N/A</v>
      </c>
      <c r="O323" s="671" t="str">
        <f t="shared" si="41"/>
        <v>N/A</v>
      </c>
      <c r="P323" s="861" t="s">
        <v>494</v>
      </c>
      <c r="Q323" s="861" t="s">
        <v>2174</v>
      </c>
      <c r="R323" s="861"/>
      <c r="S323" s="861" t="s">
        <v>2175</v>
      </c>
      <c r="T323" s="866" t="s">
        <v>2176</v>
      </c>
      <c r="U323" s="865"/>
    </row>
    <row r="324" spans="2:21" ht="15">
      <c r="B324" s="861" t="s">
        <v>2177</v>
      </c>
      <c r="C324" s="861" t="s">
        <v>2178</v>
      </c>
      <c r="D324" s="861" t="s">
        <v>371</v>
      </c>
      <c r="E324" s="861"/>
      <c r="F324" s="862"/>
      <c r="G324" s="870" t="s">
        <v>2179</v>
      </c>
      <c r="H324" s="874">
        <v>621971684.79999995</v>
      </c>
      <c r="I324" s="871"/>
      <c r="J324" s="863" t="s">
        <v>2180</v>
      </c>
      <c r="K324" s="868">
        <f t="shared" ref="K324:K387" si="42">IFERROR(_xlfn.RANK.EQ(F324,F$3:F$1770),"N/A")</f>
        <v>316</v>
      </c>
      <c r="L324" s="861" t="s">
        <v>964</v>
      </c>
      <c r="M324" s="671">
        <f t="shared" ref="M324:M387" si="43">IFERROR(_xlfn.RANK.EQ(H324,H$3:H$1770),"N/A")</f>
        <v>322</v>
      </c>
      <c r="N324" s="671" t="str">
        <f t="shared" ref="N324:N387" si="44">IFERROR(_xlfn.RANK.EQ(I324,I$3:I$1770),"N/A")</f>
        <v>N/A</v>
      </c>
      <c r="O324" s="671" t="str">
        <f t="shared" ref="O324:O387" si="45">IFERROR(_xlfn.RANK.EQ(J324,J$3:J$1770),"N/A")</f>
        <v>N/A</v>
      </c>
      <c r="P324" s="861" t="s">
        <v>1970</v>
      </c>
      <c r="Q324" s="861" t="s">
        <v>2181</v>
      </c>
      <c r="R324" s="861"/>
      <c r="S324" s="861" t="s">
        <v>2182</v>
      </c>
      <c r="T324" s="866" t="s">
        <v>2183</v>
      </c>
      <c r="U324" s="865"/>
    </row>
    <row r="325" spans="2:21" ht="15">
      <c r="B325" s="861" t="s">
        <v>2184</v>
      </c>
      <c r="C325" s="861" t="s">
        <v>2185</v>
      </c>
      <c r="D325" s="861" t="s">
        <v>371</v>
      </c>
      <c r="E325" s="861"/>
      <c r="F325" s="862"/>
      <c r="G325" s="870" t="s">
        <v>2186</v>
      </c>
      <c r="H325" s="874">
        <v>618928973.53999996</v>
      </c>
      <c r="I325" s="871">
        <v>60.07</v>
      </c>
      <c r="J325" s="862">
        <v>0.33300000000000002</v>
      </c>
      <c r="K325" s="868">
        <f t="shared" si="42"/>
        <v>316</v>
      </c>
      <c r="L325" s="861"/>
      <c r="M325" s="671">
        <f t="shared" si="43"/>
        <v>323</v>
      </c>
      <c r="N325" s="671">
        <f t="shared" si="44"/>
        <v>70</v>
      </c>
      <c r="O325" s="671">
        <f t="shared" si="45"/>
        <v>93</v>
      </c>
      <c r="P325" s="861"/>
      <c r="Q325" s="861"/>
      <c r="R325" s="861"/>
      <c r="S325" s="861" t="s">
        <v>2062</v>
      </c>
      <c r="T325" s="866" t="s">
        <v>2187</v>
      </c>
      <c r="U325" s="865"/>
    </row>
    <row r="326" spans="2:21" ht="15">
      <c r="B326" s="861" t="s">
        <v>2188</v>
      </c>
      <c r="C326" s="861" t="s">
        <v>2189</v>
      </c>
      <c r="D326" s="861" t="s">
        <v>371</v>
      </c>
      <c r="E326" s="861"/>
      <c r="F326" s="862">
        <v>1.6E-2</v>
      </c>
      <c r="G326" s="869">
        <v>12.159021409999999</v>
      </c>
      <c r="H326" s="874">
        <v>617200429.20000005</v>
      </c>
      <c r="I326" s="871"/>
      <c r="J326" s="861"/>
      <c r="K326" s="868">
        <f t="shared" si="42"/>
        <v>305</v>
      </c>
      <c r="L326" s="861"/>
      <c r="M326" s="671">
        <f t="shared" si="43"/>
        <v>324</v>
      </c>
      <c r="N326" s="671" t="str">
        <f t="shared" si="44"/>
        <v>N/A</v>
      </c>
      <c r="O326" s="671">
        <f t="shared" si="45"/>
        <v>708</v>
      </c>
      <c r="P326" s="861" t="s">
        <v>2190</v>
      </c>
      <c r="Q326" s="861" t="s">
        <v>1433</v>
      </c>
      <c r="R326" s="861"/>
      <c r="S326" s="861" t="s">
        <v>1230</v>
      </c>
      <c r="T326" s="866" t="s">
        <v>2191</v>
      </c>
      <c r="U326" s="865"/>
    </row>
    <row r="327" spans="2:21" ht="15">
      <c r="B327" s="861" t="s">
        <v>2192</v>
      </c>
      <c r="C327" s="861" t="s">
        <v>2193</v>
      </c>
      <c r="D327" s="861" t="s">
        <v>371</v>
      </c>
      <c r="E327" s="861"/>
      <c r="F327" s="862"/>
      <c r="G327" s="870" t="s">
        <v>2194</v>
      </c>
      <c r="H327" s="874">
        <v>603136493.55999994</v>
      </c>
      <c r="I327" s="871"/>
      <c r="J327" s="862">
        <v>0.14699999999999999</v>
      </c>
      <c r="K327" s="868">
        <f t="shared" si="42"/>
        <v>316</v>
      </c>
      <c r="L327" s="861" t="s">
        <v>2195</v>
      </c>
      <c r="M327" s="671">
        <f t="shared" si="43"/>
        <v>325</v>
      </c>
      <c r="N327" s="671" t="str">
        <f t="shared" si="44"/>
        <v>N/A</v>
      </c>
      <c r="O327" s="671">
        <f t="shared" si="45"/>
        <v>352</v>
      </c>
      <c r="P327" s="861" t="s">
        <v>771</v>
      </c>
      <c r="Q327" s="861" t="s">
        <v>2196</v>
      </c>
      <c r="R327" s="861" t="s">
        <v>771</v>
      </c>
      <c r="S327" s="861" t="s">
        <v>2197</v>
      </c>
      <c r="T327" s="866" t="s">
        <v>2198</v>
      </c>
      <c r="U327" s="865"/>
    </row>
    <row r="328" spans="2:21" ht="15">
      <c r="B328" s="861" t="s">
        <v>2199</v>
      </c>
      <c r="C328" s="861" t="s">
        <v>2200</v>
      </c>
      <c r="D328" s="861" t="s">
        <v>371</v>
      </c>
      <c r="E328" s="861"/>
      <c r="F328" s="862">
        <v>0.13900000000000001</v>
      </c>
      <c r="G328" s="869">
        <v>2.0083432480000001</v>
      </c>
      <c r="H328" s="874">
        <v>598088780.89999998</v>
      </c>
      <c r="I328" s="871"/>
      <c r="J328" s="862">
        <v>0.218</v>
      </c>
      <c r="K328" s="868">
        <f t="shared" si="42"/>
        <v>151</v>
      </c>
      <c r="L328" s="861"/>
      <c r="M328" s="671">
        <f t="shared" si="43"/>
        <v>326</v>
      </c>
      <c r="N328" s="671" t="str">
        <f t="shared" si="44"/>
        <v>N/A</v>
      </c>
      <c r="O328" s="671">
        <f t="shared" si="45"/>
        <v>223</v>
      </c>
      <c r="P328" s="861"/>
      <c r="Q328" s="861"/>
      <c r="R328" s="861"/>
      <c r="S328" s="861" t="s">
        <v>424</v>
      </c>
      <c r="T328" s="866" t="s">
        <v>2201</v>
      </c>
      <c r="U328" s="865"/>
    </row>
    <row r="329" spans="2:21" ht="15">
      <c r="B329" s="861" t="s">
        <v>2202</v>
      </c>
      <c r="C329" s="861" t="s">
        <v>2203</v>
      </c>
      <c r="D329" s="861" t="s">
        <v>371</v>
      </c>
      <c r="E329" s="861"/>
      <c r="F329" s="862"/>
      <c r="G329" s="869">
        <v>0.66837897400000001</v>
      </c>
      <c r="H329" s="874">
        <v>597557268.39999998</v>
      </c>
      <c r="I329" s="871">
        <v>179.45</v>
      </c>
      <c r="J329" s="862">
        <v>0.104</v>
      </c>
      <c r="K329" s="868">
        <f t="shared" si="42"/>
        <v>316</v>
      </c>
      <c r="L329" s="861"/>
      <c r="M329" s="671">
        <f t="shared" si="43"/>
        <v>327</v>
      </c>
      <c r="N329" s="671">
        <f t="shared" si="44"/>
        <v>8</v>
      </c>
      <c r="O329" s="671">
        <f t="shared" si="45"/>
        <v>475</v>
      </c>
      <c r="P329" s="861"/>
      <c r="Q329" s="861"/>
      <c r="R329" s="861"/>
      <c r="S329" s="861" t="s">
        <v>424</v>
      </c>
      <c r="T329" s="866" t="s">
        <v>2204</v>
      </c>
      <c r="U329" s="865"/>
    </row>
    <row r="330" spans="2:21" ht="15">
      <c r="B330" s="861" t="s">
        <v>2205</v>
      </c>
      <c r="C330" s="861" t="s">
        <v>2206</v>
      </c>
      <c r="D330" s="861" t="s">
        <v>371</v>
      </c>
      <c r="E330" s="861"/>
      <c r="F330" s="862">
        <v>-0.156</v>
      </c>
      <c r="G330" s="870" t="s">
        <v>2207</v>
      </c>
      <c r="H330" s="874">
        <v>596556665.88999999</v>
      </c>
      <c r="I330" s="871"/>
      <c r="J330" s="863" t="s">
        <v>2208</v>
      </c>
      <c r="K330" s="868">
        <f t="shared" si="42"/>
        <v>400</v>
      </c>
      <c r="L330" s="861"/>
      <c r="M330" s="671">
        <f t="shared" si="43"/>
        <v>328</v>
      </c>
      <c r="N330" s="671" t="str">
        <f t="shared" si="44"/>
        <v>N/A</v>
      </c>
      <c r="O330" s="671" t="str">
        <f t="shared" si="45"/>
        <v>N/A</v>
      </c>
      <c r="P330" s="861"/>
      <c r="Q330" s="861"/>
      <c r="R330" s="861"/>
      <c r="S330" s="861" t="s">
        <v>424</v>
      </c>
      <c r="T330" s="866" t="s">
        <v>2209</v>
      </c>
      <c r="U330" s="865"/>
    </row>
    <row r="331" spans="2:21" ht="15">
      <c r="B331" s="861" t="s">
        <v>2210</v>
      </c>
      <c r="C331" s="861" t="s">
        <v>2211</v>
      </c>
      <c r="D331" s="861" t="s">
        <v>371</v>
      </c>
      <c r="E331" s="861"/>
      <c r="F331" s="862">
        <v>-6.8000000000000005E-2</v>
      </c>
      <c r="G331" s="870" t="s">
        <v>2212</v>
      </c>
      <c r="H331" s="874">
        <v>588597208.28999996</v>
      </c>
      <c r="I331" s="871">
        <v>3.85</v>
      </c>
      <c r="J331" s="862">
        <v>0.11700000000000001</v>
      </c>
      <c r="K331" s="868">
        <f t="shared" si="42"/>
        <v>361</v>
      </c>
      <c r="L331" s="861"/>
      <c r="M331" s="671">
        <f t="shared" si="43"/>
        <v>329</v>
      </c>
      <c r="N331" s="671">
        <f t="shared" si="44"/>
        <v>280</v>
      </c>
      <c r="O331" s="671">
        <f t="shared" si="45"/>
        <v>439</v>
      </c>
      <c r="P331" s="861"/>
      <c r="Q331" s="861"/>
      <c r="R331" s="861"/>
      <c r="S331" s="861" t="s">
        <v>454</v>
      </c>
      <c r="T331" s="866" t="s">
        <v>2213</v>
      </c>
      <c r="U331" s="865"/>
    </row>
    <row r="332" spans="2:21" ht="15">
      <c r="B332" s="861" t="s">
        <v>2214</v>
      </c>
      <c r="C332" s="861" t="s">
        <v>2215</v>
      </c>
      <c r="D332" s="861" t="s">
        <v>371</v>
      </c>
      <c r="E332" s="861"/>
      <c r="F332" s="862"/>
      <c r="G332" s="869">
        <v>8.5008282949999998</v>
      </c>
      <c r="H332" s="874">
        <v>588512371.50999999</v>
      </c>
      <c r="I332" s="871"/>
      <c r="J332" s="861"/>
      <c r="K332" s="868">
        <f t="shared" si="42"/>
        <v>316</v>
      </c>
      <c r="L332" s="861"/>
      <c r="M332" s="671">
        <f t="shared" si="43"/>
        <v>330</v>
      </c>
      <c r="N332" s="671" t="str">
        <f t="shared" si="44"/>
        <v>N/A</v>
      </c>
      <c r="O332" s="671">
        <f t="shared" si="45"/>
        <v>708</v>
      </c>
      <c r="P332" s="861"/>
      <c r="Q332" s="861"/>
      <c r="R332" s="861"/>
      <c r="S332" s="861" t="s">
        <v>424</v>
      </c>
      <c r="T332" s="866" t="s">
        <v>2216</v>
      </c>
      <c r="U332" s="865"/>
    </row>
    <row r="333" spans="2:21" ht="15">
      <c r="B333" s="861" t="s">
        <v>2217</v>
      </c>
      <c r="C333" s="861" t="s">
        <v>2218</v>
      </c>
      <c r="D333" s="861" t="s">
        <v>371</v>
      </c>
      <c r="E333" s="861"/>
      <c r="F333" s="862"/>
      <c r="G333" s="869" t="e">
        <v>#DIV/0!</v>
      </c>
      <c r="H333" s="874">
        <v>584377189.73000002</v>
      </c>
      <c r="I333" s="871"/>
      <c r="J333" s="863" t="s">
        <v>1325</v>
      </c>
      <c r="K333" s="868">
        <f t="shared" si="42"/>
        <v>316</v>
      </c>
      <c r="L333" s="861"/>
      <c r="M333" s="671">
        <f t="shared" si="43"/>
        <v>331</v>
      </c>
      <c r="N333" s="671" t="str">
        <f t="shared" si="44"/>
        <v>N/A</v>
      </c>
      <c r="O333" s="671" t="str">
        <f t="shared" si="45"/>
        <v>N/A</v>
      </c>
      <c r="P333" s="861"/>
      <c r="Q333" s="861"/>
      <c r="R333" s="861"/>
      <c r="S333" s="861" t="s">
        <v>1529</v>
      </c>
      <c r="T333" s="866" t="s">
        <v>2219</v>
      </c>
      <c r="U333" s="865"/>
    </row>
    <row r="334" spans="2:21" ht="15">
      <c r="B334" s="861" t="s">
        <v>2220</v>
      </c>
      <c r="C334" s="861" t="s">
        <v>2221</v>
      </c>
      <c r="D334" s="861" t="s">
        <v>371</v>
      </c>
      <c r="E334" s="861"/>
      <c r="F334" s="862">
        <v>-2.9000000000000001E-2</v>
      </c>
      <c r="G334" s="870" t="s">
        <v>2222</v>
      </c>
      <c r="H334" s="874">
        <v>571903588.33000004</v>
      </c>
      <c r="I334" s="871"/>
      <c r="J334" s="863" t="s">
        <v>2223</v>
      </c>
      <c r="K334" s="868">
        <f t="shared" si="42"/>
        <v>332</v>
      </c>
      <c r="L334" s="863" t="s">
        <v>2224</v>
      </c>
      <c r="M334" s="671">
        <f t="shared" si="43"/>
        <v>332</v>
      </c>
      <c r="N334" s="671" t="str">
        <f t="shared" si="44"/>
        <v>N/A</v>
      </c>
      <c r="O334" s="671" t="str">
        <f t="shared" si="45"/>
        <v>N/A</v>
      </c>
      <c r="P334" s="861" t="s">
        <v>2003</v>
      </c>
      <c r="Q334" s="861"/>
      <c r="R334" s="861"/>
      <c r="S334" s="861" t="s">
        <v>1530</v>
      </c>
      <c r="T334" s="866" t="s">
        <v>2225</v>
      </c>
      <c r="U334" s="865"/>
    </row>
    <row r="335" spans="2:21" ht="15">
      <c r="B335" s="861" t="s">
        <v>2226</v>
      </c>
      <c r="C335" s="861" t="s">
        <v>2227</v>
      </c>
      <c r="D335" s="861" t="s">
        <v>371</v>
      </c>
      <c r="E335" s="861"/>
      <c r="F335" s="862"/>
      <c r="G335" s="870" t="s">
        <v>2228</v>
      </c>
      <c r="H335" s="874">
        <v>565436331.79999995</v>
      </c>
      <c r="I335" s="871">
        <v>113.19</v>
      </c>
      <c r="J335" s="862">
        <v>0.377</v>
      </c>
      <c r="K335" s="868">
        <f t="shared" si="42"/>
        <v>316</v>
      </c>
      <c r="L335" s="861"/>
      <c r="M335" s="671">
        <f t="shared" si="43"/>
        <v>333</v>
      </c>
      <c r="N335" s="671">
        <f t="shared" si="44"/>
        <v>22</v>
      </c>
      <c r="O335" s="671">
        <f t="shared" si="45"/>
        <v>66</v>
      </c>
      <c r="P335" s="861" t="s">
        <v>2229</v>
      </c>
      <c r="Q335" s="861"/>
      <c r="R335" s="861"/>
      <c r="S335" s="861" t="s">
        <v>793</v>
      </c>
      <c r="T335" s="866" t="s">
        <v>2230</v>
      </c>
      <c r="U335" s="865"/>
    </row>
    <row r="336" spans="2:21" ht="15">
      <c r="B336" s="861" t="s">
        <v>2231</v>
      </c>
      <c r="C336" s="861" t="s">
        <v>2232</v>
      </c>
      <c r="D336" s="861" t="s">
        <v>371</v>
      </c>
      <c r="E336" s="861"/>
      <c r="F336" s="862">
        <v>0.124</v>
      </c>
      <c r="G336" s="869">
        <v>1.5919681000000001E-2</v>
      </c>
      <c r="H336" s="874">
        <v>563317329.40999997</v>
      </c>
      <c r="I336" s="871"/>
      <c r="J336" s="863" t="s">
        <v>2233</v>
      </c>
      <c r="K336" s="868">
        <f t="shared" si="42"/>
        <v>170</v>
      </c>
      <c r="L336" s="861"/>
      <c r="M336" s="671">
        <f t="shared" si="43"/>
        <v>334</v>
      </c>
      <c r="N336" s="671" t="str">
        <f t="shared" si="44"/>
        <v>N/A</v>
      </c>
      <c r="O336" s="671" t="str">
        <f t="shared" si="45"/>
        <v>N/A</v>
      </c>
      <c r="P336" s="861" t="s">
        <v>1404</v>
      </c>
      <c r="Q336" s="861" t="s">
        <v>2234</v>
      </c>
      <c r="R336" s="861"/>
      <c r="S336" s="861" t="s">
        <v>1660</v>
      </c>
      <c r="T336" s="866" t="s">
        <v>2235</v>
      </c>
      <c r="U336" s="865"/>
    </row>
    <row r="337" spans="1:21" ht="15">
      <c r="B337" s="861" t="s">
        <v>2236</v>
      </c>
      <c r="C337" s="861" t="s">
        <v>2237</v>
      </c>
      <c r="D337" s="861" t="s">
        <v>371</v>
      </c>
      <c r="E337" s="861"/>
      <c r="F337" s="862"/>
      <c r="G337" s="869">
        <v>9.6809858119999994</v>
      </c>
      <c r="H337" s="874">
        <v>562726639.70000005</v>
      </c>
      <c r="I337" s="871"/>
      <c r="J337" s="862">
        <v>0.109</v>
      </c>
      <c r="K337" s="868">
        <f t="shared" si="42"/>
        <v>316</v>
      </c>
      <c r="L337" s="863" t="s">
        <v>2238</v>
      </c>
      <c r="M337" s="671">
        <f t="shared" si="43"/>
        <v>335</v>
      </c>
      <c r="N337" s="671" t="str">
        <f t="shared" si="44"/>
        <v>N/A</v>
      </c>
      <c r="O337" s="671">
        <f t="shared" si="45"/>
        <v>459</v>
      </c>
      <c r="P337" s="861" t="s">
        <v>781</v>
      </c>
      <c r="Q337" s="861"/>
      <c r="R337" s="861"/>
      <c r="S337" s="861" t="s">
        <v>1031</v>
      </c>
      <c r="T337" s="866" t="s">
        <v>2239</v>
      </c>
      <c r="U337" s="865"/>
    </row>
    <row r="338" spans="1:21" ht="15">
      <c r="B338" s="861" t="s">
        <v>2240</v>
      </c>
      <c r="C338" s="861" t="s">
        <v>2241</v>
      </c>
      <c r="D338" s="861" t="s">
        <v>371</v>
      </c>
      <c r="E338" s="861"/>
      <c r="F338" s="862"/>
      <c r="G338" s="869">
        <v>4.2900263489999997</v>
      </c>
      <c r="H338" s="874">
        <v>562305328.99000001</v>
      </c>
      <c r="I338" s="871"/>
      <c r="J338" s="863" t="s">
        <v>2242</v>
      </c>
      <c r="K338" s="868">
        <f t="shared" si="42"/>
        <v>316</v>
      </c>
      <c r="L338" s="861"/>
      <c r="M338" s="671">
        <f t="shared" si="43"/>
        <v>336</v>
      </c>
      <c r="N338" s="671" t="str">
        <f t="shared" si="44"/>
        <v>N/A</v>
      </c>
      <c r="O338" s="671" t="str">
        <f t="shared" si="45"/>
        <v>N/A</v>
      </c>
      <c r="P338" s="861" t="s">
        <v>781</v>
      </c>
      <c r="Q338" s="861" t="s">
        <v>2058</v>
      </c>
      <c r="R338" s="861"/>
      <c r="S338" s="861" t="s">
        <v>631</v>
      </c>
      <c r="T338" s="866" t="s">
        <v>2243</v>
      </c>
      <c r="U338" s="865"/>
    </row>
    <row r="339" spans="1:21" ht="15">
      <c r="B339" s="861" t="s">
        <v>2244</v>
      </c>
      <c r="C339" s="861" t="s">
        <v>2245</v>
      </c>
      <c r="D339" s="861" t="s">
        <v>371</v>
      </c>
      <c r="E339" s="861"/>
      <c r="F339" s="862"/>
      <c r="G339" s="869">
        <v>0.37530097299999998</v>
      </c>
      <c r="H339" s="874">
        <v>559736064.23000002</v>
      </c>
      <c r="I339" s="871">
        <v>10.24</v>
      </c>
      <c r="J339" s="862">
        <v>0.65</v>
      </c>
      <c r="K339" s="868">
        <f t="shared" si="42"/>
        <v>316</v>
      </c>
      <c r="L339" s="861" t="s">
        <v>2246</v>
      </c>
      <c r="M339" s="671">
        <f t="shared" si="43"/>
        <v>337</v>
      </c>
      <c r="N339" s="671">
        <f t="shared" si="44"/>
        <v>228</v>
      </c>
      <c r="O339" s="671">
        <f t="shared" si="45"/>
        <v>9</v>
      </c>
      <c r="P339" s="861" t="s">
        <v>1789</v>
      </c>
      <c r="Q339" s="861" t="s">
        <v>2247</v>
      </c>
      <c r="R339" s="861"/>
      <c r="S339" s="861" t="s">
        <v>2248</v>
      </c>
      <c r="T339" s="866" t="s">
        <v>2249</v>
      </c>
      <c r="U339" s="865"/>
    </row>
    <row r="340" spans="1:21" ht="15">
      <c r="B340" s="861" t="s">
        <v>2250</v>
      </c>
      <c r="C340" s="861" t="s">
        <v>2251</v>
      </c>
      <c r="D340" s="861" t="s">
        <v>371</v>
      </c>
      <c r="E340" s="861"/>
      <c r="F340" s="862">
        <v>0.14299999999999999</v>
      </c>
      <c r="G340" s="869">
        <v>4.530459231</v>
      </c>
      <c r="H340" s="874">
        <v>550173155.54999995</v>
      </c>
      <c r="I340" s="871"/>
      <c r="J340" s="862">
        <v>0.45600000000000002</v>
      </c>
      <c r="K340" s="868">
        <f t="shared" si="42"/>
        <v>148</v>
      </c>
      <c r="L340" s="861"/>
      <c r="M340" s="671">
        <f t="shared" si="43"/>
        <v>338</v>
      </c>
      <c r="N340" s="671" t="str">
        <f t="shared" si="44"/>
        <v>N/A</v>
      </c>
      <c r="O340" s="671">
        <f t="shared" si="45"/>
        <v>37</v>
      </c>
      <c r="P340" s="861" t="s">
        <v>1150</v>
      </c>
      <c r="Q340" s="861" t="s">
        <v>2252</v>
      </c>
      <c r="R340" s="861"/>
      <c r="S340" s="861" t="s">
        <v>644</v>
      </c>
      <c r="T340" s="866" t="s">
        <v>2253</v>
      </c>
      <c r="U340" s="865"/>
    </row>
    <row r="341" spans="1:21" ht="15">
      <c r="B341" s="861" t="s">
        <v>2254</v>
      </c>
      <c r="C341" s="861" t="s">
        <v>2255</v>
      </c>
      <c r="D341" s="861" t="s">
        <v>371</v>
      </c>
      <c r="E341" s="861"/>
      <c r="F341" s="862"/>
      <c r="G341" s="869">
        <v>2.9444952999999999E-2</v>
      </c>
      <c r="H341" s="874">
        <v>549747695.21000004</v>
      </c>
      <c r="I341" s="871"/>
      <c r="J341" s="863" t="s">
        <v>2256</v>
      </c>
      <c r="K341" s="868">
        <f t="shared" si="42"/>
        <v>316</v>
      </c>
      <c r="L341" s="861"/>
      <c r="M341" s="671">
        <f t="shared" si="43"/>
        <v>339</v>
      </c>
      <c r="N341" s="671" t="str">
        <f t="shared" si="44"/>
        <v>N/A</v>
      </c>
      <c r="O341" s="671" t="str">
        <f t="shared" si="45"/>
        <v>N/A</v>
      </c>
      <c r="P341" s="861" t="s">
        <v>572</v>
      </c>
      <c r="Q341" s="861" t="s">
        <v>2257</v>
      </c>
      <c r="R341" s="861"/>
      <c r="S341" s="861" t="s">
        <v>2258</v>
      </c>
      <c r="T341" s="866" t="s">
        <v>2259</v>
      </c>
      <c r="U341" s="865"/>
    </row>
    <row r="342" spans="1:21" ht="15">
      <c r="B342" s="861" t="s">
        <v>2260</v>
      </c>
      <c r="C342" s="861" t="s">
        <v>2261</v>
      </c>
      <c r="D342" s="861" t="s">
        <v>371</v>
      </c>
      <c r="E342" s="861"/>
      <c r="F342" s="862"/>
      <c r="G342" s="869">
        <v>8.5920577999999997E-2</v>
      </c>
      <c r="H342" s="874">
        <v>549169825.5</v>
      </c>
      <c r="I342" s="871"/>
      <c r="J342" s="863"/>
      <c r="K342" s="868">
        <f t="shared" si="42"/>
        <v>316</v>
      </c>
      <c r="L342" s="861"/>
      <c r="M342" s="671">
        <f t="shared" si="43"/>
        <v>340</v>
      </c>
      <c r="N342" s="671" t="str">
        <f t="shared" si="44"/>
        <v>N/A</v>
      </c>
      <c r="O342" s="671">
        <f t="shared" si="45"/>
        <v>708</v>
      </c>
      <c r="P342" s="861"/>
      <c r="Q342" s="861"/>
      <c r="R342" s="861"/>
      <c r="S342" s="861" t="s">
        <v>424</v>
      </c>
      <c r="T342" s="866" t="s">
        <v>2262</v>
      </c>
      <c r="U342" s="865"/>
    </row>
    <row r="343" spans="1:21" ht="15">
      <c r="B343" s="861" t="s">
        <v>2263</v>
      </c>
      <c r="C343" s="861" t="s">
        <v>2264</v>
      </c>
      <c r="D343" s="861" t="s">
        <v>371</v>
      </c>
      <c r="E343" s="861"/>
      <c r="F343" s="862"/>
      <c r="G343" s="869">
        <v>0.421122995</v>
      </c>
      <c r="H343" s="874">
        <v>547700806.21000004</v>
      </c>
      <c r="I343" s="871"/>
      <c r="J343" s="862">
        <v>0.61599999999999999</v>
      </c>
      <c r="K343" s="868">
        <f t="shared" si="42"/>
        <v>316</v>
      </c>
      <c r="L343" s="861"/>
      <c r="M343" s="671">
        <f t="shared" si="43"/>
        <v>341</v>
      </c>
      <c r="N343" s="671" t="str">
        <f t="shared" si="44"/>
        <v>N/A</v>
      </c>
      <c r="O343" s="671">
        <f t="shared" si="45"/>
        <v>11</v>
      </c>
      <c r="P343" s="861" t="s">
        <v>1311</v>
      </c>
      <c r="Q343" s="861" t="s">
        <v>2265</v>
      </c>
      <c r="R343" s="861"/>
      <c r="S343" s="861" t="s">
        <v>2229</v>
      </c>
      <c r="T343" s="866" t="s">
        <v>2266</v>
      </c>
      <c r="U343" s="865"/>
    </row>
    <row r="344" spans="1:21" ht="15">
      <c r="B344" s="861" t="s">
        <v>2267</v>
      </c>
      <c r="C344" s="861" t="s">
        <v>2268</v>
      </c>
      <c r="D344" s="861" t="s">
        <v>371</v>
      </c>
      <c r="E344" s="861"/>
      <c r="F344" s="862">
        <v>0.26200000000000001</v>
      </c>
      <c r="G344" s="869">
        <v>1.6944846999999999E-2</v>
      </c>
      <c r="H344" s="874">
        <v>547047201.69000006</v>
      </c>
      <c r="I344" s="871"/>
      <c r="J344" s="862">
        <v>0.14299999999999999</v>
      </c>
      <c r="K344" s="868">
        <f t="shared" si="42"/>
        <v>65</v>
      </c>
      <c r="L344" s="861"/>
      <c r="M344" s="671">
        <f t="shared" si="43"/>
        <v>342</v>
      </c>
      <c r="N344" s="671" t="str">
        <f t="shared" si="44"/>
        <v>N/A</v>
      </c>
      <c r="O344" s="671">
        <f t="shared" si="45"/>
        <v>361</v>
      </c>
      <c r="P344" s="861" t="s">
        <v>2269</v>
      </c>
      <c r="Q344" s="861" t="s">
        <v>2270</v>
      </c>
      <c r="R344" s="861"/>
      <c r="S344" s="861" t="s">
        <v>2271</v>
      </c>
      <c r="T344" s="866" t="s">
        <v>2272</v>
      </c>
      <c r="U344" s="865"/>
    </row>
    <row r="345" spans="1:21" ht="15">
      <c r="B345" s="861" t="s">
        <v>2273</v>
      </c>
      <c r="C345" s="861" t="s">
        <v>2274</v>
      </c>
      <c r="D345" s="861" t="s">
        <v>371</v>
      </c>
      <c r="E345" s="861"/>
      <c r="F345" s="862"/>
      <c r="G345" s="869">
        <v>2.4975254999999998E-2</v>
      </c>
      <c r="H345" s="874">
        <v>539003203.88</v>
      </c>
      <c r="I345" s="871">
        <v>31</v>
      </c>
      <c r="J345" s="862">
        <v>0.48699999999999999</v>
      </c>
      <c r="K345" s="868">
        <f t="shared" si="42"/>
        <v>316</v>
      </c>
      <c r="L345" s="861"/>
      <c r="M345" s="671">
        <f t="shared" si="43"/>
        <v>343</v>
      </c>
      <c r="N345" s="671">
        <f t="shared" si="44"/>
        <v>142</v>
      </c>
      <c r="O345" s="671">
        <f t="shared" si="45"/>
        <v>26</v>
      </c>
      <c r="P345" s="861" t="s">
        <v>1311</v>
      </c>
      <c r="Q345" s="861" t="s">
        <v>2275</v>
      </c>
      <c r="R345" s="861"/>
      <c r="S345" s="861" t="s">
        <v>2276</v>
      </c>
      <c r="T345" s="866" t="s">
        <v>2277</v>
      </c>
      <c r="U345" s="865"/>
    </row>
    <row r="346" spans="1:21" ht="15">
      <c r="B346" s="861" t="s">
        <v>2278</v>
      </c>
      <c r="C346" s="861" t="s">
        <v>2279</v>
      </c>
      <c r="D346" s="861" t="s">
        <v>371</v>
      </c>
      <c r="E346" s="861"/>
      <c r="F346" s="862"/>
      <c r="G346" s="869">
        <v>20.757128340000001</v>
      </c>
      <c r="H346" s="874">
        <v>525549671.74000001</v>
      </c>
      <c r="I346" s="871"/>
      <c r="J346" s="863" t="s">
        <v>2280</v>
      </c>
      <c r="K346" s="868">
        <f t="shared" si="42"/>
        <v>316</v>
      </c>
      <c r="L346" s="861"/>
      <c r="M346" s="671">
        <f t="shared" si="43"/>
        <v>344</v>
      </c>
      <c r="N346" s="671" t="str">
        <f t="shared" si="44"/>
        <v>N/A</v>
      </c>
      <c r="O346" s="671" t="str">
        <f t="shared" si="45"/>
        <v>N/A</v>
      </c>
      <c r="P346" s="861" t="s">
        <v>2281</v>
      </c>
      <c r="Q346" s="861"/>
      <c r="R346" s="861" t="s">
        <v>550</v>
      </c>
      <c r="S346" s="861" t="s">
        <v>2282</v>
      </c>
      <c r="T346" s="866" t="s">
        <v>2283</v>
      </c>
      <c r="U346" s="865"/>
    </row>
    <row r="347" spans="1:21" ht="15">
      <c r="B347" s="861" t="s">
        <v>2284</v>
      </c>
      <c r="C347" s="861" t="s">
        <v>2285</v>
      </c>
      <c r="D347" s="861" t="s">
        <v>371</v>
      </c>
      <c r="E347" s="861"/>
      <c r="F347" s="862"/>
      <c r="G347" s="869">
        <v>0.15626675200000001</v>
      </c>
      <c r="H347" s="874">
        <v>521567493.44999999</v>
      </c>
      <c r="I347" s="871"/>
      <c r="J347" s="862">
        <v>0.46100000000000002</v>
      </c>
      <c r="K347" s="868">
        <f t="shared" si="42"/>
        <v>316</v>
      </c>
      <c r="L347" s="861"/>
      <c r="M347" s="671">
        <f t="shared" si="43"/>
        <v>345</v>
      </c>
      <c r="N347" s="671" t="str">
        <f t="shared" si="44"/>
        <v>N/A</v>
      </c>
      <c r="O347" s="671">
        <f t="shared" si="45"/>
        <v>36</v>
      </c>
      <c r="P347" s="861"/>
      <c r="Q347" s="861"/>
      <c r="R347" s="861"/>
      <c r="S347" s="861" t="s">
        <v>424</v>
      </c>
      <c r="T347" s="866" t="s">
        <v>2286</v>
      </c>
      <c r="U347" s="865"/>
    </row>
    <row r="348" spans="1:21" ht="15">
      <c r="B348" s="861" t="s">
        <v>2287</v>
      </c>
      <c r="C348" s="861" t="s">
        <v>2288</v>
      </c>
      <c r="D348" s="861" t="s">
        <v>371</v>
      </c>
      <c r="E348" s="861"/>
      <c r="F348" s="862">
        <v>0.42899999999999999</v>
      </c>
      <c r="G348" s="869">
        <v>0.203309084</v>
      </c>
      <c r="H348" s="874">
        <v>519615722.06</v>
      </c>
      <c r="I348" s="871">
        <v>5.98</v>
      </c>
      <c r="J348" s="863" t="s">
        <v>2289</v>
      </c>
      <c r="K348" s="868">
        <f t="shared" si="42"/>
        <v>23</v>
      </c>
      <c r="L348" s="861"/>
      <c r="M348" s="671">
        <f t="shared" si="43"/>
        <v>346</v>
      </c>
      <c r="N348" s="671">
        <f t="shared" si="44"/>
        <v>262</v>
      </c>
      <c r="O348" s="671" t="str">
        <f t="shared" si="45"/>
        <v>N/A</v>
      </c>
      <c r="P348" s="861" t="s">
        <v>2290</v>
      </c>
      <c r="Q348" s="861" t="s">
        <v>2291</v>
      </c>
      <c r="R348" s="861"/>
      <c r="S348" s="861" t="s">
        <v>1609</v>
      </c>
      <c r="T348" s="866" t="s">
        <v>2292</v>
      </c>
      <c r="U348" s="865"/>
    </row>
    <row r="349" spans="1:21" ht="15">
      <c r="B349" s="861" t="s">
        <v>2293</v>
      </c>
      <c r="C349" s="861" t="s">
        <v>2294</v>
      </c>
      <c r="D349" s="861" t="s">
        <v>371</v>
      </c>
      <c r="E349" s="861"/>
      <c r="F349" s="862">
        <v>-0.129</v>
      </c>
      <c r="G349" s="870" t="s">
        <v>2295</v>
      </c>
      <c r="H349" s="874">
        <v>510286300.83999997</v>
      </c>
      <c r="I349" s="871">
        <v>16.71</v>
      </c>
      <c r="J349" s="863" t="s">
        <v>2039</v>
      </c>
      <c r="K349" s="868">
        <f t="shared" si="42"/>
        <v>395</v>
      </c>
      <c r="L349" s="861"/>
      <c r="M349" s="671">
        <f t="shared" si="43"/>
        <v>347</v>
      </c>
      <c r="N349" s="671">
        <f t="shared" si="44"/>
        <v>185</v>
      </c>
      <c r="O349" s="671" t="str">
        <f t="shared" si="45"/>
        <v>N/A</v>
      </c>
      <c r="P349" s="861" t="s">
        <v>624</v>
      </c>
      <c r="Q349" s="861"/>
      <c r="R349" s="861"/>
      <c r="S349" s="861" t="s">
        <v>994</v>
      </c>
      <c r="T349" s="866" t="s">
        <v>2296</v>
      </c>
      <c r="U349" s="865"/>
    </row>
    <row r="350" spans="1:21" ht="15">
      <c r="B350" s="861" t="s">
        <v>2297</v>
      </c>
      <c r="C350" s="861" t="s">
        <v>2298</v>
      </c>
      <c r="D350" s="861" t="s">
        <v>371</v>
      </c>
      <c r="E350" s="861"/>
      <c r="F350" s="862">
        <v>2.9000000000000001E-2</v>
      </c>
      <c r="G350" s="870" t="s">
        <v>2299</v>
      </c>
      <c r="H350" s="874">
        <v>504826835.02999997</v>
      </c>
      <c r="I350" s="871"/>
      <c r="J350" s="862">
        <v>0.215</v>
      </c>
      <c r="K350" s="868">
        <f t="shared" si="42"/>
        <v>284</v>
      </c>
      <c r="L350" s="861"/>
      <c r="M350" s="671">
        <f t="shared" si="43"/>
        <v>348</v>
      </c>
      <c r="N350" s="671" t="str">
        <f t="shared" si="44"/>
        <v>N/A</v>
      </c>
      <c r="O350" s="671">
        <f t="shared" si="45"/>
        <v>229</v>
      </c>
      <c r="P350" s="861" t="s">
        <v>1127</v>
      </c>
      <c r="Q350" s="861" t="s">
        <v>1529</v>
      </c>
      <c r="R350" s="861"/>
      <c r="S350" s="861" t="s">
        <v>734</v>
      </c>
      <c r="T350" s="866" t="s">
        <v>2300</v>
      </c>
      <c r="U350" s="865"/>
    </row>
    <row r="351" spans="1:21" ht="15">
      <c r="A351" s="857"/>
      <c r="B351" s="861" t="s">
        <v>2301</v>
      </c>
      <c r="C351" s="861" t="s">
        <v>2302</v>
      </c>
      <c r="D351" s="861" t="s">
        <v>371</v>
      </c>
      <c r="E351" s="861"/>
      <c r="F351" s="862"/>
      <c r="G351" s="869">
        <v>1.4858862E-2</v>
      </c>
      <c r="H351" s="874">
        <v>503532837.82999998</v>
      </c>
      <c r="I351" s="871"/>
      <c r="J351" s="863" t="s">
        <v>2303</v>
      </c>
      <c r="K351" s="868">
        <f t="shared" si="42"/>
        <v>316</v>
      </c>
      <c r="L351" s="861"/>
      <c r="M351" s="671">
        <f t="shared" si="43"/>
        <v>349</v>
      </c>
      <c r="N351" s="671" t="str">
        <f t="shared" si="44"/>
        <v>N/A</v>
      </c>
      <c r="O351" s="671" t="str">
        <f t="shared" si="45"/>
        <v>N/A</v>
      </c>
      <c r="P351" s="861" t="s">
        <v>1732</v>
      </c>
      <c r="Q351" s="861"/>
      <c r="R351" s="861"/>
      <c r="S351" s="861" t="s">
        <v>996</v>
      </c>
      <c r="T351" s="866" t="s">
        <v>2304</v>
      </c>
      <c r="U351" s="865"/>
    </row>
    <row r="352" spans="1:21" ht="15">
      <c r="A352" s="672"/>
      <c r="B352" s="861" t="s">
        <v>2305</v>
      </c>
      <c r="C352" s="861" t="s">
        <v>2306</v>
      </c>
      <c r="D352" s="861" t="s">
        <v>371</v>
      </c>
      <c r="E352" s="861"/>
      <c r="F352" s="862"/>
      <c r="G352" s="870" t="s">
        <v>2307</v>
      </c>
      <c r="H352" s="874">
        <v>500423155.37</v>
      </c>
      <c r="I352" s="871"/>
      <c r="J352" s="862">
        <v>5.1999999999999998E-2</v>
      </c>
      <c r="K352" s="868">
        <f t="shared" si="42"/>
        <v>316</v>
      </c>
      <c r="L352" s="861"/>
      <c r="M352" s="671">
        <f t="shared" si="43"/>
        <v>350</v>
      </c>
      <c r="N352" s="671" t="str">
        <f t="shared" si="44"/>
        <v>N/A</v>
      </c>
      <c r="O352" s="671">
        <f t="shared" si="45"/>
        <v>596</v>
      </c>
      <c r="P352" s="861" t="s">
        <v>2308</v>
      </c>
      <c r="Q352" s="861"/>
      <c r="R352" s="861"/>
      <c r="S352" s="861" t="s">
        <v>698</v>
      </c>
      <c r="T352" s="866" t="s">
        <v>2309</v>
      </c>
      <c r="U352" s="865"/>
    </row>
    <row r="353" spans="1:21" ht="15">
      <c r="A353" s="857"/>
      <c r="B353" s="861" t="s">
        <v>2310</v>
      </c>
      <c r="C353" s="861" t="s">
        <v>2311</v>
      </c>
      <c r="D353" s="861" t="s">
        <v>371</v>
      </c>
      <c r="E353" s="861"/>
      <c r="F353" s="862">
        <v>0.124</v>
      </c>
      <c r="G353" s="869">
        <v>1.61620845</v>
      </c>
      <c r="H353" s="874">
        <v>498919813.72000003</v>
      </c>
      <c r="I353" s="871"/>
      <c r="J353" s="862">
        <v>0.10299999999999999</v>
      </c>
      <c r="K353" s="868">
        <f t="shared" si="42"/>
        <v>170</v>
      </c>
      <c r="L353" s="861" t="s">
        <v>1989</v>
      </c>
      <c r="M353" s="671">
        <f t="shared" si="43"/>
        <v>351</v>
      </c>
      <c r="N353" s="671" t="str">
        <f t="shared" si="44"/>
        <v>N/A</v>
      </c>
      <c r="O353" s="671">
        <f t="shared" si="45"/>
        <v>482</v>
      </c>
      <c r="P353" s="861" t="s">
        <v>2312</v>
      </c>
      <c r="Q353" s="861" t="s">
        <v>2313</v>
      </c>
      <c r="R353" s="861" t="s">
        <v>409</v>
      </c>
      <c r="S353" s="861" t="s">
        <v>2314</v>
      </c>
      <c r="T353" s="866" t="s">
        <v>2315</v>
      </c>
      <c r="U353" s="865"/>
    </row>
    <row r="354" spans="1:21" ht="15">
      <c r="A354" s="672"/>
      <c r="B354" s="861" t="s">
        <v>2316</v>
      </c>
      <c r="C354" s="861" t="s">
        <v>2317</v>
      </c>
      <c r="D354" s="861" t="s">
        <v>371</v>
      </c>
      <c r="E354" s="861"/>
      <c r="F354" s="862"/>
      <c r="G354" s="869">
        <v>5.8559627000000003E-2</v>
      </c>
      <c r="H354" s="874">
        <v>495211621.73000002</v>
      </c>
      <c r="I354" s="871"/>
      <c r="J354" s="862">
        <v>3.3000000000000002E-2</v>
      </c>
      <c r="K354" s="868">
        <f t="shared" si="42"/>
        <v>316</v>
      </c>
      <c r="L354" s="861"/>
      <c r="M354" s="671">
        <f t="shared" si="43"/>
        <v>352</v>
      </c>
      <c r="N354" s="671" t="str">
        <f t="shared" si="44"/>
        <v>N/A</v>
      </c>
      <c r="O354" s="671">
        <f t="shared" si="45"/>
        <v>648</v>
      </c>
      <c r="P354" s="861"/>
      <c r="Q354" s="861"/>
      <c r="R354" s="861"/>
      <c r="S354" s="861" t="s">
        <v>424</v>
      </c>
      <c r="T354" s="866" t="s">
        <v>2318</v>
      </c>
      <c r="U354" s="865"/>
    </row>
    <row r="355" spans="1:21" ht="15">
      <c r="A355" s="857"/>
      <c r="B355" s="861" t="s">
        <v>2319</v>
      </c>
      <c r="C355" s="861" t="s">
        <v>2320</v>
      </c>
      <c r="D355" s="861" t="s">
        <v>371</v>
      </c>
      <c r="E355" s="861"/>
      <c r="F355" s="862"/>
      <c r="G355" s="869">
        <v>0.151012592</v>
      </c>
      <c r="H355" s="874">
        <v>491889162.60000002</v>
      </c>
      <c r="I355" s="872" t="s">
        <v>2321</v>
      </c>
      <c r="J355" s="863" t="s">
        <v>715</v>
      </c>
      <c r="K355" s="868">
        <f t="shared" si="42"/>
        <v>316</v>
      </c>
      <c r="L355" s="861"/>
      <c r="M355" s="671">
        <f t="shared" si="43"/>
        <v>353</v>
      </c>
      <c r="N355" s="671" t="str">
        <f t="shared" si="44"/>
        <v>N/A</v>
      </c>
      <c r="O355" s="671" t="str">
        <f t="shared" si="45"/>
        <v>N/A</v>
      </c>
      <c r="P355" s="861"/>
      <c r="Q355" s="861"/>
      <c r="R355" s="861"/>
      <c r="S355" s="861" t="s">
        <v>392</v>
      </c>
      <c r="T355" s="866" t="s">
        <v>2322</v>
      </c>
      <c r="U355" s="865"/>
    </row>
    <row r="356" spans="1:21" ht="15">
      <c r="A356" s="672"/>
      <c r="B356" s="861" t="s">
        <v>2323</v>
      </c>
      <c r="C356" s="861" t="s">
        <v>2324</v>
      </c>
      <c r="D356" s="861" t="s">
        <v>371</v>
      </c>
      <c r="E356" s="861"/>
      <c r="F356" s="862">
        <v>0.33</v>
      </c>
      <c r="G356" s="870" t="s">
        <v>2325</v>
      </c>
      <c r="H356" s="874">
        <v>488497873.63999999</v>
      </c>
      <c r="I356" s="871"/>
      <c r="J356" s="862">
        <v>0.14499999999999999</v>
      </c>
      <c r="K356" s="868">
        <f t="shared" si="42"/>
        <v>44</v>
      </c>
      <c r="L356" s="861"/>
      <c r="M356" s="671">
        <f t="shared" si="43"/>
        <v>354</v>
      </c>
      <c r="N356" s="671" t="str">
        <f t="shared" si="44"/>
        <v>N/A</v>
      </c>
      <c r="O356" s="671">
        <f t="shared" si="45"/>
        <v>358</v>
      </c>
      <c r="P356" s="861"/>
      <c r="Q356" s="861"/>
      <c r="R356" s="861"/>
      <c r="S356" s="861" t="s">
        <v>424</v>
      </c>
      <c r="T356" s="866" t="s">
        <v>2326</v>
      </c>
      <c r="U356" s="865"/>
    </row>
    <row r="357" spans="1:21" ht="15">
      <c r="A357" s="857"/>
      <c r="B357" s="861" t="s">
        <v>2327</v>
      </c>
      <c r="C357" s="861" t="s">
        <v>2328</v>
      </c>
      <c r="D357" s="861" t="s">
        <v>371</v>
      </c>
      <c r="E357" s="861"/>
      <c r="F357" s="862"/>
      <c r="G357" s="869">
        <v>0.35379849299999999</v>
      </c>
      <c r="H357" s="874">
        <v>487844745.69</v>
      </c>
      <c r="I357" s="872" t="s">
        <v>2329</v>
      </c>
      <c r="J357" s="862">
        <v>5.5E-2</v>
      </c>
      <c r="K357" s="868">
        <f t="shared" si="42"/>
        <v>316</v>
      </c>
      <c r="L357" s="863" t="s">
        <v>2330</v>
      </c>
      <c r="M357" s="671">
        <f t="shared" si="43"/>
        <v>355</v>
      </c>
      <c r="N357" s="671" t="str">
        <f t="shared" si="44"/>
        <v>N/A</v>
      </c>
      <c r="O357" s="671">
        <f t="shared" si="45"/>
        <v>592</v>
      </c>
      <c r="P357" s="861" t="s">
        <v>2331</v>
      </c>
      <c r="Q357" s="861"/>
      <c r="R357" s="861"/>
      <c r="S357" s="861" t="s">
        <v>1217</v>
      </c>
      <c r="T357" s="866" t="s">
        <v>2332</v>
      </c>
      <c r="U357" s="865"/>
    </row>
    <row r="358" spans="1:21" ht="15">
      <c r="A358" s="672"/>
      <c r="B358" s="861" t="s">
        <v>2333</v>
      </c>
      <c r="C358" s="861" t="s">
        <v>2334</v>
      </c>
      <c r="D358" s="861" t="s">
        <v>371</v>
      </c>
      <c r="E358" s="861"/>
      <c r="F358" s="862">
        <v>9.7000000000000003E-2</v>
      </c>
      <c r="G358" s="869">
        <v>0.97633285199999997</v>
      </c>
      <c r="H358" s="874">
        <v>486896661</v>
      </c>
      <c r="I358" s="871">
        <v>16.09</v>
      </c>
      <c r="J358" s="862">
        <v>0.25800000000000001</v>
      </c>
      <c r="K358" s="868">
        <f t="shared" si="42"/>
        <v>195</v>
      </c>
      <c r="L358" s="861"/>
      <c r="M358" s="671">
        <f t="shared" si="43"/>
        <v>356</v>
      </c>
      <c r="N358" s="671">
        <f t="shared" si="44"/>
        <v>190</v>
      </c>
      <c r="O358" s="671">
        <f t="shared" si="45"/>
        <v>169</v>
      </c>
      <c r="P358" s="861" t="s">
        <v>2335</v>
      </c>
      <c r="Q358" s="861"/>
      <c r="R358" s="861"/>
      <c r="S358" s="861" t="s">
        <v>424</v>
      </c>
      <c r="T358" s="866" t="s">
        <v>2336</v>
      </c>
      <c r="U358" s="865"/>
    </row>
    <row r="359" spans="1:21" ht="15">
      <c r="A359" s="857"/>
      <c r="B359" s="861" t="s">
        <v>2337</v>
      </c>
      <c r="C359" s="861" t="s">
        <v>2338</v>
      </c>
      <c r="D359" s="861" t="s">
        <v>371</v>
      </c>
      <c r="E359" s="861"/>
      <c r="F359" s="862"/>
      <c r="G359" s="869">
        <v>7.9742150389999997</v>
      </c>
      <c r="H359" s="874">
        <v>478840000</v>
      </c>
      <c r="I359" s="871">
        <v>59.23</v>
      </c>
      <c r="J359" s="862">
        <v>0.46500000000000002</v>
      </c>
      <c r="K359" s="868">
        <f t="shared" si="42"/>
        <v>316</v>
      </c>
      <c r="L359" s="861"/>
      <c r="M359" s="671">
        <f t="shared" si="43"/>
        <v>357</v>
      </c>
      <c r="N359" s="671">
        <f t="shared" si="44"/>
        <v>74</v>
      </c>
      <c r="O359" s="671">
        <f t="shared" si="45"/>
        <v>33</v>
      </c>
      <c r="P359" s="861"/>
      <c r="Q359" s="861"/>
      <c r="R359" s="861"/>
      <c r="S359" s="861" t="s">
        <v>424</v>
      </c>
      <c r="T359" s="866" t="s">
        <v>2339</v>
      </c>
      <c r="U359" s="865"/>
    </row>
    <row r="360" spans="1:21" ht="15">
      <c r="A360" s="672"/>
      <c r="B360" s="861" t="s">
        <v>2340</v>
      </c>
      <c r="C360" s="861" t="s">
        <v>2341</v>
      </c>
      <c r="D360" s="861" t="s">
        <v>371</v>
      </c>
      <c r="E360" s="861"/>
      <c r="F360" s="862">
        <v>-0.46700000000000003</v>
      </c>
      <c r="G360" s="869">
        <v>5.2256151339999999</v>
      </c>
      <c r="H360" s="874">
        <v>477473856.57999998</v>
      </c>
      <c r="I360" s="871"/>
      <c r="J360" s="863" t="s">
        <v>2342</v>
      </c>
      <c r="K360" s="868">
        <f t="shared" si="42"/>
        <v>473</v>
      </c>
      <c r="L360" s="863" t="s">
        <v>448</v>
      </c>
      <c r="M360" s="671">
        <f t="shared" si="43"/>
        <v>358</v>
      </c>
      <c r="N360" s="671" t="str">
        <f t="shared" si="44"/>
        <v>N/A</v>
      </c>
      <c r="O360" s="671" t="str">
        <f t="shared" si="45"/>
        <v>N/A</v>
      </c>
      <c r="P360" s="861" t="s">
        <v>1724</v>
      </c>
      <c r="Q360" s="861"/>
      <c r="R360" s="863" t="s">
        <v>937</v>
      </c>
      <c r="S360" s="861" t="s">
        <v>1852</v>
      </c>
      <c r="T360" s="866" t="s">
        <v>2343</v>
      </c>
      <c r="U360" s="865"/>
    </row>
    <row r="361" spans="1:21" ht="15">
      <c r="A361" s="857"/>
      <c r="B361" s="861" t="s">
        <v>2344</v>
      </c>
      <c r="C361" s="861" t="s">
        <v>2345</v>
      </c>
      <c r="D361" s="861" t="s">
        <v>371</v>
      </c>
      <c r="E361" s="861"/>
      <c r="F361" s="862"/>
      <c r="G361" s="870" t="s">
        <v>2346</v>
      </c>
      <c r="H361" s="874">
        <v>475493979.61000001</v>
      </c>
      <c r="I361" s="871"/>
      <c r="J361" s="863" t="s">
        <v>2347</v>
      </c>
      <c r="K361" s="868">
        <f t="shared" si="42"/>
        <v>316</v>
      </c>
      <c r="L361" s="861" t="s">
        <v>1252</v>
      </c>
      <c r="M361" s="671">
        <f t="shared" si="43"/>
        <v>359</v>
      </c>
      <c r="N361" s="671" t="str">
        <f t="shared" si="44"/>
        <v>N/A</v>
      </c>
      <c r="O361" s="671" t="str">
        <f t="shared" si="45"/>
        <v>N/A</v>
      </c>
      <c r="P361" s="861" t="s">
        <v>672</v>
      </c>
      <c r="Q361" s="861" t="s">
        <v>2348</v>
      </c>
      <c r="R361" s="861"/>
      <c r="S361" s="861" t="s">
        <v>2349</v>
      </c>
      <c r="T361" s="866" t="s">
        <v>2350</v>
      </c>
      <c r="U361" s="865"/>
    </row>
    <row r="362" spans="1:21" ht="15">
      <c r="A362" s="672"/>
      <c r="B362" s="861" t="s">
        <v>2351</v>
      </c>
      <c r="C362" s="861" t="s">
        <v>2352</v>
      </c>
      <c r="D362" s="861" t="s">
        <v>371</v>
      </c>
      <c r="E362" s="861"/>
      <c r="F362" s="862">
        <v>-6.0000000000000001E-3</v>
      </c>
      <c r="G362" s="870" t="s">
        <v>2353</v>
      </c>
      <c r="H362" s="874">
        <v>472258030.56999999</v>
      </c>
      <c r="I362" s="871">
        <v>6.18</v>
      </c>
      <c r="J362" s="862">
        <v>0.14099999999999999</v>
      </c>
      <c r="K362" s="868">
        <f t="shared" si="42"/>
        <v>319</v>
      </c>
      <c r="L362" s="861"/>
      <c r="M362" s="671">
        <f t="shared" si="43"/>
        <v>360</v>
      </c>
      <c r="N362" s="671">
        <f t="shared" si="44"/>
        <v>260</v>
      </c>
      <c r="O362" s="671">
        <f t="shared" si="45"/>
        <v>363</v>
      </c>
      <c r="P362" s="861" t="s">
        <v>2354</v>
      </c>
      <c r="Q362" s="861"/>
      <c r="R362" s="861"/>
      <c r="S362" s="861" t="s">
        <v>454</v>
      </c>
      <c r="T362" s="866" t="s">
        <v>2355</v>
      </c>
      <c r="U362" s="865"/>
    </row>
    <row r="363" spans="1:21" ht="15">
      <c r="A363" s="857"/>
      <c r="B363" s="861" t="s">
        <v>2356</v>
      </c>
      <c r="C363" s="861" t="s">
        <v>2357</v>
      </c>
      <c r="D363" s="861" t="s">
        <v>371</v>
      </c>
      <c r="E363" s="861"/>
      <c r="F363" s="862">
        <v>0.19600000000000001</v>
      </c>
      <c r="G363" s="869">
        <v>1.1626961069999999</v>
      </c>
      <c r="H363" s="874">
        <v>470999790.42000002</v>
      </c>
      <c r="I363" s="871"/>
      <c r="J363" s="863" t="s">
        <v>1159</v>
      </c>
      <c r="K363" s="868">
        <f t="shared" si="42"/>
        <v>98</v>
      </c>
      <c r="L363" s="861"/>
      <c r="M363" s="671">
        <f t="shared" si="43"/>
        <v>361</v>
      </c>
      <c r="N363" s="671" t="str">
        <f t="shared" si="44"/>
        <v>N/A</v>
      </c>
      <c r="O363" s="671" t="str">
        <f t="shared" si="45"/>
        <v>N/A</v>
      </c>
      <c r="P363" s="861"/>
      <c r="Q363" s="861"/>
      <c r="R363" s="861"/>
      <c r="S363" s="861"/>
      <c r="T363" s="866" t="s">
        <v>2358</v>
      </c>
      <c r="U363" s="865"/>
    </row>
    <row r="364" spans="1:21" ht="15">
      <c r="A364" s="672"/>
      <c r="B364" s="861" t="s">
        <v>2359</v>
      </c>
      <c r="C364" s="861" t="s">
        <v>2360</v>
      </c>
      <c r="D364" s="861" t="s">
        <v>371</v>
      </c>
      <c r="E364" s="861"/>
      <c r="F364" s="862"/>
      <c r="G364" s="870" t="s">
        <v>2361</v>
      </c>
      <c r="H364" s="874">
        <v>463352935.05000001</v>
      </c>
      <c r="I364" s="871">
        <v>1.83</v>
      </c>
      <c r="J364" s="862">
        <v>0.47599999999999998</v>
      </c>
      <c r="K364" s="868">
        <f t="shared" si="42"/>
        <v>316</v>
      </c>
      <c r="L364" s="861"/>
      <c r="M364" s="671">
        <f t="shared" si="43"/>
        <v>362</v>
      </c>
      <c r="N364" s="671">
        <f t="shared" si="44"/>
        <v>296</v>
      </c>
      <c r="O364" s="671">
        <f t="shared" si="45"/>
        <v>29</v>
      </c>
      <c r="P364" s="861"/>
      <c r="Q364" s="861"/>
      <c r="R364" s="861"/>
      <c r="S364" s="861" t="s">
        <v>424</v>
      </c>
      <c r="T364" s="866" t="s">
        <v>2362</v>
      </c>
      <c r="U364" s="865"/>
    </row>
    <row r="365" spans="1:21" ht="15">
      <c r="A365" s="857"/>
      <c r="B365" s="861" t="s">
        <v>2363</v>
      </c>
      <c r="C365" s="861" t="s">
        <v>2364</v>
      </c>
      <c r="D365" s="861" t="s">
        <v>371</v>
      </c>
      <c r="E365" s="861"/>
      <c r="F365" s="862">
        <v>0.23300000000000001</v>
      </c>
      <c r="G365" s="869">
        <v>0</v>
      </c>
      <c r="H365" s="874">
        <v>463342610.81999999</v>
      </c>
      <c r="I365" s="871">
        <v>3.57</v>
      </c>
      <c r="J365" s="862">
        <v>0.28000000000000003</v>
      </c>
      <c r="K365" s="868">
        <f t="shared" si="42"/>
        <v>77</v>
      </c>
      <c r="L365" s="861"/>
      <c r="M365" s="671">
        <f t="shared" si="43"/>
        <v>363</v>
      </c>
      <c r="N365" s="671">
        <f t="shared" si="44"/>
        <v>282</v>
      </c>
      <c r="O365" s="671">
        <f t="shared" si="45"/>
        <v>150</v>
      </c>
      <c r="P365" s="861" t="s">
        <v>2365</v>
      </c>
      <c r="Q365" s="861" t="s">
        <v>2366</v>
      </c>
      <c r="R365" s="861"/>
      <c r="S365" s="861" t="s">
        <v>2367</v>
      </c>
      <c r="T365" s="866" t="s">
        <v>2368</v>
      </c>
      <c r="U365" s="865"/>
    </row>
    <row r="366" spans="1:21" ht="15">
      <c r="A366" s="672"/>
      <c r="B366" s="861" t="s">
        <v>2369</v>
      </c>
      <c r="C366" s="861" t="s">
        <v>2370</v>
      </c>
      <c r="D366" s="861" t="s">
        <v>371</v>
      </c>
      <c r="E366" s="861"/>
      <c r="F366" s="862"/>
      <c r="G366" s="869">
        <v>0</v>
      </c>
      <c r="H366" s="874">
        <v>460075429.52999997</v>
      </c>
      <c r="I366" s="871"/>
      <c r="J366" s="863" t="s">
        <v>2371</v>
      </c>
      <c r="K366" s="868">
        <f t="shared" si="42"/>
        <v>316</v>
      </c>
      <c r="L366" s="861" t="s">
        <v>404</v>
      </c>
      <c r="M366" s="671">
        <f t="shared" si="43"/>
        <v>364</v>
      </c>
      <c r="N366" s="671" t="str">
        <f t="shared" si="44"/>
        <v>N/A</v>
      </c>
      <c r="O366" s="671" t="str">
        <f t="shared" si="45"/>
        <v>N/A</v>
      </c>
      <c r="P366" s="861" t="s">
        <v>644</v>
      </c>
      <c r="Q366" s="861"/>
      <c r="R366" s="861"/>
      <c r="S366" s="861" t="s">
        <v>2372</v>
      </c>
      <c r="T366" s="866" t="s">
        <v>2373</v>
      </c>
      <c r="U366" s="865"/>
    </row>
    <row r="367" spans="1:21" ht="15">
      <c r="A367" s="857"/>
      <c r="B367" s="861" t="s">
        <v>2374</v>
      </c>
      <c r="C367" s="861" t="s">
        <v>2375</v>
      </c>
      <c r="D367" s="861" t="s">
        <v>371</v>
      </c>
      <c r="E367" s="861"/>
      <c r="F367" s="862"/>
      <c r="G367" s="869">
        <v>0.37117425399999998</v>
      </c>
      <c r="H367" s="874">
        <v>458833549.92000002</v>
      </c>
      <c r="I367" s="871"/>
      <c r="J367" s="862">
        <v>0</v>
      </c>
      <c r="K367" s="868">
        <f t="shared" si="42"/>
        <v>316</v>
      </c>
      <c r="L367" s="861" t="s">
        <v>2376</v>
      </c>
      <c r="M367" s="671">
        <f t="shared" si="43"/>
        <v>365</v>
      </c>
      <c r="N367" s="671" t="str">
        <f t="shared" si="44"/>
        <v>N/A</v>
      </c>
      <c r="O367" s="671">
        <f t="shared" si="45"/>
        <v>708</v>
      </c>
      <c r="P367" s="861" t="s">
        <v>1574</v>
      </c>
      <c r="Q367" s="861" t="s">
        <v>2377</v>
      </c>
      <c r="R367" s="861"/>
      <c r="S367" s="861" t="s">
        <v>2378</v>
      </c>
      <c r="T367" s="866" t="s">
        <v>2379</v>
      </c>
      <c r="U367" s="865"/>
    </row>
    <row r="368" spans="1:21" ht="15">
      <c r="A368" s="672"/>
      <c r="B368" s="861" t="s">
        <v>2380</v>
      </c>
      <c r="C368" s="861" t="s">
        <v>2381</v>
      </c>
      <c r="D368" s="861" t="s">
        <v>371</v>
      </c>
      <c r="E368" s="861"/>
      <c r="F368" s="862"/>
      <c r="G368" s="869">
        <v>1.9978205659999999</v>
      </c>
      <c r="H368" s="874">
        <v>458723279.63999999</v>
      </c>
      <c r="I368" s="871"/>
      <c r="J368" s="863" t="s">
        <v>2382</v>
      </c>
      <c r="K368" s="868">
        <f t="shared" si="42"/>
        <v>316</v>
      </c>
      <c r="L368" s="861"/>
      <c r="M368" s="671">
        <f t="shared" si="43"/>
        <v>366</v>
      </c>
      <c r="N368" s="671" t="str">
        <f t="shared" si="44"/>
        <v>N/A</v>
      </c>
      <c r="O368" s="671" t="str">
        <f t="shared" si="45"/>
        <v>N/A</v>
      </c>
      <c r="P368" s="861"/>
      <c r="Q368" s="861"/>
      <c r="R368" s="861"/>
      <c r="S368" s="861" t="s">
        <v>424</v>
      </c>
      <c r="T368" s="866" t="s">
        <v>2383</v>
      </c>
      <c r="U368" s="865"/>
    </row>
    <row r="369" spans="1:21" ht="15">
      <c r="A369" s="857"/>
      <c r="B369" s="861" t="s">
        <v>2384</v>
      </c>
      <c r="C369" s="861" t="s">
        <v>2385</v>
      </c>
      <c r="D369" s="861" t="s">
        <v>371</v>
      </c>
      <c r="E369" s="861"/>
      <c r="F369" s="862"/>
      <c r="G369" s="870" t="s">
        <v>2386</v>
      </c>
      <c r="H369" s="874">
        <v>455271776.31</v>
      </c>
      <c r="I369" s="871"/>
      <c r="J369" s="863" t="s">
        <v>2387</v>
      </c>
      <c r="K369" s="868">
        <f t="shared" si="42"/>
        <v>316</v>
      </c>
      <c r="L369" s="861"/>
      <c r="M369" s="671">
        <f t="shared" si="43"/>
        <v>367</v>
      </c>
      <c r="N369" s="671" t="str">
        <f t="shared" si="44"/>
        <v>N/A</v>
      </c>
      <c r="O369" s="671" t="str">
        <f t="shared" si="45"/>
        <v>N/A</v>
      </c>
      <c r="P369" s="861" t="s">
        <v>2388</v>
      </c>
      <c r="Q369" s="861"/>
      <c r="R369" s="861"/>
      <c r="S369" s="861" t="s">
        <v>404</v>
      </c>
      <c r="T369" s="866" t="s">
        <v>2389</v>
      </c>
      <c r="U369" s="865"/>
    </row>
    <row r="370" spans="1:21" ht="15">
      <c r="A370" s="672"/>
      <c r="B370" s="861" t="s">
        <v>2390</v>
      </c>
      <c r="C370" s="861" t="s">
        <v>2391</v>
      </c>
      <c r="D370" s="861" t="s">
        <v>371</v>
      </c>
      <c r="E370" s="861"/>
      <c r="F370" s="862">
        <v>-0.19900000000000001</v>
      </c>
      <c r="G370" s="869">
        <v>0</v>
      </c>
      <c r="H370" s="874">
        <v>453381368.05000001</v>
      </c>
      <c r="I370" s="871">
        <v>11.71</v>
      </c>
      <c r="J370" s="862">
        <v>0.31</v>
      </c>
      <c r="K370" s="868">
        <f t="shared" si="42"/>
        <v>415</v>
      </c>
      <c r="L370" s="861"/>
      <c r="M370" s="671">
        <f t="shared" si="43"/>
        <v>368</v>
      </c>
      <c r="N370" s="671">
        <f t="shared" si="44"/>
        <v>214</v>
      </c>
      <c r="O370" s="671">
        <f t="shared" si="45"/>
        <v>115</v>
      </c>
      <c r="P370" s="861"/>
      <c r="Q370" s="861"/>
      <c r="R370" s="861"/>
      <c r="S370" s="861" t="s">
        <v>392</v>
      </c>
      <c r="T370" s="866" t="s">
        <v>2392</v>
      </c>
      <c r="U370" s="865"/>
    </row>
    <row r="371" spans="1:21" ht="15">
      <c r="A371" s="857"/>
      <c r="B371" s="861" t="s">
        <v>2393</v>
      </c>
      <c r="C371" s="861" t="s">
        <v>2394</v>
      </c>
      <c r="D371" s="861" t="s">
        <v>371</v>
      </c>
      <c r="E371" s="861"/>
      <c r="F371" s="862">
        <v>0.14899999999999999</v>
      </c>
      <c r="G371" s="869">
        <v>4.5250830999999998E-2</v>
      </c>
      <c r="H371" s="874">
        <v>451702114.81999999</v>
      </c>
      <c r="I371" s="871"/>
      <c r="J371" s="863" t="s">
        <v>2395</v>
      </c>
      <c r="K371" s="868">
        <f t="shared" si="42"/>
        <v>142</v>
      </c>
      <c r="L371" s="861"/>
      <c r="M371" s="671">
        <f t="shared" si="43"/>
        <v>369</v>
      </c>
      <c r="N371" s="671" t="str">
        <f t="shared" si="44"/>
        <v>N/A</v>
      </c>
      <c r="O371" s="671" t="str">
        <f t="shared" si="45"/>
        <v>N/A</v>
      </c>
      <c r="P371" s="861" t="s">
        <v>2396</v>
      </c>
      <c r="Q371" s="861"/>
      <c r="R371" s="861"/>
      <c r="S371" s="861" t="s">
        <v>409</v>
      </c>
      <c r="T371" s="866" t="s">
        <v>2397</v>
      </c>
      <c r="U371" s="865"/>
    </row>
    <row r="372" spans="1:21" ht="15">
      <c r="A372" s="672"/>
      <c r="B372" s="861" t="s">
        <v>2398</v>
      </c>
      <c r="C372" s="861" t="s">
        <v>2399</v>
      </c>
      <c r="D372" s="861" t="s">
        <v>371</v>
      </c>
      <c r="E372" s="861"/>
      <c r="F372" s="862"/>
      <c r="G372" s="869">
        <v>7.1763004099999996</v>
      </c>
      <c r="H372" s="874">
        <v>449770106.32999998</v>
      </c>
      <c r="I372" s="871"/>
      <c r="J372" s="862">
        <v>0.19400000000000001</v>
      </c>
      <c r="K372" s="868">
        <f t="shared" si="42"/>
        <v>316</v>
      </c>
      <c r="L372" s="861"/>
      <c r="M372" s="671">
        <f t="shared" si="43"/>
        <v>370</v>
      </c>
      <c r="N372" s="671" t="str">
        <f t="shared" si="44"/>
        <v>N/A</v>
      </c>
      <c r="O372" s="671">
        <f t="shared" si="45"/>
        <v>264</v>
      </c>
      <c r="P372" s="861" t="s">
        <v>2400</v>
      </c>
      <c r="Q372" s="861" t="s">
        <v>493</v>
      </c>
      <c r="R372" s="861" t="s">
        <v>2401</v>
      </c>
      <c r="S372" s="861" t="s">
        <v>2402</v>
      </c>
      <c r="T372" s="866" t="s">
        <v>2403</v>
      </c>
      <c r="U372" s="865"/>
    </row>
    <row r="373" spans="1:21" ht="15">
      <c r="A373" s="857"/>
      <c r="B373" s="861" t="s">
        <v>2404</v>
      </c>
      <c r="C373" s="861" t="s">
        <v>2405</v>
      </c>
      <c r="D373" s="861" t="s">
        <v>371</v>
      </c>
      <c r="E373" s="861"/>
      <c r="F373" s="862">
        <v>0.19400000000000001</v>
      </c>
      <c r="G373" s="869">
        <v>0.98508662300000005</v>
      </c>
      <c r="H373" s="874">
        <v>446488084.58999997</v>
      </c>
      <c r="I373" s="871"/>
      <c r="J373" s="862">
        <v>8.2000000000000003E-2</v>
      </c>
      <c r="K373" s="868">
        <f t="shared" si="42"/>
        <v>100</v>
      </c>
      <c r="L373" s="861"/>
      <c r="M373" s="671">
        <f t="shared" si="43"/>
        <v>371</v>
      </c>
      <c r="N373" s="671" t="str">
        <f t="shared" si="44"/>
        <v>N/A</v>
      </c>
      <c r="O373" s="671">
        <f t="shared" si="45"/>
        <v>541</v>
      </c>
      <c r="P373" s="861" t="s">
        <v>1560</v>
      </c>
      <c r="Q373" s="861" t="s">
        <v>2406</v>
      </c>
      <c r="R373" s="861"/>
      <c r="S373" s="861" t="s">
        <v>2407</v>
      </c>
      <c r="T373" s="866" t="s">
        <v>2408</v>
      </c>
      <c r="U373" s="865"/>
    </row>
    <row r="374" spans="1:21" ht="15">
      <c r="A374" s="672"/>
      <c r="B374" s="861" t="s">
        <v>2409</v>
      </c>
      <c r="C374" s="861" t="s">
        <v>2410</v>
      </c>
      <c r="D374" s="861" t="s">
        <v>371</v>
      </c>
      <c r="E374" s="861"/>
      <c r="F374" s="862">
        <v>3.4000000000000002E-2</v>
      </c>
      <c r="G374" s="869">
        <v>109.4099255</v>
      </c>
      <c r="H374" s="874">
        <v>443137494.80000001</v>
      </c>
      <c r="I374" s="872" t="s">
        <v>2411</v>
      </c>
      <c r="J374" s="863" t="s">
        <v>1088</v>
      </c>
      <c r="K374" s="868">
        <f t="shared" si="42"/>
        <v>275</v>
      </c>
      <c r="L374" s="861"/>
      <c r="M374" s="671">
        <f t="shared" si="43"/>
        <v>372</v>
      </c>
      <c r="N374" s="671" t="str">
        <f t="shared" si="44"/>
        <v>N/A</v>
      </c>
      <c r="O374" s="671" t="str">
        <f t="shared" si="45"/>
        <v>N/A</v>
      </c>
      <c r="P374" s="861" t="s">
        <v>1536</v>
      </c>
      <c r="Q374" s="861"/>
      <c r="R374" s="861"/>
      <c r="S374" s="861" t="s">
        <v>734</v>
      </c>
      <c r="T374" s="866" t="s">
        <v>2412</v>
      </c>
      <c r="U374" s="865"/>
    </row>
    <row r="375" spans="1:21" ht="15">
      <c r="A375" s="857"/>
      <c r="B375" s="861" t="s">
        <v>2413</v>
      </c>
      <c r="C375" s="861" t="s">
        <v>2414</v>
      </c>
      <c r="D375" s="861" t="s">
        <v>371</v>
      </c>
      <c r="E375" s="861"/>
      <c r="F375" s="862">
        <v>-0.03</v>
      </c>
      <c r="G375" s="870" t="s">
        <v>2415</v>
      </c>
      <c r="H375" s="874">
        <v>432976714.92000002</v>
      </c>
      <c r="I375" s="871"/>
      <c r="J375" s="863" t="s">
        <v>600</v>
      </c>
      <c r="K375" s="868">
        <f t="shared" si="42"/>
        <v>334</v>
      </c>
      <c r="L375" s="861"/>
      <c r="M375" s="671">
        <f t="shared" si="43"/>
        <v>373</v>
      </c>
      <c r="N375" s="671" t="str">
        <f t="shared" si="44"/>
        <v>N/A</v>
      </c>
      <c r="O375" s="671" t="str">
        <f t="shared" si="45"/>
        <v>N/A</v>
      </c>
      <c r="P375" s="861"/>
      <c r="Q375" s="861"/>
      <c r="R375" s="861"/>
      <c r="S375" s="861" t="s">
        <v>1922</v>
      </c>
      <c r="T375" s="866" t="s">
        <v>2416</v>
      </c>
      <c r="U375" s="865"/>
    </row>
    <row r="376" spans="1:21" ht="15">
      <c r="A376" s="672"/>
      <c r="B376" s="861" t="s">
        <v>2417</v>
      </c>
      <c r="C376" s="861" t="s">
        <v>2418</v>
      </c>
      <c r="D376" s="861" t="s">
        <v>371</v>
      </c>
      <c r="E376" s="861"/>
      <c r="F376" s="862"/>
      <c r="G376" s="870" t="s">
        <v>2419</v>
      </c>
      <c r="H376" s="874">
        <v>431520103.31</v>
      </c>
      <c r="I376" s="871"/>
      <c r="J376" s="862">
        <v>0.111</v>
      </c>
      <c r="K376" s="868">
        <f t="shared" si="42"/>
        <v>316</v>
      </c>
      <c r="L376" s="861" t="s">
        <v>2420</v>
      </c>
      <c r="M376" s="671">
        <f t="shared" si="43"/>
        <v>374</v>
      </c>
      <c r="N376" s="671" t="str">
        <f t="shared" si="44"/>
        <v>N/A</v>
      </c>
      <c r="O376" s="671">
        <f t="shared" si="45"/>
        <v>456</v>
      </c>
      <c r="P376" s="861" t="s">
        <v>2421</v>
      </c>
      <c r="Q376" s="861" t="s">
        <v>2422</v>
      </c>
      <c r="R376" s="861" t="s">
        <v>1921</v>
      </c>
      <c r="S376" s="861" t="s">
        <v>2423</v>
      </c>
      <c r="T376" s="866" t="s">
        <v>2424</v>
      </c>
      <c r="U376" s="865"/>
    </row>
    <row r="377" spans="1:21" ht="15">
      <c r="A377" s="857"/>
      <c r="B377" s="861" t="s">
        <v>2425</v>
      </c>
      <c r="C377" s="861" t="s">
        <v>2426</v>
      </c>
      <c r="D377" s="861" t="s">
        <v>371</v>
      </c>
      <c r="E377" s="861"/>
      <c r="F377" s="862">
        <v>-3.5999999999999997E-2</v>
      </c>
      <c r="G377" s="870" t="s">
        <v>2427</v>
      </c>
      <c r="H377" s="874">
        <v>431181073.27999997</v>
      </c>
      <c r="I377" s="871">
        <v>301.27999999999997</v>
      </c>
      <c r="J377" s="863" t="s">
        <v>2428</v>
      </c>
      <c r="K377" s="868">
        <f t="shared" si="42"/>
        <v>338</v>
      </c>
      <c r="L377" s="861"/>
      <c r="M377" s="671">
        <f t="shared" si="43"/>
        <v>375</v>
      </c>
      <c r="N377" s="671">
        <f t="shared" si="44"/>
        <v>2</v>
      </c>
      <c r="O377" s="671" t="str">
        <f t="shared" si="45"/>
        <v>N/A</v>
      </c>
      <c r="P377" s="861" t="s">
        <v>507</v>
      </c>
      <c r="Q377" s="861" t="s">
        <v>1621</v>
      </c>
      <c r="R377" s="861"/>
      <c r="S377" s="861" t="s">
        <v>2429</v>
      </c>
      <c r="T377" s="866" t="s">
        <v>2430</v>
      </c>
      <c r="U377" s="865"/>
    </row>
    <row r="378" spans="1:21" ht="15">
      <c r="A378" s="672"/>
      <c r="B378" s="861" t="s">
        <v>2431</v>
      </c>
      <c r="C378" s="861" t="s">
        <v>2432</v>
      </c>
      <c r="D378" s="861" t="s">
        <v>371</v>
      </c>
      <c r="E378" s="861"/>
      <c r="F378" s="862"/>
      <c r="G378" s="870" t="s">
        <v>2433</v>
      </c>
      <c r="H378" s="874">
        <v>428424045.91000003</v>
      </c>
      <c r="I378" s="871"/>
      <c r="J378" s="862">
        <v>0.36499999999999999</v>
      </c>
      <c r="K378" s="868">
        <f t="shared" si="42"/>
        <v>316</v>
      </c>
      <c r="L378" s="861"/>
      <c r="M378" s="671">
        <f t="shared" si="43"/>
        <v>376</v>
      </c>
      <c r="N378" s="671" t="str">
        <f t="shared" si="44"/>
        <v>N/A</v>
      </c>
      <c r="O378" s="671">
        <f t="shared" si="45"/>
        <v>72</v>
      </c>
      <c r="P378" s="861" t="s">
        <v>2434</v>
      </c>
      <c r="Q378" s="861" t="s">
        <v>2435</v>
      </c>
      <c r="R378" s="861"/>
      <c r="S378" s="861" t="s">
        <v>2436</v>
      </c>
      <c r="T378" s="866" t="s">
        <v>2437</v>
      </c>
      <c r="U378" s="865"/>
    </row>
    <row r="379" spans="1:21" ht="15">
      <c r="A379" s="857"/>
      <c r="B379" s="861" t="s">
        <v>2438</v>
      </c>
      <c r="C379" s="861" t="s">
        <v>2439</v>
      </c>
      <c r="D379" s="861" t="s">
        <v>371</v>
      </c>
      <c r="E379" s="861"/>
      <c r="F379" s="862">
        <v>0.27700000000000002</v>
      </c>
      <c r="G379" s="869">
        <v>0.213725945</v>
      </c>
      <c r="H379" s="874">
        <v>426740094.13</v>
      </c>
      <c r="I379" s="871"/>
      <c r="J379" s="862">
        <v>0.34899999999999998</v>
      </c>
      <c r="K379" s="868">
        <f t="shared" si="42"/>
        <v>59</v>
      </c>
      <c r="L379" s="861"/>
      <c r="M379" s="671">
        <f t="shared" si="43"/>
        <v>377</v>
      </c>
      <c r="N379" s="671" t="str">
        <f t="shared" si="44"/>
        <v>N/A</v>
      </c>
      <c r="O379" s="671">
        <f t="shared" si="45"/>
        <v>78</v>
      </c>
      <c r="P379" s="861" t="s">
        <v>1549</v>
      </c>
      <c r="Q379" s="861"/>
      <c r="R379" s="861"/>
      <c r="S379" s="861" t="s">
        <v>746</v>
      </c>
      <c r="T379" s="866" t="s">
        <v>2440</v>
      </c>
      <c r="U379" s="865"/>
    </row>
    <row r="380" spans="1:21" ht="15">
      <c r="A380" s="672"/>
      <c r="B380" s="861" t="s">
        <v>2441</v>
      </c>
      <c r="C380" s="861" t="s">
        <v>2442</v>
      </c>
      <c r="D380" s="861" t="s">
        <v>371</v>
      </c>
      <c r="E380" s="861"/>
      <c r="F380" s="862">
        <v>0.13800000000000001</v>
      </c>
      <c r="G380" s="869">
        <v>9.5985970000000004E-2</v>
      </c>
      <c r="H380" s="874">
        <v>426075958</v>
      </c>
      <c r="I380" s="871">
        <v>14.04</v>
      </c>
      <c r="J380" s="862">
        <v>0.17899999999999999</v>
      </c>
      <c r="K380" s="868">
        <f t="shared" si="42"/>
        <v>153</v>
      </c>
      <c r="L380" s="861"/>
      <c r="M380" s="671">
        <f t="shared" si="43"/>
        <v>378</v>
      </c>
      <c r="N380" s="671">
        <f t="shared" si="44"/>
        <v>200</v>
      </c>
      <c r="O380" s="671">
        <f t="shared" si="45"/>
        <v>292</v>
      </c>
      <c r="P380" s="861"/>
      <c r="Q380" s="861"/>
      <c r="R380" s="861"/>
      <c r="S380" s="861" t="s">
        <v>424</v>
      </c>
      <c r="T380" s="866" t="s">
        <v>2443</v>
      </c>
      <c r="U380" s="865"/>
    </row>
    <row r="381" spans="1:21" ht="15">
      <c r="A381" s="857"/>
      <c r="B381" s="861" t="s">
        <v>2444</v>
      </c>
      <c r="C381" s="861" t="s">
        <v>2445</v>
      </c>
      <c r="D381" s="861" t="s">
        <v>371</v>
      </c>
      <c r="E381" s="861"/>
      <c r="F381" s="862"/>
      <c r="G381" s="869">
        <v>10.7147047</v>
      </c>
      <c r="H381" s="874">
        <v>419741968.14999998</v>
      </c>
      <c r="I381" s="871"/>
      <c r="J381" s="863" t="s">
        <v>2446</v>
      </c>
      <c r="K381" s="868">
        <f t="shared" si="42"/>
        <v>316</v>
      </c>
      <c r="L381" s="861"/>
      <c r="M381" s="671">
        <f t="shared" si="43"/>
        <v>379</v>
      </c>
      <c r="N381" s="671" t="str">
        <f t="shared" si="44"/>
        <v>N/A</v>
      </c>
      <c r="O381" s="671" t="str">
        <f t="shared" si="45"/>
        <v>N/A</v>
      </c>
      <c r="P381" s="861"/>
      <c r="Q381" s="861"/>
      <c r="R381" s="861"/>
      <c r="S381" s="861" t="s">
        <v>424</v>
      </c>
      <c r="T381" s="866" t="s">
        <v>2447</v>
      </c>
      <c r="U381" s="865"/>
    </row>
    <row r="382" spans="1:21" ht="15">
      <c r="A382" s="672"/>
      <c r="B382" s="861" t="s">
        <v>2448</v>
      </c>
      <c r="C382" s="861" t="s">
        <v>2449</v>
      </c>
      <c r="D382" s="861" t="s">
        <v>371</v>
      </c>
      <c r="E382" s="861"/>
      <c r="F382" s="862">
        <v>4.4999999999999998E-2</v>
      </c>
      <c r="G382" s="869">
        <v>1.54290493</v>
      </c>
      <c r="H382" s="874">
        <v>418921369.13999999</v>
      </c>
      <c r="I382" s="871"/>
      <c r="J382" s="863" t="s">
        <v>2450</v>
      </c>
      <c r="K382" s="868">
        <f t="shared" si="42"/>
        <v>262</v>
      </c>
      <c r="L382" s="861"/>
      <c r="M382" s="671">
        <f t="shared" si="43"/>
        <v>380</v>
      </c>
      <c r="N382" s="671" t="str">
        <f t="shared" si="44"/>
        <v>N/A</v>
      </c>
      <c r="O382" s="671" t="str">
        <f t="shared" si="45"/>
        <v>N/A</v>
      </c>
      <c r="P382" s="861" t="s">
        <v>1529</v>
      </c>
      <c r="Q382" s="861" t="s">
        <v>1433</v>
      </c>
      <c r="R382" s="861"/>
      <c r="S382" s="861" t="s">
        <v>404</v>
      </c>
      <c r="T382" s="866" t="s">
        <v>2451</v>
      </c>
      <c r="U382" s="865"/>
    </row>
    <row r="383" spans="1:21" ht="15">
      <c r="A383" s="857"/>
      <c r="B383" s="861" t="s">
        <v>2452</v>
      </c>
      <c r="C383" s="861" t="s">
        <v>2453</v>
      </c>
      <c r="D383" s="861" t="s">
        <v>371</v>
      </c>
      <c r="E383" s="861"/>
      <c r="F383" s="862">
        <v>-3.9E-2</v>
      </c>
      <c r="G383" s="870" t="s">
        <v>2454</v>
      </c>
      <c r="H383" s="874">
        <v>417760863.77999997</v>
      </c>
      <c r="I383" s="871"/>
      <c r="J383" s="862">
        <v>0.106</v>
      </c>
      <c r="K383" s="868">
        <f t="shared" si="42"/>
        <v>340</v>
      </c>
      <c r="L383" s="861"/>
      <c r="M383" s="671">
        <f t="shared" si="43"/>
        <v>381</v>
      </c>
      <c r="N383" s="671" t="str">
        <f t="shared" si="44"/>
        <v>N/A</v>
      </c>
      <c r="O383" s="671">
        <f t="shared" si="45"/>
        <v>468</v>
      </c>
      <c r="P383" s="861" t="s">
        <v>931</v>
      </c>
      <c r="Q383" s="861" t="s">
        <v>2455</v>
      </c>
      <c r="R383" s="861"/>
      <c r="S383" s="861" t="s">
        <v>454</v>
      </c>
      <c r="T383" s="866" t="s">
        <v>2456</v>
      </c>
      <c r="U383" s="865"/>
    </row>
    <row r="384" spans="1:21" ht="15">
      <c r="A384" s="672"/>
      <c r="B384" s="861" t="s">
        <v>2457</v>
      </c>
      <c r="C384" s="861" t="s">
        <v>2458</v>
      </c>
      <c r="D384" s="861" t="s">
        <v>371</v>
      </c>
      <c r="E384" s="861"/>
      <c r="F384" s="862"/>
      <c r="G384" s="869">
        <v>8.2344553000000001E-2</v>
      </c>
      <c r="H384" s="874">
        <v>416491849.22000003</v>
      </c>
      <c r="I384" s="871"/>
      <c r="J384" s="863"/>
      <c r="K384" s="868">
        <f t="shared" si="42"/>
        <v>316</v>
      </c>
      <c r="L384" s="861"/>
      <c r="M384" s="671">
        <f t="shared" si="43"/>
        <v>382</v>
      </c>
      <c r="N384" s="671" t="str">
        <f t="shared" si="44"/>
        <v>N/A</v>
      </c>
      <c r="O384" s="671">
        <f t="shared" si="45"/>
        <v>708</v>
      </c>
      <c r="P384" s="861" t="s">
        <v>404</v>
      </c>
      <c r="Q384" s="861" t="s">
        <v>2459</v>
      </c>
      <c r="R384" s="861"/>
      <c r="S384" s="861" t="s">
        <v>2460</v>
      </c>
      <c r="T384" s="866" t="s">
        <v>2461</v>
      </c>
      <c r="U384" s="865"/>
    </row>
    <row r="385" spans="1:21" ht="15">
      <c r="A385" s="857"/>
      <c r="B385" s="861" t="s">
        <v>2462</v>
      </c>
      <c r="C385" s="861" t="s">
        <v>2463</v>
      </c>
      <c r="D385" s="861" t="s">
        <v>371</v>
      </c>
      <c r="E385" s="861"/>
      <c r="F385" s="862"/>
      <c r="G385" s="869">
        <v>1.4436526E-2</v>
      </c>
      <c r="H385" s="874">
        <v>415773278.08999997</v>
      </c>
      <c r="I385" s="871"/>
      <c r="J385" s="862">
        <v>0.38400000000000001</v>
      </c>
      <c r="K385" s="868">
        <f t="shared" si="42"/>
        <v>316</v>
      </c>
      <c r="L385" s="861"/>
      <c r="M385" s="671">
        <f t="shared" si="43"/>
        <v>383</v>
      </c>
      <c r="N385" s="671" t="str">
        <f t="shared" si="44"/>
        <v>N/A</v>
      </c>
      <c r="O385" s="671">
        <f t="shared" si="45"/>
        <v>64</v>
      </c>
      <c r="P385" s="861"/>
      <c r="Q385" s="861"/>
      <c r="R385" s="861"/>
      <c r="S385" s="861" t="s">
        <v>424</v>
      </c>
      <c r="T385" s="866" t="s">
        <v>2464</v>
      </c>
      <c r="U385" s="865"/>
    </row>
    <row r="386" spans="1:21" ht="15">
      <c r="A386" s="672"/>
      <c r="B386" s="861" t="s">
        <v>2465</v>
      </c>
      <c r="C386" s="861" t="s">
        <v>2466</v>
      </c>
      <c r="D386" s="861" t="s">
        <v>371</v>
      </c>
      <c r="E386" s="861"/>
      <c r="F386" s="862">
        <v>0.24099999999999999</v>
      </c>
      <c r="G386" s="869">
        <v>0.513575738</v>
      </c>
      <c r="H386" s="874">
        <v>414440259.81</v>
      </c>
      <c r="I386" s="872" t="s">
        <v>2467</v>
      </c>
      <c r="J386" s="862">
        <v>0.25600000000000001</v>
      </c>
      <c r="K386" s="868">
        <f t="shared" si="42"/>
        <v>72</v>
      </c>
      <c r="L386" s="861"/>
      <c r="M386" s="671">
        <f t="shared" si="43"/>
        <v>384</v>
      </c>
      <c r="N386" s="671" t="str">
        <f t="shared" si="44"/>
        <v>N/A</v>
      </c>
      <c r="O386" s="671">
        <f t="shared" si="45"/>
        <v>172</v>
      </c>
      <c r="P386" s="861" t="s">
        <v>2468</v>
      </c>
      <c r="Q386" s="861"/>
      <c r="R386" s="861"/>
      <c r="S386" s="861" t="s">
        <v>424</v>
      </c>
      <c r="T386" s="866" t="s">
        <v>2469</v>
      </c>
      <c r="U386" s="865"/>
    </row>
    <row r="387" spans="1:21" ht="15">
      <c r="A387" s="857"/>
      <c r="B387" s="861" t="s">
        <v>2470</v>
      </c>
      <c r="C387" s="861" t="s">
        <v>2471</v>
      </c>
      <c r="D387" s="861" t="s">
        <v>371</v>
      </c>
      <c r="E387" s="861"/>
      <c r="F387" s="862">
        <v>0.13300000000000001</v>
      </c>
      <c r="G387" s="869">
        <v>0.205350806</v>
      </c>
      <c r="H387" s="874">
        <v>414085449.35000002</v>
      </c>
      <c r="I387" s="871">
        <v>46.87</v>
      </c>
      <c r="J387" s="863" t="s">
        <v>2472</v>
      </c>
      <c r="K387" s="868">
        <f t="shared" si="42"/>
        <v>163</v>
      </c>
      <c r="L387" s="861"/>
      <c r="M387" s="671">
        <f t="shared" si="43"/>
        <v>385</v>
      </c>
      <c r="N387" s="671">
        <f t="shared" si="44"/>
        <v>89</v>
      </c>
      <c r="O387" s="671" t="str">
        <f t="shared" si="45"/>
        <v>N/A</v>
      </c>
      <c r="P387" s="861" t="s">
        <v>2473</v>
      </c>
      <c r="Q387" s="861"/>
      <c r="R387" s="861"/>
      <c r="S387" s="861" t="s">
        <v>2069</v>
      </c>
      <c r="T387" s="866" t="s">
        <v>2474</v>
      </c>
      <c r="U387" s="865"/>
    </row>
    <row r="388" spans="1:21" ht="15">
      <c r="A388" s="672"/>
      <c r="B388" s="861" t="s">
        <v>2475</v>
      </c>
      <c r="C388" s="861" t="s">
        <v>2476</v>
      </c>
      <c r="D388" s="861" t="s">
        <v>371</v>
      </c>
      <c r="E388" s="861"/>
      <c r="F388" s="862">
        <v>-0.191</v>
      </c>
      <c r="G388" s="870" t="s">
        <v>2477</v>
      </c>
      <c r="H388" s="874">
        <v>407045300.95999998</v>
      </c>
      <c r="I388" s="871"/>
      <c r="J388" s="862">
        <v>0.14599999999999999</v>
      </c>
      <c r="K388" s="868">
        <f t="shared" ref="K388:K451" si="46">IFERROR(_xlfn.RANK.EQ(F388,F$3:F$1770),"N/A")</f>
        <v>409</v>
      </c>
      <c r="L388" s="861"/>
      <c r="M388" s="671">
        <f t="shared" ref="M388:M451" si="47">IFERROR(_xlfn.RANK.EQ(H388,H$3:H$1770),"N/A")</f>
        <v>386</v>
      </c>
      <c r="N388" s="671" t="str">
        <f t="shared" ref="N388:N451" si="48">IFERROR(_xlfn.RANK.EQ(I388,I$3:I$1770),"N/A")</f>
        <v>N/A</v>
      </c>
      <c r="O388" s="671">
        <f t="shared" ref="O388:O451" si="49">IFERROR(_xlfn.RANK.EQ(J388,J$3:J$1770),"N/A")</f>
        <v>356</v>
      </c>
      <c r="P388" s="861" t="s">
        <v>2478</v>
      </c>
      <c r="Q388" s="861"/>
      <c r="R388" s="861"/>
      <c r="S388" s="861" t="s">
        <v>734</v>
      </c>
      <c r="T388" s="866" t="s">
        <v>2479</v>
      </c>
      <c r="U388" s="865"/>
    </row>
    <row r="389" spans="1:21" ht="15">
      <c r="A389" s="857"/>
      <c r="B389" s="861" t="s">
        <v>2480</v>
      </c>
      <c r="C389" s="861" t="s">
        <v>2481</v>
      </c>
      <c r="D389" s="861" t="s">
        <v>371</v>
      </c>
      <c r="E389" s="861"/>
      <c r="F389" s="862">
        <v>5.8999999999999997E-2</v>
      </c>
      <c r="G389" s="869">
        <v>1.060680356</v>
      </c>
      <c r="H389" s="874">
        <v>404805140.38</v>
      </c>
      <c r="I389" s="871"/>
      <c r="J389" s="863" t="s">
        <v>2482</v>
      </c>
      <c r="K389" s="868">
        <f t="shared" si="46"/>
        <v>242</v>
      </c>
      <c r="L389" s="861"/>
      <c r="M389" s="671">
        <f t="shared" si="47"/>
        <v>387</v>
      </c>
      <c r="N389" s="671" t="str">
        <f t="shared" si="48"/>
        <v>N/A</v>
      </c>
      <c r="O389" s="671" t="str">
        <f t="shared" si="49"/>
        <v>N/A</v>
      </c>
      <c r="P389" s="861"/>
      <c r="Q389" s="861"/>
      <c r="R389" s="861"/>
      <c r="S389" s="861" t="s">
        <v>424</v>
      </c>
      <c r="T389" s="866" t="s">
        <v>2483</v>
      </c>
      <c r="U389" s="865"/>
    </row>
    <row r="390" spans="1:21" ht="15">
      <c r="A390" s="672"/>
      <c r="B390" s="861" t="s">
        <v>2484</v>
      </c>
      <c r="C390" s="861" t="s">
        <v>2485</v>
      </c>
      <c r="D390" s="861" t="s">
        <v>371</v>
      </c>
      <c r="E390" s="861"/>
      <c r="F390" s="862"/>
      <c r="G390" s="870" t="s">
        <v>2486</v>
      </c>
      <c r="H390" s="874">
        <v>403801118.55000001</v>
      </c>
      <c r="I390" s="871">
        <v>2.25</v>
      </c>
      <c r="J390" s="862">
        <v>0.20599999999999999</v>
      </c>
      <c r="K390" s="868">
        <f t="shared" si="46"/>
        <v>316</v>
      </c>
      <c r="L390" s="861"/>
      <c r="M390" s="671">
        <f t="shared" si="47"/>
        <v>388</v>
      </c>
      <c r="N390" s="671">
        <f t="shared" si="48"/>
        <v>292</v>
      </c>
      <c r="O390" s="671">
        <f t="shared" si="49"/>
        <v>245</v>
      </c>
      <c r="P390" s="861" t="s">
        <v>2487</v>
      </c>
      <c r="Q390" s="861" t="s">
        <v>2488</v>
      </c>
      <c r="R390" s="861"/>
      <c r="S390" s="861" t="s">
        <v>454</v>
      </c>
      <c r="T390" s="866" t="s">
        <v>2489</v>
      </c>
      <c r="U390" s="865"/>
    </row>
    <row r="391" spans="1:21" ht="15">
      <c r="A391" s="857"/>
      <c r="B391" s="861" t="s">
        <v>2490</v>
      </c>
      <c r="C391" s="861" t="s">
        <v>2491</v>
      </c>
      <c r="D391" s="861" t="s">
        <v>371</v>
      </c>
      <c r="E391" s="861"/>
      <c r="F391" s="862"/>
      <c r="G391" s="869">
        <v>2.1054830290000002</v>
      </c>
      <c r="H391" s="874">
        <v>403752741.5</v>
      </c>
      <c r="I391" s="871"/>
      <c r="J391" s="862">
        <v>7.0000000000000007E-2</v>
      </c>
      <c r="K391" s="868">
        <f t="shared" si="46"/>
        <v>316</v>
      </c>
      <c r="L391" s="861"/>
      <c r="M391" s="671">
        <f t="shared" si="47"/>
        <v>389</v>
      </c>
      <c r="N391" s="671" t="str">
        <f t="shared" si="48"/>
        <v>N/A</v>
      </c>
      <c r="O391" s="671">
        <f t="shared" si="49"/>
        <v>563</v>
      </c>
      <c r="P391" s="861" t="s">
        <v>2492</v>
      </c>
      <c r="Q391" s="861" t="s">
        <v>2493</v>
      </c>
      <c r="R391" s="861"/>
      <c r="S391" s="861" t="s">
        <v>1627</v>
      </c>
      <c r="T391" s="866" t="s">
        <v>2494</v>
      </c>
      <c r="U391" s="865"/>
    </row>
    <row r="392" spans="1:21" ht="15">
      <c r="A392" s="672"/>
      <c r="B392" s="861" t="s">
        <v>2495</v>
      </c>
      <c r="C392" s="861" t="s">
        <v>2496</v>
      </c>
      <c r="D392" s="861" t="s">
        <v>371</v>
      </c>
      <c r="E392" s="861"/>
      <c r="F392" s="862">
        <v>8.3000000000000004E-2</v>
      </c>
      <c r="G392" s="869">
        <v>1.2239281820000001</v>
      </c>
      <c r="H392" s="874">
        <v>401474766.35000002</v>
      </c>
      <c r="I392" s="871"/>
      <c r="J392" s="862">
        <v>0.249</v>
      </c>
      <c r="K392" s="868">
        <f t="shared" si="46"/>
        <v>211</v>
      </c>
      <c r="L392" s="861"/>
      <c r="M392" s="671">
        <f t="shared" si="47"/>
        <v>390</v>
      </c>
      <c r="N392" s="671" t="str">
        <f t="shared" si="48"/>
        <v>N/A</v>
      </c>
      <c r="O392" s="671">
        <f t="shared" si="49"/>
        <v>180</v>
      </c>
      <c r="P392" s="861" t="s">
        <v>660</v>
      </c>
      <c r="Q392" s="861" t="s">
        <v>2497</v>
      </c>
      <c r="R392" s="861"/>
      <c r="S392" s="861" t="s">
        <v>2498</v>
      </c>
      <c r="T392" s="866" t="s">
        <v>2499</v>
      </c>
      <c r="U392" s="865"/>
    </row>
    <row r="393" spans="1:21" ht="15">
      <c r="A393" s="857"/>
      <c r="B393" s="861" t="s">
        <v>2500</v>
      </c>
      <c r="C393" s="861" t="s">
        <v>2501</v>
      </c>
      <c r="D393" s="861" t="s">
        <v>371</v>
      </c>
      <c r="E393" s="861"/>
      <c r="F393" s="862"/>
      <c r="G393" s="869">
        <v>3.6417198879999999</v>
      </c>
      <c r="H393" s="874">
        <v>397118305.60000002</v>
      </c>
      <c r="I393" s="871">
        <v>38.979999999999997</v>
      </c>
      <c r="J393" s="863" t="s">
        <v>2502</v>
      </c>
      <c r="K393" s="868">
        <f t="shared" si="46"/>
        <v>316</v>
      </c>
      <c r="L393" s="861"/>
      <c r="M393" s="671">
        <f t="shared" si="47"/>
        <v>391</v>
      </c>
      <c r="N393" s="671">
        <f t="shared" si="48"/>
        <v>112</v>
      </c>
      <c r="O393" s="671" t="str">
        <f t="shared" si="49"/>
        <v>N/A</v>
      </c>
      <c r="P393" s="861" t="s">
        <v>2503</v>
      </c>
      <c r="Q393" s="861"/>
      <c r="R393" s="861"/>
      <c r="S393" s="861" t="s">
        <v>1252</v>
      </c>
      <c r="T393" s="866" t="s">
        <v>2504</v>
      </c>
      <c r="U393" s="865"/>
    </row>
    <row r="394" spans="1:21" ht="15">
      <c r="A394" s="672"/>
      <c r="B394" s="861" t="s">
        <v>2505</v>
      </c>
      <c r="C394" s="861" t="s">
        <v>2506</v>
      </c>
      <c r="D394" s="861" t="s">
        <v>371</v>
      </c>
      <c r="E394" s="861"/>
      <c r="F394" s="862">
        <v>-0.40600000000000003</v>
      </c>
      <c r="G394" s="870" t="s">
        <v>2507</v>
      </c>
      <c r="H394" s="874">
        <v>392491386.24000001</v>
      </c>
      <c r="I394" s="871">
        <v>15.59</v>
      </c>
      <c r="J394" s="863" t="s">
        <v>2508</v>
      </c>
      <c r="K394" s="868">
        <f t="shared" si="46"/>
        <v>468</v>
      </c>
      <c r="L394" s="861"/>
      <c r="M394" s="671">
        <f t="shared" si="47"/>
        <v>392</v>
      </c>
      <c r="N394" s="671">
        <f t="shared" si="48"/>
        <v>193</v>
      </c>
      <c r="O394" s="671" t="str">
        <f t="shared" si="49"/>
        <v>N/A</v>
      </c>
      <c r="P394" s="861" t="s">
        <v>1150</v>
      </c>
      <c r="Q394" s="861" t="s">
        <v>2509</v>
      </c>
      <c r="R394" s="861"/>
      <c r="S394" s="861" t="s">
        <v>1419</v>
      </c>
      <c r="T394" s="866" t="s">
        <v>2510</v>
      </c>
      <c r="U394" s="865"/>
    </row>
    <row r="395" spans="1:21" ht="15">
      <c r="A395" s="857"/>
      <c r="B395" s="861" t="s">
        <v>2511</v>
      </c>
      <c r="C395" s="861" t="s">
        <v>2512</v>
      </c>
      <c r="D395" s="861" t="s">
        <v>371</v>
      </c>
      <c r="E395" s="861"/>
      <c r="F395" s="862"/>
      <c r="G395" s="869">
        <v>0</v>
      </c>
      <c r="H395" s="874">
        <v>386044678.07999998</v>
      </c>
      <c r="I395" s="871"/>
      <c r="J395" s="863" t="s">
        <v>2513</v>
      </c>
      <c r="K395" s="868">
        <f t="shared" si="46"/>
        <v>316</v>
      </c>
      <c r="L395" s="861"/>
      <c r="M395" s="671">
        <f t="shared" si="47"/>
        <v>393</v>
      </c>
      <c r="N395" s="671" t="str">
        <f t="shared" si="48"/>
        <v>N/A</v>
      </c>
      <c r="O395" s="671" t="str">
        <f t="shared" si="49"/>
        <v>N/A</v>
      </c>
      <c r="P395" s="861" t="s">
        <v>2117</v>
      </c>
      <c r="Q395" s="861" t="s">
        <v>2514</v>
      </c>
      <c r="R395" s="861"/>
      <c r="S395" s="861" t="s">
        <v>2515</v>
      </c>
      <c r="T395" s="866" t="s">
        <v>2516</v>
      </c>
      <c r="U395" s="865"/>
    </row>
    <row r="396" spans="1:21" ht="15">
      <c r="A396" s="672"/>
      <c r="B396" s="861" t="s">
        <v>2517</v>
      </c>
      <c r="C396" s="861" t="s">
        <v>2518</v>
      </c>
      <c r="D396" s="861" t="s">
        <v>371</v>
      </c>
      <c r="E396" s="861"/>
      <c r="F396" s="862"/>
      <c r="G396" s="869">
        <v>0</v>
      </c>
      <c r="H396" s="874">
        <v>383920704.67000002</v>
      </c>
      <c r="I396" s="871"/>
      <c r="J396" s="862">
        <v>0.34100000000000003</v>
      </c>
      <c r="K396" s="868">
        <f t="shared" si="46"/>
        <v>316</v>
      </c>
      <c r="L396" s="861" t="s">
        <v>533</v>
      </c>
      <c r="M396" s="671">
        <f t="shared" si="47"/>
        <v>394</v>
      </c>
      <c r="N396" s="671" t="str">
        <f t="shared" si="48"/>
        <v>N/A</v>
      </c>
      <c r="O396" s="671">
        <f t="shared" si="49"/>
        <v>83</v>
      </c>
      <c r="P396" s="861" t="s">
        <v>2519</v>
      </c>
      <c r="Q396" s="861" t="s">
        <v>2520</v>
      </c>
      <c r="R396" s="861" t="s">
        <v>526</v>
      </c>
      <c r="S396" s="861" t="s">
        <v>2521</v>
      </c>
      <c r="T396" s="866" t="s">
        <v>2522</v>
      </c>
      <c r="U396" s="865"/>
    </row>
    <row r="397" spans="1:21" ht="15">
      <c r="A397" s="857"/>
      <c r="B397" s="861" t="s">
        <v>2523</v>
      </c>
      <c r="C397" s="861" t="s">
        <v>2524</v>
      </c>
      <c r="D397" s="861" t="s">
        <v>371</v>
      </c>
      <c r="E397" s="861"/>
      <c r="F397" s="862">
        <v>0.11600000000000001</v>
      </c>
      <c r="G397" s="869">
        <v>0.99017777399999996</v>
      </c>
      <c r="H397" s="874">
        <v>379067881.73000002</v>
      </c>
      <c r="I397" s="871"/>
      <c r="J397" s="862">
        <v>0.191</v>
      </c>
      <c r="K397" s="868">
        <f t="shared" si="46"/>
        <v>179</v>
      </c>
      <c r="L397" s="861"/>
      <c r="M397" s="671">
        <f t="shared" si="47"/>
        <v>395</v>
      </c>
      <c r="N397" s="671" t="str">
        <f t="shared" si="48"/>
        <v>N/A</v>
      </c>
      <c r="O397" s="671">
        <f t="shared" si="49"/>
        <v>270</v>
      </c>
      <c r="P397" s="861" t="s">
        <v>1879</v>
      </c>
      <c r="Q397" s="861"/>
      <c r="R397" s="861"/>
      <c r="S397" s="861" t="s">
        <v>404</v>
      </c>
      <c r="T397" s="866" t="s">
        <v>2525</v>
      </c>
      <c r="U397" s="865"/>
    </row>
    <row r="398" spans="1:21" ht="15">
      <c r="A398" s="672"/>
      <c r="B398" s="861" t="s">
        <v>2526</v>
      </c>
      <c r="C398" s="861" t="s">
        <v>2527</v>
      </c>
      <c r="D398" s="861" t="s">
        <v>371</v>
      </c>
      <c r="E398" s="861"/>
      <c r="F398" s="862">
        <v>-2.1000000000000001E-2</v>
      </c>
      <c r="G398" s="870" t="s">
        <v>2528</v>
      </c>
      <c r="H398" s="874">
        <v>378835531.36000001</v>
      </c>
      <c r="I398" s="871">
        <v>32.119999999999997</v>
      </c>
      <c r="J398" s="863" t="s">
        <v>2529</v>
      </c>
      <c r="K398" s="868">
        <f t="shared" si="46"/>
        <v>328</v>
      </c>
      <c r="L398" s="861"/>
      <c r="M398" s="671">
        <f t="shared" si="47"/>
        <v>396</v>
      </c>
      <c r="N398" s="671">
        <f t="shared" si="48"/>
        <v>136</v>
      </c>
      <c r="O398" s="671" t="str">
        <f t="shared" si="49"/>
        <v>N/A</v>
      </c>
      <c r="P398" s="861" t="s">
        <v>2069</v>
      </c>
      <c r="Q398" s="861" t="s">
        <v>1230</v>
      </c>
      <c r="R398" s="861"/>
      <c r="S398" s="861" t="s">
        <v>734</v>
      </c>
      <c r="T398" s="866" t="s">
        <v>2530</v>
      </c>
      <c r="U398" s="865"/>
    </row>
    <row r="399" spans="1:21" ht="15">
      <c r="A399" s="857"/>
      <c r="B399" s="861" t="s">
        <v>2531</v>
      </c>
      <c r="C399" s="861" t="s">
        <v>2532</v>
      </c>
      <c r="D399" s="861" t="s">
        <v>371</v>
      </c>
      <c r="E399" s="861"/>
      <c r="F399" s="862">
        <v>-4.4610000000000003</v>
      </c>
      <c r="G399" s="870" t="s">
        <v>2533</v>
      </c>
      <c r="H399" s="874">
        <v>378194612.08999997</v>
      </c>
      <c r="I399" s="871"/>
      <c r="J399" s="861"/>
      <c r="K399" s="868">
        <f t="shared" si="46"/>
        <v>503</v>
      </c>
      <c r="L399" s="861"/>
      <c r="M399" s="671">
        <f t="shared" si="47"/>
        <v>397</v>
      </c>
      <c r="N399" s="671" t="str">
        <f t="shared" si="48"/>
        <v>N/A</v>
      </c>
      <c r="O399" s="671">
        <f t="shared" si="49"/>
        <v>708</v>
      </c>
      <c r="P399" s="861" t="s">
        <v>803</v>
      </c>
      <c r="Q399" s="861" t="s">
        <v>2534</v>
      </c>
      <c r="R399" s="861"/>
      <c r="S399" s="861" t="s">
        <v>1137</v>
      </c>
      <c r="T399" s="866" t="s">
        <v>2535</v>
      </c>
      <c r="U399" s="865"/>
    </row>
    <row r="400" spans="1:21" ht="15">
      <c r="A400" s="672"/>
      <c r="B400" s="861" t="s">
        <v>2536</v>
      </c>
      <c r="C400" s="861" t="s">
        <v>2537</v>
      </c>
      <c r="D400" s="861" t="s">
        <v>371</v>
      </c>
      <c r="E400" s="861"/>
      <c r="F400" s="862">
        <v>-0.02</v>
      </c>
      <c r="G400" s="870" t="s">
        <v>2538</v>
      </c>
      <c r="H400" s="874">
        <v>378073090.75999999</v>
      </c>
      <c r="I400" s="871">
        <v>1.66</v>
      </c>
      <c r="J400" s="862">
        <v>0.19700000000000001</v>
      </c>
      <c r="K400" s="868">
        <f t="shared" si="46"/>
        <v>327</v>
      </c>
      <c r="L400" s="861"/>
      <c r="M400" s="671">
        <f t="shared" si="47"/>
        <v>398</v>
      </c>
      <c r="N400" s="671">
        <f t="shared" si="48"/>
        <v>299</v>
      </c>
      <c r="O400" s="671">
        <f t="shared" si="49"/>
        <v>258</v>
      </c>
      <c r="P400" s="861" t="s">
        <v>2229</v>
      </c>
      <c r="Q400" s="861" t="s">
        <v>2539</v>
      </c>
      <c r="R400" s="861"/>
      <c r="S400" s="861" t="s">
        <v>2540</v>
      </c>
      <c r="T400" s="866" t="s">
        <v>2541</v>
      </c>
      <c r="U400" s="865"/>
    </row>
    <row r="401" spans="1:21" ht="15">
      <c r="A401" s="857"/>
      <c r="B401" s="861" t="s">
        <v>2542</v>
      </c>
      <c r="C401" s="861" t="s">
        <v>2543</v>
      </c>
      <c r="D401" s="861" t="s">
        <v>371</v>
      </c>
      <c r="E401" s="861"/>
      <c r="F401" s="862"/>
      <c r="G401" s="869">
        <v>0</v>
      </c>
      <c r="H401" s="874">
        <v>375442394.58999997</v>
      </c>
      <c r="I401" s="871"/>
      <c r="J401" s="863" t="s">
        <v>2544</v>
      </c>
      <c r="K401" s="868">
        <f t="shared" si="46"/>
        <v>316</v>
      </c>
      <c r="L401" s="861"/>
      <c r="M401" s="671">
        <f t="shared" si="47"/>
        <v>399</v>
      </c>
      <c r="N401" s="671" t="str">
        <f t="shared" si="48"/>
        <v>N/A</v>
      </c>
      <c r="O401" s="671" t="str">
        <f t="shared" si="49"/>
        <v>N/A</v>
      </c>
      <c r="P401" s="861"/>
      <c r="Q401" s="861"/>
      <c r="R401" s="861"/>
      <c r="S401" s="861" t="s">
        <v>424</v>
      </c>
      <c r="T401" s="866" t="s">
        <v>2545</v>
      </c>
      <c r="U401" s="865"/>
    </row>
    <row r="402" spans="1:21" ht="15">
      <c r="A402" s="672"/>
      <c r="B402" s="861" t="s">
        <v>2546</v>
      </c>
      <c r="C402" s="861" t="s">
        <v>2547</v>
      </c>
      <c r="D402" s="861" t="s">
        <v>371</v>
      </c>
      <c r="E402" s="861"/>
      <c r="F402" s="862">
        <v>-7.0000000000000001E-3</v>
      </c>
      <c r="G402" s="870" t="s">
        <v>2548</v>
      </c>
      <c r="H402" s="874">
        <v>374692556.56999999</v>
      </c>
      <c r="I402" s="871"/>
      <c r="J402" s="862">
        <v>0.30599999999999999</v>
      </c>
      <c r="K402" s="868">
        <f t="shared" si="46"/>
        <v>321</v>
      </c>
      <c r="L402" s="861"/>
      <c r="M402" s="671">
        <f t="shared" si="47"/>
        <v>400</v>
      </c>
      <c r="N402" s="671" t="str">
        <f t="shared" si="48"/>
        <v>N/A</v>
      </c>
      <c r="O402" s="671">
        <f t="shared" si="49"/>
        <v>120</v>
      </c>
      <c r="P402" s="861" t="s">
        <v>2549</v>
      </c>
      <c r="Q402" s="861"/>
      <c r="R402" s="861"/>
      <c r="S402" s="861" t="s">
        <v>424</v>
      </c>
      <c r="T402" s="866" t="s">
        <v>2550</v>
      </c>
      <c r="U402" s="865"/>
    </row>
    <row r="403" spans="1:21" ht="15">
      <c r="A403" s="857"/>
      <c r="B403" s="861" t="s">
        <v>2551</v>
      </c>
      <c r="C403" s="861" t="s">
        <v>2552</v>
      </c>
      <c r="D403" s="861" t="s">
        <v>371</v>
      </c>
      <c r="E403" s="861"/>
      <c r="F403" s="862">
        <v>0.17199999999999999</v>
      </c>
      <c r="G403" s="869">
        <v>2.398883042</v>
      </c>
      <c r="H403" s="874">
        <v>374187532.73000002</v>
      </c>
      <c r="I403" s="871"/>
      <c r="J403" s="862">
        <v>0.02</v>
      </c>
      <c r="K403" s="868">
        <f t="shared" si="46"/>
        <v>116</v>
      </c>
      <c r="L403" s="861"/>
      <c r="M403" s="671">
        <f t="shared" si="47"/>
        <v>401</v>
      </c>
      <c r="N403" s="671" t="str">
        <f t="shared" si="48"/>
        <v>N/A</v>
      </c>
      <c r="O403" s="671">
        <f t="shared" si="49"/>
        <v>667</v>
      </c>
      <c r="P403" s="861" t="s">
        <v>2069</v>
      </c>
      <c r="Q403" s="861"/>
      <c r="R403" s="861"/>
      <c r="S403" s="861" t="s">
        <v>2553</v>
      </c>
      <c r="T403" s="866" t="s">
        <v>2554</v>
      </c>
      <c r="U403" s="865"/>
    </row>
    <row r="404" spans="1:21" ht="15">
      <c r="A404" s="672"/>
      <c r="B404" s="861" t="s">
        <v>2555</v>
      </c>
      <c r="C404" s="861" t="s">
        <v>2556</v>
      </c>
      <c r="D404" s="861" t="s">
        <v>371</v>
      </c>
      <c r="E404" s="861"/>
      <c r="F404" s="862">
        <v>-0.13500000000000001</v>
      </c>
      <c r="G404" s="870" t="s">
        <v>2557</v>
      </c>
      <c r="H404" s="874">
        <v>372984370.62</v>
      </c>
      <c r="I404" s="871">
        <v>34.92</v>
      </c>
      <c r="J404" s="863" t="s">
        <v>2558</v>
      </c>
      <c r="K404" s="868">
        <f t="shared" si="46"/>
        <v>396</v>
      </c>
      <c r="L404" s="861"/>
      <c r="M404" s="671">
        <f t="shared" si="47"/>
        <v>402</v>
      </c>
      <c r="N404" s="671">
        <f t="shared" si="48"/>
        <v>126</v>
      </c>
      <c r="O404" s="671" t="str">
        <f t="shared" si="49"/>
        <v>N/A</v>
      </c>
      <c r="P404" s="861" t="s">
        <v>1150</v>
      </c>
      <c r="Q404" s="861" t="s">
        <v>2559</v>
      </c>
      <c r="R404" s="861" t="s">
        <v>1127</v>
      </c>
      <c r="S404" s="861" t="s">
        <v>884</v>
      </c>
      <c r="T404" s="866" t="s">
        <v>2560</v>
      </c>
      <c r="U404" s="865"/>
    </row>
    <row r="405" spans="1:21" ht="15">
      <c r="A405" s="857"/>
      <c r="B405" s="861" t="s">
        <v>2561</v>
      </c>
      <c r="C405" s="861" t="s">
        <v>2562</v>
      </c>
      <c r="D405" s="861" t="s">
        <v>371</v>
      </c>
      <c r="E405" s="861"/>
      <c r="F405" s="862"/>
      <c r="G405" s="870" t="s">
        <v>2563</v>
      </c>
      <c r="H405" s="874">
        <v>369760584.36000001</v>
      </c>
      <c r="I405" s="871">
        <v>21.77</v>
      </c>
      <c r="J405" s="862">
        <v>3.4000000000000002E-2</v>
      </c>
      <c r="K405" s="868">
        <f t="shared" si="46"/>
        <v>316</v>
      </c>
      <c r="L405" s="861"/>
      <c r="M405" s="671">
        <f t="shared" si="47"/>
        <v>403</v>
      </c>
      <c r="N405" s="671">
        <f t="shared" si="48"/>
        <v>169</v>
      </c>
      <c r="O405" s="671">
        <f t="shared" si="49"/>
        <v>645</v>
      </c>
      <c r="P405" s="861" t="s">
        <v>2564</v>
      </c>
      <c r="Q405" s="861"/>
      <c r="R405" s="861"/>
      <c r="S405" s="861" t="s">
        <v>404</v>
      </c>
      <c r="T405" s="866" t="s">
        <v>2565</v>
      </c>
      <c r="U405" s="865"/>
    </row>
    <row r="406" spans="1:21" ht="15">
      <c r="A406" s="672"/>
      <c r="B406" s="861" t="s">
        <v>2566</v>
      </c>
      <c r="C406" s="861" t="s">
        <v>2567</v>
      </c>
      <c r="D406" s="861" t="s">
        <v>371</v>
      </c>
      <c r="E406" s="861"/>
      <c r="F406" s="862">
        <v>-8.9999999999999993E-3</v>
      </c>
      <c r="G406" s="870" t="s">
        <v>2568</v>
      </c>
      <c r="H406" s="874">
        <v>367360280.44999999</v>
      </c>
      <c r="I406" s="871"/>
      <c r="J406" s="862">
        <v>0.308</v>
      </c>
      <c r="K406" s="868">
        <f t="shared" si="46"/>
        <v>322</v>
      </c>
      <c r="L406" s="861" t="s">
        <v>801</v>
      </c>
      <c r="M406" s="671">
        <f t="shared" si="47"/>
        <v>404</v>
      </c>
      <c r="N406" s="671" t="str">
        <f t="shared" si="48"/>
        <v>N/A</v>
      </c>
      <c r="O406" s="671">
        <f t="shared" si="49"/>
        <v>118</v>
      </c>
      <c r="P406" s="861" t="s">
        <v>399</v>
      </c>
      <c r="Q406" s="861" t="s">
        <v>2569</v>
      </c>
      <c r="R406" s="861" t="s">
        <v>1490</v>
      </c>
      <c r="S406" s="861" t="s">
        <v>2570</v>
      </c>
      <c r="T406" s="866" t="s">
        <v>2571</v>
      </c>
      <c r="U406" s="865"/>
    </row>
    <row r="407" spans="1:21" ht="15">
      <c r="A407" s="857"/>
      <c r="B407" s="861" t="s">
        <v>2572</v>
      </c>
      <c r="C407" s="861" t="s">
        <v>2573</v>
      </c>
      <c r="D407" s="861" t="s">
        <v>371</v>
      </c>
      <c r="E407" s="861"/>
      <c r="F407" s="862">
        <v>0.192</v>
      </c>
      <c r="G407" s="869">
        <v>0.15040336700000001</v>
      </c>
      <c r="H407" s="874">
        <v>365509741.36000001</v>
      </c>
      <c r="I407" s="871"/>
      <c r="J407" s="862">
        <v>1.2E-2</v>
      </c>
      <c r="K407" s="868">
        <f t="shared" si="46"/>
        <v>101</v>
      </c>
      <c r="L407" s="861"/>
      <c r="M407" s="671">
        <f t="shared" si="47"/>
        <v>405</v>
      </c>
      <c r="N407" s="671" t="str">
        <f t="shared" si="48"/>
        <v>N/A</v>
      </c>
      <c r="O407" s="671">
        <f t="shared" si="49"/>
        <v>678</v>
      </c>
      <c r="P407" s="861" t="s">
        <v>434</v>
      </c>
      <c r="Q407" s="861" t="s">
        <v>2574</v>
      </c>
      <c r="R407" s="861"/>
      <c r="S407" s="861" t="s">
        <v>570</v>
      </c>
      <c r="T407" s="866" t="s">
        <v>2575</v>
      </c>
      <c r="U407" s="865"/>
    </row>
    <row r="408" spans="1:21" ht="15">
      <c r="A408" s="672"/>
      <c r="B408" s="861" t="s">
        <v>2576</v>
      </c>
      <c r="C408" s="861" t="s">
        <v>2577</v>
      </c>
      <c r="D408" s="861" t="s">
        <v>371</v>
      </c>
      <c r="E408" s="861"/>
      <c r="F408" s="862">
        <v>-9.8000000000000004E-2</v>
      </c>
      <c r="G408" s="870" t="s">
        <v>2578</v>
      </c>
      <c r="H408" s="874">
        <v>363946778.89999998</v>
      </c>
      <c r="I408" s="872" t="s">
        <v>2579</v>
      </c>
      <c r="J408" s="862">
        <v>0.42699999999999999</v>
      </c>
      <c r="K408" s="868">
        <f t="shared" si="46"/>
        <v>379</v>
      </c>
      <c r="L408" s="861" t="s">
        <v>1406</v>
      </c>
      <c r="M408" s="671">
        <f t="shared" si="47"/>
        <v>406</v>
      </c>
      <c r="N408" s="671" t="str">
        <f t="shared" si="48"/>
        <v>N/A</v>
      </c>
      <c r="O408" s="671">
        <f t="shared" si="49"/>
        <v>48</v>
      </c>
      <c r="P408" s="861" t="s">
        <v>1498</v>
      </c>
      <c r="Q408" s="861" t="s">
        <v>895</v>
      </c>
      <c r="R408" s="861" t="s">
        <v>827</v>
      </c>
      <c r="S408" s="861" t="s">
        <v>2580</v>
      </c>
      <c r="T408" s="866" t="s">
        <v>2581</v>
      </c>
      <c r="U408" s="865"/>
    </row>
    <row r="409" spans="1:21" ht="15">
      <c r="A409" s="857"/>
      <c r="B409" s="861" t="s">
        <v>2582</v>
      </c>
      <c r="C409" s="861" t="s">
        <v>2583</v>
      </c>
      <c r="D409" s="861" t="s">
        <v>371</v>
      </c>
      <c r="E409" s="861"/>
      <c r="F409" s="862">
        <v>0.187</v>
      </c>
      <c r="G409" s="869">
        <v>0</v>
      </c>
      <c r="H409" s="874">
        <v>363932671.88</v>
      </c>
      <c r="I409" s="871"/>
      <c r="J409" s="862">
        <v>1.7000000000000001E-2</v>
      </c>
      <c r="K409" s="868">
        <f t="shared" si="46"/>
        <v>107</v>
      </c>
      <c r="L409" s="861"/>
      <c r="M409" s="671">
        <f t="shared" si="47"/>
        <v>407</v>
      </c>
      <c r="N409" s="671" t="str">
        <f t="shared" si="48"/>
        <v>N/A</v>
      </c>
      <c r="O409" s="671">
        <f t="shared" si="49"/>
        <v>671</v>
      </c>
      <c r="P409" s="861" t="s">
        <v>868</v>
      </c>
      <c r="Q409" s="861"/>
      <c r="R409" s="861"/>
      <c r="S409" s="861" t="s">
        <v>424</v>
      </c>
      <c r="T409" s="866" t="s">
        <v>2584</v>
      </c>
      <c r="U409" s="865"/>
    </row>
    <row r="410" spans="1:21" ht="15">
      <c r="A410" s="672"/>
      <c r="B410" s="861" t="s">
        <v>2585</v>
      </c>
      <c r="C410" s="861" t="s">
        <v>2586</v>
      </c>
      <c r="D410" s="861" t="s">
        <v>371</v>
      </c>
      <c r="E410" s="861"/>
      <c r="F410" s="862"/>
      <c r="G410" s="869">
        <v>1.507073822</v>
      </c>
      <c r="H410" s="874">
        <v>360783978.31999999</v>
      </c>
      <c r="I410" s="871"/>
      <c r="J410" s="863" t="s">
        <v>2587</v>
      </c>
      <c r="K410" s="868">
        <f t="shared" si="46"/>
        <v>316</v>
      </c>
      <c r="L410" s="861"/>
      <c r="M410" s="671">
        <f t="shared" si="47"/>
        <v>408</v>
      </c>
      <c r="N410" s="671" t="str">
        <f t="shared" si="48"/>
        <v>N/A</v>
      </c>
      <c r="O410" s="671" t="str">
        <f t="shared" si="49"/>
        <v>N/A</v>
      </c>
      <c r="P410" s="861"/>
      <c r="Q410" s="861"/>
      <c r="R410" s="861"/>
      <c r="S410" s="861" t="s">
        <v>460</v>
      </c>
      <c r="T410" s="866" t="s">
        <v>2588</v>
      </c>
      <c r="U410" s="865"/>
    </row>
    <row r="411" spans="1:21" ht="15">
      <c r="A411" s="857"/>
      <c r="B411" s="861" t="s">
        <v>2589</v>
      </c>
      <c r="C411" s="861" t="s">
        <v>2590</v>
      </c>
      <c r="D411" s="861" t="s">
        <v>371</v>
      </c>
      <c r="E411" s="861"/>
      <c r="F411" s="862"/>
      <c r="G411" s="870" t="s">
        <v>2591</v>
      </c>
      <c r="H411" s="874">
        <v>358231590.74000001</v>
      </c>
      <c r="I411" s="871">
        <v>7.09</v>
      </c>
      <c r="J411" s="862">
        <v>0.312</v>
      </c>
      <c r="K411" s="868">
        <f t="shared" si="46"/>
        <v>316</v>
      </c>
      <c r="L411" s="861"/>
      <c r="M411" s="671">
        <f t="shared" si="47"/>
        <v>409</v>
      </c>
      <c r="N411" s="671">
        <f t="shared" si="48"/>
        <v>251</v>
      </c>
      <c r="O411" s="671">
        <f t="shared" si="49"/>
        <v>111</v>
      </c>
      <c r="P411" s="861" t="s">
        <v>449</v>
      </c>
      <c r="Q411" s="861" t="s">
        <v>2592</v>
      </c>
      <c r="R411" s="861"/>
      <c r="S411" s="861" t="s">
        <v>1178</v>
      </c>
      <c r="T411" s="866" t="s">
        <v>2593</v>
      </c>
      <c r="U411" s="865"/>
    </row>
    <row r="412" spans="1:21" ht="15">
      <c r="A412" s="672"/>
      <c r="B412" s="861" t="s">
        <v>2594</v>
      </c>
      <c r="C412" s="861" t="s">
        <v>2595</v>
      </c>
      <c r="D412" s="861" t="s">
        <v>371</v>
      </c>
      <c r="E412" s="861"/>
      <c r="F412" s="862">
        <v>0.39900000000000002</v>
      </c>
      <c r="G412" s="869">
        <v>2.4627369109999999</v>
      </c>
      <c r="H412" s="874">
        <v>354270108.58999997</v>
      </c>
      <c r="I412" s="871"/>
      <c r="J412" s="862">
        <v>0.18</v>
      </c>
      <c r="K412" s="868">
        <f t="shared" si="46"/>
        <v>29</v>
      </c>
      <c r="L412" s="861"/>
      <c r="M412" s="671">
        <f t="shared" si="47"/>
        <v>410</v>
      </c>
      <c r="N412" s="671" t="str">
        <f t="shared" si="48"/>
        <v>N/A</v>
      </c>
      <c r="O412" s="671">
        <f t="shared" si="49"/>
        <v>289</v>
      </c>
      <c r="P412" s="861"/>
      <c r="Q412" s="861"/>
      <c r="R412" s="861"/>
      <c r="S412" s="861" t="s">
        <v>506</v>
      </c>
      <c r="T412" s="866" t="s">
        <v>2596</v>
      </c>
      <c r="U412" s="865"/>
    </row>
    <row r="413" spans="1:21" ht="15">
      <c r="A413" s="857"/>
      <c r="B413" s="861" t="s">
        <v>2597</v>
      </c>
      <c r="C413" s="861" t="s">
        <v>2598</v>
      </c>
      <c r="D413" s="861" t="s">
        <v>371</v>
      </c>
      <c r="E413" s="861"/>
      <c r="F413" s="862">
        <v>0.183</v>
      </c>
      <c r="G413" s="869">
        <v>0.29169574300000001</v>
      </c>
      <c r="H413" s="874">
        <v>351902889.44999999</v>
      </c>
      <c r="I413" s="871">
        <v>170.41</v>
      </c>
      <c r="J413" s="862">
        <v>0.35899999999999999</v>
      </c>
      <c r="K413" s="868">
        <f t="shared" si="46"/>
        <v>109</v>
      </c>
      <c r="L413" s="861"/>
      <c r="M413" s="671">
        <f t="shared" si="47"/>
        <v>411</v>
      </c>
      <c r="N413" s="671">
        <f t="shared" si="48"/>
        <v>10</v>
      </c>
      <c r="O413" s="671">
        <f t="shared" si="49"/>
        <v>75</v>
      </c>
      <c r="P413" s="861" t="s">
        <v>2599</v>
      </c>
      <c r="Q413" s="861"/>
      <c r="R413" s="861"/>
      <c r="S413" s="861" t="s">
        <v>718</v>
      </c>
      <c r="T413" s="866" t="s">
        <v>2600</v>
      </c>
      <c r="U413" s="865"/>
    </row>
    <row r="414" spans="1:21" ht="15">
      <c r="A414" s="672"/>
      <c r="B414" s="861" t="s">
        <v>2601</v>
      </c>
      <c r="C414" s="861" t="s">
        <v>2602</v>
      </c>
      <c r="D414" s="861" t="s">
        <v>371</v>
      </c>
      <c r="E414" s="861"/>
      <c r="F414" s="862"/>
      <c r="G414" s="869">
        <v>0.172520807</v>
      </c>
      <c r="H414" s="874">
        <v>347516590.19999999</v>
      </c>
      <c r="I414" s="872" t="s">
        <v>2603</v>
      </c>
      <c r="J414" s="862">
        <v>4.2999999999999997E-2</v>
      </c>
      <c r="K414" s="868">
        <f t="shared" si="46"/>
        <v>316</v>
      </c>
      <c r="L414" s="861"/>
      <c r="M414" s="671">
        <f t="shared" si="47"/>
        <v>412</v>
      </c>
      <c r="N414" s="671" t="str">
        <f t="shared" si="48"/>
        <v>N/A</v>
      </c>
      <c r="O414" s="671">
        <f t="shared" si="49"/>
        <v>617</v>
      </c>
      <c r="P414" s="861" t="s">
        <v>409</v>
      </c>
      <c r="Q414" s="861" t="s">
        <v>2604</v>
      </c>
      <c r="R414" s="861"/>
      <c r="S414" s="861" t="s">
        <v>424</v>
      </c>
      <c r="T414" s="866" t="s">
        <v>2605</v>
      </c>
      <c r="U414" s="865"/>
    </row>
    <row r="415" spans="1:21" ht="15">
      <c r="A415" s="857"/>
      <c r="B415" s="861" t="s">
        <v>2606</v>
      </c>
      <c r="C415" s="861" t="s">
        <v>2607</v>
      </c>
      <c r="D415" s="861" t="s">
        <v>371</v>
      </c>
      <c r="E415" s="861"/>
      <c r="F415" s="862"/>
      <c r="G415" s="869">
        <v>0.81642376699999997</v>
      </c>
      <c r="H415" s="874">
        <v>346789467.5</v>
      </c>
      <c r="I415" s="871">
        <v>7.86</v>
      </c>
      <c r="J415" s="862">
        <v>0.1</v>
      </c>
      <c r="K415" s="868">
        <f t="shared" si="46"/>
        <v>316</v>
      </c>
      <c r="L415" s="861"/>
      <c r="M415" s="671">
        <f t="shared" si="47"/>
        <v>413</v>
      </c>
      <c r="N415" s="671">
        <f t="shared" si="48"/>
        <v>245</v>
      </c>
      <c r="O415" s="671">
        <f t="shared" si="49"/>
        <v>495</v>
      </c>
      <c r="P415" s="861"/>
      <c r="Q415" s="861"/>
      <c r="R415" s="861"/>
      <c r="S415" s="861" t="s">
        <v>1659</v>
      </c>
      <c r="T415" s="866" t="s">
        <v>2608</v>
      </c>
      <c r="U415" s="865"/>
    </row>
    <row r="416" spans="1:21" ht="15">
      <c r="A416" s="672"/>
      <c r="B416" s="861" t="s">
        <v>2609</v>
      </c>
      <c r="C416" s="861" t="s">
        <v>2610</v>
      </c>
      <c r="D416" s="861" t="s">
        <v>371</v>
      </c>
      <c r="E416" s="861"/>
      <c r="F416" s="862"/>
      <c r="G416" s="869">
        <v>0</v>
      </c>
      <c r="H416" s="874">
        <v>346683743.00999999</v>
      </c>
      <c r="I416" s="871"/>
      <c r="J416" s="862">
        <v>0.22900000000000001</v>
      </c>
      <c r="K416" s="868">
        <f t="shared" si="46"/>
        <v>316</v>
      </c>
      <c r="L416" s="863" t="s">
        <v>2611</v>
      </c>
      <c r="M416" s="671">
        <f t="shared" si="47"/>
        <v>414</v>
      </c>
      <c r="N416" s="671" t="str">
        <f t="shared" si="48"/>
        <v>N/A</v>
      </c>
      <c r="O416" s="671">
        <f t="shared" si="49"/>
        <v>214</v>
      </c>
      <c r="P416" s="861" t="s">
        <v>2612</v>
      </c>
      <c r="Q416" s="861"/>
      <c r="R416" s="861"/>
      <c r="S416" s="861" t="s">
        <v>2613</v>
      </c>
      <c r="T416" s="866" t="s">
        <v>2614</v>
      </c>
      <c r="U416" s="865"/>
    </row>
    <row r="417" spans="1:21" ht="15">
      <c r="A417" s="857"/>
      <c r="B417" s="861" t="s">
        <v>2615</v>
      </c>
      <c r="C417" s="861" t="s">
        <v>2616</v>
      </c>
      <c r="D417" s="861" t="s">
        <v>371</v>
      </c>
      <c r="E417" s="861"/>
      <c r="F417" s="862">
        <v>0.28799999999999998</v>
      </c>
      <c r="G417" s="869">
        <v>6.2719943E-2</v>
      </c>
      <c r="H417" s="874">
        <v>343599265.58999997</v>
      </c>
      <c r="I417" s="871"/>
      <c r="J417" s="863" t="s">
        <v>2617</v>
      </c>
      <c r="K417" s="868">
        <f t="shared" si="46"/>
        <v>57</v>
      </c>
      <c r="L417" s="861" t="s">
        <v>1333</v>
      </c>
      <c r="M417" s="671">
        <f t="shared" si="47"/>
        <v>415</v>
      </c>
      <c r="N417" s="671" t="str">
        <f t="shared" si="48"/>
        <v>N/A</v>
      </c>
      <c r="O417" s="671" t="str">
        <f t="shared" si="49"/>
        <v>N/A</v>
      </c>
      <c r="P417" s="861" t="s">
        <v>2618</v>
      </c>
      <c r="Q417" s="861" t="s">
        <v>2619</v>
      </c>
      <c r="R417" s="861" t="s">
        <v>2407</v>
      </c>
      <c r="S417" s="861" t="s">
        <v>2620</v>
      </c>
      <c r="T417" s="866" t="s">
        <v>2621</v>
      </c>
      <c r="U417" s="865"/>
    </row>
    <row r="418" spans="1:21" ht="15">
      <c r="A418" s="672"/>
      <c r="B418" s="861" t="s">
        <v>2622</v>
      </c>
      <c r="C418" s="861" t="s">
        <v>2623</v>
      </c>
      <c r="D418" s="861" t="s">
        <v>371</v>
      </c>
      <c r="E418" s="861"/>
      <c r="F418" s="862"/>
      <c r="G418" s="869">
        <v>45.448717950000002</v>
      </c>
      <c r="H418" s="874">
        <v>343440984.62</v>
      </c>
      <c r="I418" s="871"/>
      <c r="J418" s="862">
        <v>0.14099999999999999</v>
      </c>
      <c r="K418" s="868">
        <f t="shared" si="46"/>
        <v>316</v>
      </c>
      <c r="L418" s="861" t="s">
        <v>1031</v>
      </c>
      <c r="M418" s="671">
        <f t="shared" si="47"/>
        <v>416</v>
      </c>
      <c r="N418" s="671" t="str">
        <f t="shared" si="48"/>
        <v>N/A</v>
      </c>
      <c r="O418" s="671">
        <f t="shared" si="49"/>
        <v>363</v>
      </c>
      <c r="P418" s="861" t="s">
        <v>1724</v>
      </c>
      <c r="Q418" s="861" t="s">
        <v>2624</v>
      </c>
      <c r="R418" s="861" t="s">
        <v>1311</v>
      </c>
      <c r="S418" s="861" t="s">
        <v>2270</v>
      </c>
      <c r="T418" s="866" t="s">
        <v>2625</v>
      </c>
      <c r="U418" s="865"/>
    </row>
    <row r="419" spans="1:21" ht="15">
      <c r="A419" s="857"/>
      <c r="B419" s="861" t="s">
        <v>2626</v>
      </c>
      <c r="C419" s="861" t="s">
        <v>2627</v>
      </c>
      <c r="D419" s="861" t="s">
        <v>371</v>
      </c>
      <c r="E419" s="861"/>
      <c r="F419" s="862">
        <v>0.108</v>
      </c>
      <c r="G419" s="869">
        <v>0.42238648899999998</v>
      </c>
      <c r="H419" s="874">
        <v>341111057.97000003</v>
      </c>
      <c r="I419" s="871">
        <v>2.27</v>
      </c>
      <c r="J419" s="863" t="s">
        <v>2628</v>
      </c>
      <c r="K419" s="868">
        <f t="shared" si="46"/>
        <v>186</v>
      </c>
      <c r="L419" s="861" t="s">
        <v>2069</v>
      </c>
      <c r="M419" s="671">
        <f t="shared" si="47"/>
        <v>417</v>
      </c>
      <c r="N419" s="671">
        <f t="shared" si="48"/>
        <v>291</v>
      </c>
      <c r="O419" s="671" t="str">
        <f t="shared" si="49"/>
        <v>N/A</v>
      </c>
      <c r="P419" s="861" t="s">
        <v>2629</v>
      </c>
      <c r="Q419" s="861" t="s">
        <v>2630</v>
      </c>
      <c r="R419" s="861" t="s">
        <v>404</v>
      </c>
      <c r="S419" s="861" t="s">
        <v>2631</v>
      </c>
      <c r="T419" s="866" t="s">
        <v>2632</v>
      </c>
      <c r="U419" s="865"/>
    </row>
    <row r="420" spans="1:21" ht="15">
      <c r="A420" s="672"/>
      <c r="B420" s="861" t="s">
        <v>2633</v>
      </c>
      <c r="C420" s="861" t="s">
        <v>2634</v>
      </c>
      <c r="D420" s="861" t="s">
        <v>371</v>
      </c>
      <c r="E420" s="861"/>
      <c r="F420" s="862">
        <v>-0.219</v>
      </c>
      <c r="G420" s="869">
        <v>0</v>
      </c>
      <c r="H420" s="874">
        <v>339098189.64999998</v>
      </c>
      <c r="I420" s="871">
        <v>37.01</v>
      </c>
      <c r="J420" s="862">
        <v>0.13100000000000001</v>
      </c>
      <c r="K420" s="868">
        <f t="shared" si="46"/>
        <v>421</v>
      </c>
      <c r="L420" s="861"/>
      <c r="M420" s="671">
        <f t="shared" si="47"/>
        <v>418</v>
      </c>
      <c r="N420" s="671">
        <f t="shared" si="48"/>
        <v>117</v>
      </c>
      <c r="O420" s="671">
        <f t="shared" si="49"/>
        <v>395</v>
      </c>
      <c r="P420" s="861" t="s">
        <v>2635</v>
      </c>
      <c r="Q420" s="861" t="s">
        <v>2058</v>
      </c>
      <c r="R420" s="861"/>
      <c r="S420" s="861" t="s">
        <v>673</v>
      </c>
      <c r="T420" s="866" t="s">
        <v>2636</v>
      </c>
      <c r="U420" s="865"/>
    </row>
    <row r="421" spans="1:21" ht="15">
      <c r="A421" s="857"/>
      <c r="B421" s="861" t="s">
        <v>2637</v>
      </c>
      <c r="C421" s="861" t="s">
        <v>2638</v>
      </c>
      <c r="D421" s="861" t="s">
        <v>371</v>
      </c>
      <c r="E421" s="861"/>
      <c r="F421" s="862">
        <v>-5.8999999999999997E-2</v>
      </c>
      <c r="G421" s="869">
        <v>0</v>
      </c>
      <c r="H421" s="874">
        <v>336323424.36000001</v>
      </c>
      <c r="I421" s="871"/>
      <c r="J421" s="862">
        <v>0.24299999999999999</v>
      </c>
      <c r="K421" s="868">
        <f t="shared" si="46"/>
        <v>349</v>
      </c>
      <c r="L421" s="863" t="s">
        <v>2639</v>
      </c>
      <c r="M421" s="671">
        <f t="shared" si="47"/>
        <v>419</v>
      </c>
      <c r="N421" s="671" t="str">
        <f t="shared" si="48"/>
        <v>N/A</v>
      </c>
      <c r="O421" s="671">
        <f t="shared" si="49"/>
        <v>192</v>
      </c>
      <c r="P421" s="861" t="s">
        <v>2062</v>
      </c>
      <c r="Q421" s="861"/>
      <c r="R421" s="861"/>
      <c r="S421" s="861" t="s">
        <v>557</v>
      </c>
      <c r="T421" s="866" t="s">
        <v>2640</v>
      </c>
      <c r="U421" s="865"/>
    </row>
    <row r="422" spans="1:21" ht="15">
      <c r="A422" s="672"/>
      <c r="B422" s="861" t="s">
        <v>2641</v>
      </c>
      <c r="C422" s="861" t="s">
        <v>2642</v>
      </c>
      <c r="D422" s="861" t="s">
        <v>371</v>
      </c>
      <c r="E422" s="861"/>
      <c r="F422" s="862">
        <v>2.7E-2</v>
      </c>
      <c r="G422" s="869">
        <v>0.92062238100000005</v>
      </c>
      <c r="H422" s="874">
        <v>332793801.12</v>
      </c>
      <c r="I422" s="871"/>
      <c r="J422" s="862">
        <v>0.13700000000000001</v>
      </c>
      <c r="K422" s="868">
        <f t="shared" si="46"/>
        <v>290</v>
      </c>
      <c r="L422" s="861"/>
      <c r="M422" s="671">
        <f t="shared" si="47"/>
        <v>420</v>
      </c>
      <c r="N422" s="671" t="str">
        <f t="shared" si="48"/>
        <v>N/A</v>
      </c>
      <c r="O422" s="671">
        <f t="shared" si="49"/>
        <v>376</v>
      </c>
      <c r="P422" s="861"/>
      <c r="Q422" s="861"/>
      <c r="R422" s="861"/>
      <c r="S422" s="861" t="s">
        <v>1640</v>
      </c>
      <c r="T422" s="866" t="s">
        <v>2643</v>
      </c>
      <c r="U422" s="865"/>
    </row>
    <row r="423" spans="1:21" ht="15">
      <c r="A423" s="857"/>
      <c r="B423" s="861" t="s">
        <v>2644</v>
      </c>
      <c r="C423" s="861" t="s">
        <v>2645</v>
      </c>
      <c r="D423" s="861" t="s">
        <v>371</v>
      </c>
      <c r="E423" s="861"/>
      <c r="F423" s="862">
        <v>0.151</v>
      </c>
      <c r="G423" s="869">
        <v>2.8725026410000001</v>
      </c>
      <c r="H423" s="874">
        <v>329106290.12</v>
      </c>
      <c r="I423" s="871"/>
      <c r="J423" s="863" t="s">
        <v>2646</v>
      </c>
      <c r="K423" s="868">
        <f t="shared" si="46"/>
        <v>141</v>
      </c>
      <c r="L423" s="861"/>
      <c r="M423" s="671">
        <f t="shared" si="47"/>
        <v>421</v>
      </c>
      <c r="N423" s="671" t="str">
        <f t="shared" si="48"/>
        <v>N/A</v>
      </c>
      <c r="O423" s="671" t="str">
        <f t="shared" si="49"/>
        <v>N/A</v>
      </c>
      <c r="P423" s="861"/>
      <c r="Q423" s="861"/>
      <c r="R423" s="861"/>
      <c r="S423" s="861" t="s">
        <v>547</v>
      </c>
      <c r="T423" s="866" t="s">
        <v>2647</v>
      </c>
      <c r="U423" s="865"/>
    </row>
    <row r="424" spans="1:21" ht="15">
      <c r="A424" s="672"/>
      <c r="B424" s="861" t="s">
        <v>2648</v>
      </c>
      <c r="C424" s="861" t="s">
        <v>2649</v>
      </c>
      <c r="D424" s="861" t="s">
        <v>371</v>
      </c>
      <c r="E424" s="861"/>
      <c r="F424" s="862"/>
      <c r="G424" s="869">
        <v>2.9578398479999999</v>
      </c>
      <c r="H424" s="874">
        <v>328418512.07999998</v>
      </c>
      <c r="I424" s="871">
        <v>4.78</v>
      </c>
      <c r="J424" s="863" t="s">
        <v>2650</v>
      </c>
      <c r="K424" s="868">
        <f t="shared" si="46"/>
        <v>316</v>
      </c>
      <c r="L424" s="861"/>
      <c r="M424" s="671">
        <f t="shared" si="47"/>
        <v>422</v>
      </c>
      <c r="N424" s="671">
        <f t="shared" si="48"/>
        <v>271</v>
      </c>
      <c r="O424" s="671" t="str">
        <f t="shared" si="49"/>
        <v>N/A</v>
      </c>
      <c r="P424" s="861" t="s">
        <v>1921</v>
      </c>
      <c r="Q424" s="861" t="s">
        <v>2651</v>
      </c>
      <c r="R424" s="861"/>
      <c r="S424" s="861" t="s">
        <v>996</v>
      </c>
      <c r="T424" s="866" t="s">
        <v>2652</v>
      </c>
      <c r="U424" s="865"/>
    </row>
    <row r="425" spans="1:21" ht="15">
      <c r="A425" s="857"/>
      <c r="B425" s="861" t="s">
        <v>2653</v>
      </c>
      <c r="C425" s="861" t="s">
        <v>2654</v>
      </c>
      <c r="D425" s="861" t="s">
        <v>371</v>
      </c>
      <c r="E425" s="861"/>
      <c r="F425" s="862"/>
      <c r="G425" s="870" t="s">
        <v>2655</v>
      </c>
      <c r="H425" s="874">
        <v>324870798.72000003</v>
      </c>
      <c r="I425" s="871">
        <v>20.48</v>
      </c>
      <c r="J425" s="862">
        <v>0.11899999999999999</v>
      </c>
      <c r="K425" s="868">
        <f t="shared" si="46"/>
        <v>316</v>
      </c>
      <c r="L425" s="861"/>
      <c r="M425" s="671">
        <f t="shared" si="47"/>
        <v>423</v>
      </c>
      <c r="N425" s="671">
        <f t="shared" si="48"/>
        <v>176</v>
      </c>
      <c r="O425" s="671">
        <f t="shared" si="49"/>
        <v>432</v>
      </c>
      <c r="P425" s="861"/>
      <c r="Q425" s="861"/>
      <c r="R425" s="861"/>
      <c r="S425" s="861" t="s">
        <v>454</v>
      </c>
      <c r="T425" s="866" t="s">
        <v>2656</v>
      </c>
      <c r="U425" s="865"/>
    </row>
    <row r="426" spans="1:21" ht="15">
      <c r="A426" s="672"/>
      <c r="B426" s="861" t="s">
        <v>2657</v>
      </c>
      <c r="C426" s="861" t="s">
        <v>2658</v>
      </c>
      <c r="D426" s="861" t="s">
        <v>371</v>
      </c>
      <c r="E426" s="861"/>
      <c r="F426" s="862">
        <v>0.29499999999999998</v>
      </c>
      <c r="G426" s="869">
        <v>2.3719765E-2</v>
      </c>
      <c r="H426" s="874">
        <v>323517883.26999998</v>
      </c>
      <c r="I426" s="871">
        <v>114.38</v>
      </c>
      <c r="J426" s="862">
        <v>0.41299999999999998</v>
      </c>
      <c r="K426" s="868">
        <f t="shared" si="46"/>
        <v>53</v>
      </c>
      <c r="L426" s="861"/>
      <c r="M426" s="671">
        <f t="shared" si="47"/>
        <v>424</v>
      </c>
      <c r="N426" s="671">
        <f t="shared" si="48"/>
        <v>21</v>
      </c>
      <c r="O426" s="671">
        <f t="shared" si="49"/>
        <v>53</v>
      </c>
      <c r="P426" s="861"/>
      <c r="Q426" s="861"/>
      <c r="R426" s="861"/>
      <c r="S426" s="861" t="s">
        <v>424</v>
      </c>
      <c r="T426" s="866" t="s">
        <v>2659</v>
      </c>
      <c r="U426" s="865"/>
    </row>
    <row r="427" spans="1:21" ht="15">
      <c r="A427" s="857"/>
      <c r="B427" s="861" t="s">
        <v>2660</v>
      </c>
      <c r="C427" s="861" t="s">
        <v>2661</v>
      </c>
      <c r="D427" s="861" t="s">
        <v>371</v>
      </c>
      <c r="E427" s="861"/>
      <c r="F427" s="862">
        <v>9.5000000000000001E-2</v>
      </c>
      <c r="G427" s="869">
        <v>0.13758149</v>
      </c>
      <c r="H427" s="874">
        <v>320776163.12</v>
      </c>
      <c r="I427" s="872" t="s">
        <v>2662</v>
      </c>
      <c r="J427" s="863" t="s">
        <v>2663</v>
      </c>
      <c r="K427" s="868">
        <f t="shared" si="46"/>
        <v>198</v>
      </c>
      <c r="L427" s="861"/>
      <c r="M427" s="671">
        <f t="shared" si="47"/>
        <v>425</v>
      </c>
      <c r="N427" s="671" t="str">
        <f t="shared" si="48"/>
        <v>N/A</v>
      </c>
      <c r="O427" s="671" t="str">
        <f t="shared" si="49"/>
        <v>N/A</v>
      </c>
      <c r="P427" s="861"/>
      <c r="Q427" s="861"/>
      <c r="R427" s="861"/>
      <c r="S427" s="861" t="s">
        <v>424</v>
      </c>
      <c r="T427" s="866" t="s">
        <v>2664</v>
      </c>
      <c r="U427" s="865"/>
    </row>
    <row r="428" spans="1:21" ht="15">
      <c r="A428" s="672"/>
      <c r="B428" s="861" t="s">
        <v>2665</v>
      </c>
      <c r="C428" s="861" t="s">
        <v>2666</v>
      </c>
      <c r="D428" s="861" t="s">
        <v>371</v>
      </c>
      <c r="E428" s="861"/>
      <c r="F428" s="862"/>
      <c r="G428" s="870" t="s">
        <v>2667</v>
      </c>
      <c r="H428" s="874">
        <v>320555590.35000002</v>
      </c>
      <c r="I428" s="871"/>
      <c r="J428" s="863" t="s">
        <v>2668</v>
      </c>
      <c r="K428" s="868">
        <f t="shared" si="46"/>
        <v>316</v>
      </c>
      <c r="L428" s="861"/>
      <c r="M428" s="671">
        <f t="shared" si="47"/>
        <v>426</v>
      </c>
      <c r="N428" s="671" t="str">
        <f t="shared" si="48"/>
        <v>N/A</v>
      </c>
      <c r="O428" s="671" t="str">
        <f t="shared" si="49"/>
        <v>N/A</v>
      </c>
      <c r="P428" s="861" t="s">
        <v>2669</v>
      </c>
      <c r="Q428" s="861"/>
      <c r="R428" s="861"/>
      <c r="S428" s="861" t="s">
        <v>404</v>
      </c>
      <c r="T428" s="866" t="s">
        <v>2670</v>
      </c>
      <c r="U428" s="865"/>
    </row>
    <row r="429" spans="1:21" ht="15">
      <c r="A429" s="857"/>
      <c r="B429" s="861" t="s">
        <v>2671</v>
      </c>
      <c r="C429" s="861" t="s">
        <v>2672</v>
      </c>
      <c r="D429" s="861" t="s">
        <v>371</v>
      </c>
      <c r="E429" s="861"/>
      <c r="F429" s="862">
        <v>-0.40200000000000002</v>
      </c>
      <c r="G429" s="870" t="s">
        <v>2673</v>
      </c>
      <c r="H429" s="874">
        <v>319717149.85000002</v>
      </c>
      <c r="I429" s="871"/>
      <c r="J429" s="863" t="s">
        <v>2674</v>
      </c>
      <c r="K429" s="868">
        <f t="shared" si="46"/>
        <v>466</v>
      </c>
      <c r="L429" s="861" t="s">
        <v>547</v>
      </c>
      <c r="M429" s="671">
        <f t="shared" si="47"/>
        <v>427</v>
      </c>
      <c r="N429" s="671" t="str">
        <f t="shared" si="48"/>
        <v>N/A</v>
      </c>
      <c r="O429" s="671" t="str">
        <f t="shared" si="49"/>
        <v>N/A</v>
      </c>
      <c r="P429" s="861" t="s">
        <v>2675</v>
      </c>
      <c r="Q429" s="861" t="s">
        <v>2676</v>
      </c>
      <c r="R429" s="861" t="s">
        <v>690</v>
      </c>
      <c r="S429" s="861" t="s">
        <v>2677</v>
      </c>
      <c r="T429" s="866" t="s">
        <v>2678</v>
      </c>
      <c r="U429" s="865"/>
    </row>
    <row r="430" spans="1:21" ht="15">
      <c r="A430" s="672"/>
      <c r="B430" s="861" t="s">
        <v>2679</v>
      </c>
      <c r="C430" s="861" t="s">
        <v>2680</v>
      </c>
      <c r="D430" s="861" t="s">
        <v>371</v>
      </c>
      <c r="E430" s="861"/>
      <c r="F430" s="862"/>
      <c r="G430" s="870" t="s">
        <v>2681</v>
      </c>
      <c r="H430" s="874">
        <v>317881362.38999999</v>
      </c>
      <c r="I430" s="871"/>
      <c r="J430" s="862">
        <v>0.255</v>
      </c>
      <c r="K430" s="868">
        <f t="shared" si="46"/>
        <v>316</v>
      </c>
      <c r="L430" s="861"/>
      <c r="M430" s="671">
        <f t="shared" si="47"/>
        <v>428</v>
      </c>
      <c r="N430" s="671" t="str">
        <f t="shared" si="48"/>
        <v>N/A</v>
      </c>
      <c r="O430" s="671">
        <f t="shared" si="49"/>
        <v>173</v>
      </c>
      <c r="P430" s="863" t="s">
        <v>2682</v>
      </c>
      <c r="Q430" s="861"/>
      <c r="R430" s="861"/>
      <c r="S430" s="861" t="s">
        <v>424</v>
      </c>
      <c r="T430" s="866" t="s">
        <v>2683</v>
      </c>
      <c r="U430" s="865"/>
    </row>
    <row r="431" spans="1:21" ht="15">
      <c r="A431" s="857"/>
      <c r="B431" s="861" t="s">
        <v>2684</v>
      </c>
      <c r="C431" s="861" t="s">
        <v>2685</v>
      </c>
      <c r="D431" s="861" t="s">
        <v>371</v>
      </c>
      <c r="E431" s="861"/>
      <c r="F431" s="862"/>
      <c r="G431" s="869">
        <v>4.6828953E-2</v>
      </c>
      <c r="H431" s="874">
        <v>315154729</v>
      </c>
      <c r="I431" s="871"/>
      <c r="J431" s="863" t="s">
        <v>2686</v>
      </c>
      <c r="K431" s="868">
        <f t="shared" si="46"/>
        <v>316</v>
      </c>
      <c r="L431" s="863" t="s">
        <v>1017</v>
      </c>
      <c r="M431" s="671">
        <f t="shared" si="47"/>
        <v>429</v>
      </c>
      <c r="N431" s="671" t="str">
        <f t="shared" si="48"/>
        <v>N/A</v>
      </c>
      <c r="O431" s="671" t="str">
        <f t="shared" si="49"/>
        <v>N/A</v>
      </c>
      <c r="P431" s="861" t="s">
        <v>2687</v>
      </c>
      <c r="Q431" s="861" t="s">
        <v>2688</v>
      </c>
      <c r="R431" s="861"/>
      <c r="S431" s="861" t="s">
        <v>2689</v>
      </c>
      <c r="T431" s="866" t="s">
        <v>2690</v>
      </c>
      <c r="U431" s="865"/>
    </row>
    <row r="432" spans="1:21" ht="15">
      <c r="A432" s="672"/>
      <c r="B432" s="861" t="s">
        <v>2691</v>
      </c>
      <c r="C432" s="861" t="s">
        <v>2692</v>
      </c>
      <c r="D432" s="861" t="s">
        <v>371</v>
      </c>
      <c r="E432" s="861"/>
      <c r="F432" s="862"/>
      <c r="G432" s="870" t="s">
        <v>2693</v>
      </c>
      <c r="H432" s="874">
        <v>315052721.48000002</v>
      </c>
      <c r="I432" s="871">
        <v>59.74</v>
      </c>
      <c r="J432" s="863" t="s">
        <v>2694</v>
      </c>
      <c r="K432" s="868">
        <f t="shared" si="46"/>
        <v>316</v>
      </c>
      <c r="L432" s="861"/>
      <c r="M432" s="671">
        <f t="shared" si="47"/>
        <v>430</v>
      </c>
      <c r="N432" s="671">
        <f t="shared" si="48"/>
        <v>73</v>
      </c>
      <c r="O432" s="671" t="str">
        <f t="shared" si="49"/>
        <v>N/A</v>
      </c>
      <c r="P432" s="861" t="s">
        <v>2695</v>
      </c>
      <c r="Q432" s="861" t="s">
        <v>2696</v>
      </c>
      <c r="R432" s="861"/>
      <c r="S432" s="861" t="s">
        <v>2697</v>
      </c>
      <c r="T432" s="866" t="s">
        <v>2698</v>
      </c>
      <c r="U432" s="865"/>
    </row>
    <row r="433" spans="1:21" ht="15">
      <c r="A433" s="857"/>
      <c r="B433" s="861" t="s">
        <v>2699</v>
      </c>
      <c r="C433" s="861" t="s">
        <v>2700</v>
      </c>
      <c r="D433" s="861" t="s">
        <v>371</v>
      </c>
      <c r="E433" s="861"/>
      <c r="F433" s="862">
        <v>-0.19600000000000001</v>
      </c>
      <c r="G433" s="870" t="s">
        <v>2701</v>
      </c>
      <c r="H433" s="874">
        <v>313541036.60000002</v>
      </c>
      <c r="I433" s="871"/>
      <c r="J433" s="863" t="s">
        <v>2702</v>
      </c>
      <c r="K433" s="868">
        <f t="shared" si="46"/>
        <v>414</v>
      </c>
      <c r="L433" s="861" t="s">
        <v>2048</v>
      </c>
      <c r="M433" s="671">
        <f t="shared" si="47"/>
        <v>431</v>
      </c>
      <c r="N433" s="671" t="str">
        <f t="shared" si="48"/>
        <v>N/A</v>
      </c>
      <c r="O433" s="671" t="str">
        <f t="shared" si="49"/>
        <v>N/A</v>
      </c>
      <c r="P433" s="861" t="s">
        <v>747</v>
      </c>
      <c r="Q433" s="861" t="s">
        <v>2703</v>
      </c>
      <c r="R433" s="861"/>
      <c r="S433" s="861" t="s">
        <v>2704</v>
      </c>
      <c r="T433" s="866" t="s">
        <v>2705</v>
      </c>
      <c r="U433" s="865"/>
    </row>
    <row r="434" spans="1:21" ht="15">
      <c r="A434" s="672"/>
      <c r="B434" s="861" t="s">
        <v>2706</v>
      </c>
      <c r="C434" s="861" t="s">
        <v>2707</v>
      </c>
      <c r="D434" s="861" t="s">
        <v>371</v>
      </c>
      <c r="E434" s="861"/>
      <c r="F434" s="862"/>
      <c r="G434" s="870" t="s">
        <v>2708</v>
      </c>
      <c r="H434" s="874">
        <v>310500646.95999998</v>
      </c>
      <c r="I434" s="871"/>
      <c r="J434" s="863"/>
      <c r="K434" s="868">
        <f t="shared" si="46"/>
        <v>316</v>
      </c>
      <c r="L434" s="863" t="s">
        <v>1675</v>
      </c>
      <c r="M434" s="671">
        <f t="shared" si="47"/>
        <v>432</v>
      </c>
      <c r="N434" s="671" t="str">
        <f t="shared" si="48"/>
        <v>N/A</v>
      </c>
      <c r="O434" s="671">
        <f t="shared" si="49"/>
        <v>708</v>
      </c>
      <c r="P434" s="861" t="s">
        <v>409</v>
      </c>
      <c r="Q434" s="861" t="s">
        <v>2709</v>
      </c>
      <c r="R434" s="863" t="s">
        <v>2094</v>
      </c>
      <c r="S434" s="861" t="s">
        <v>1012</v>
      </c>
      <c r="T434" s="866" t="s">
        <v>2710</v>
      </c>
      <c r="U434" s="865"/>
    </row>
    <row r="435" spans="1:21" ht="15">
      <c r="A435" s="857"/>
      <c r="B435" s="861" t="s">
        <v>2711</v>
      </c>
      <c r="C435" s="861" t="s">
        <v>2712</v>
      </c>
      <c r="D435" s="861" t="s">
        <v>371</v>
      </c>
      <c r="E435" s="861"/>
      <c r="F435" s="862"/>
      <c r="G435" s="869">
        <v>4.7043765369999999</v>
      </c>
      <c r="H435" s="874">
        <v>309825307.73000002</v>
      </c>
      <c r="I435" s="871"/>
      <c r="J435" s="862">
        <v>4.7290000000000001</v>
      </c>
      <c r="K435" s="868">
        <f t="shared" si="46"/>
        <v>316</v>
      </c>
      <c r="L435" s="861"/>
      <c r="M435" s="671">
        <f t="shared" si="47"/>
        <v>433</v>
      </c>
      <c r="N435" s="671" t="str">
        <f t="shared" si="48"/>
        <v>N/A</v>
      </c>
      <c r="O435" s="671">
        <f t="shared" si="49"/>
        <v>1</v>
      </c>
      <c r="P435" s="861"/>
      <c r="Q435" s="861"/>
      <c r="R435" s="861"/>
      <c r="S435" s="861" t="s">
        <v>563</v>
      </c>
      <c r="T435" s="866" t="s">
        <v>2713</v>
      </c>
      <c r="U435" s="865"/>
    </row>
    <row r="436" spans="1:21" ht="15">
      <c r="A436" s="672"/>
      <c r="B436" s="861" t="s">
        <v>2714</v>
      </c>
      <c r="C436" s="861" t="s">
        <v>2715</v>
      </c>
      <c r="D436" s="861" t="s">
        <v>371</v>
      </c>
      <c r="E436" s="861"/>
      <c r="F436" s="862"/>
      <c r="G436" s="870" t="s">
        <v>2716</v>
      </c>
      <c r="H436" s="874">
        <v>309617482.14999998</v>
      </c>
      <c r="I436" s="872" t="s">
        <v>2717</v>
      </c>
      <c r="J436" s="862">
        <v>0.26700000000000002</v>
      </c>
      <c r="K436" s="868">
        <f t="shared" si="46"/>
        <v>316</v>
      </c>
      <c r="L436" s="861"/>
      <c r="M436" s="671">
        <f t="shared" si="47"/>
        <v>434</v>
      </c>
      <c r="N436" s="671" t="str">
        <f t="shared" si="48"/>
        <v>N/A</v>
      </c>
      <c r="O436" s="671">
        <f t="shared" si="49"/>
        <v>158</v>
      </c>
      <c r="P436" s="861"/>
      <c r="Q436" s="861"/>
      <c r="R436" s="861"/>
      <c r="S436" s="861" t="s">
        <v>404</v>
      </c>
      <c r="T436" s="866" t="s">
        <v>2718</v>
      </c>
      <c r="U436" s="865"/>
    </row>
    <row r="437" spans="1:21" ht="15">
      <c r="A437" s="857"/>
      <c r="B437" s="861" t="s">
        <v>2719</v>
      </c>
      <c r="C437" s="861" t="s">
        <v>2720</v>
      </c>
      <c r="D437" s="861" t="s">
        <v>371</v>
      </c>
      <c r="E437" s="861"/>
      <c r="F437" s="862"/>
      <c r="G437" s="869">
        <v>0.17973043</v>
      </c>
      <c r="H437" s="874">
        <v>307255060.11000001</v>
      </c>
      <c r="I437" s="871"/>
      <c r="J437" s="862">
        <v>8.9999999999999993E-3</v>
      </c>
      <c r="K437" s="868">
        <f t="shared" si="46"/>
        <v>316</v>
      </c>
      <c r="L437" s="861"/>
      <c r="M437" s="671">
        <f t="shared" si="47"/>
        <v>435</v>
      </c>
      <c r="N437" s="671" t="str">
        <f t="shared" si="48"/>
        <v>N/A</v>
      </c>
      <c r="O437" s="671">
        <f t="shared" si="49"/>
        <v>684</v>
      </c>
      <c r="P437" s="861" t="s">
        <v>2721</v>
      </c>
      <c r="Q437" s="861"/>
      <c r="R437" s="861"/>
      <c r="S437" s="861" t="s">
        <v>1252</v>
      </c>
      <c r="T437" s="866" t="s">
        <v>2722</v>
      </c>
      <c r="U437" s="865"/>
    </row>
    <row r="438" spans="1:21" ht="15">
      <c r="A438" s="672"/>
      <c r="B438" s="861" t="s">
        <v>2723</v>
      </c>
      <c r="C438" s="861" t="s">
        <v>2724</v>
      </c>
      <c r="D438" s="861" t="s">
        <v>371</v>
      </c>
      <c r="E438" s="861"/>
      <c r="F438" s="862"/>
      <c r="G438" s="869">
        <v>5.7764907760000002</v>
      </c>
      <c r="H438" s="874">
        <v>307109472</v>
      </c>
      <c r="I438" s="871"/>
      <c r="J438" s="863" t="s">
        <v>2725</v>
      </c>
      <c r="K438" s="868">
        <f t="shared" si="46"/>
        <v>316</v>
      </c>
      <c r="L438" s="861"/>
      <c r="M438" s="671">
        <f t="shared" si="47"/>
        <v>436</v>
      </c>
      <c r="N438" s="671" t="str">
        <f t="shared" si="48"/>
        <v>N/A</v>
      </c>
      <c r="O438" s="671" t="str">
        <f t="shared" si="49"/>
        <v>N/A</v>
      </c>
      <c r="P438" s="861"/>
      <c r="Q438" s="861"/>
      <c r="R438" s="861"/>
      <c r="S438" s="861" t="s">
        <v>424</v>
      </c>
      <c r="T438" s="866" t="s">
        <v>2726</v>
      </c>
      <c r="U438" s="865"/>
    </row>
    <row r="439" spans="1:21" ht="15">
      <c r="A439" s="857"/>
      <c r="B439" s="861" t="s">
        <v>2727</v>
      </c>
      <c r="C439" s="861" t="s">
        <v>2728</v>
      </c>
      <c r="D439" s="861" t="s">
        <v>371</v>
      </c>
      <c r="E439" s="861"/>
      <c r="F439" s="862">
        <v>-5.2999999999999999E-2</v>
      </c>
      <c r="G439" s="870" t="s">
        <v>2729</v>
      </c>
      <c r="H439" s="874">
        <v>304658561.60000002</v>
      </c>
      <c r="I439" s="871"/>
      <c r="J439" s="862">
        <v>4.2999999999999997E-2</v>
      </c>
      <c r="K439" s="868">
        <f t="shared" si="46"/>
        <v>345</v>
      </c>
      <c r="L439" s="861"/>
      <c r="M439" s="671">
        <f t="shared" si="47"/>
        <v>437</v>
      </c>
      <c r="N439" s="671" t="str">
        <f t="shared" si="48"/>
        <v>N/A</v>
      </c>
      <c r="O439" s="671">
        <f t="shared" si="49"/>
        <v>617</v>
      </c>
      <c r="P439" s="861"/>
      <c r="Q439" s="861"/>
      <c r="R439" s="861"/>
      <c r="S439" s="861" t="s">
        <v>2069</v>
      </c>
      <c r="T439" s="866" t="s">
        <v>2730</v>
      </c>
      <c r="U439" s="865"/>
    </row>
    <row r="440" spans="1:21" ht="15">
      <c r="A440" s="672"/>
      <c r="B440" s="861" t="s">
        <v>2731</v>
      </c>
      <c r="C440" s="861" t="s">
        <v>2732</v>
      </c>
      <c r="D440" s="861" t="s">
        <v>371</v>
      </c>
      <c r="E440" s="861"/>
      <c r="F440" s="862"/>
      <c r="G440" s="869">
        <v>0</v>
      </c>
      <c r="H440" s="874">
        <v>299643990.97000003</v>
      </c>
      <c r="I440" s="871"/>
      <c r="J440" s="862">
        <v>2.4E-2</v>
      </c>
      <c r="K440" s="868">
        <f t="shared" si="46"/>
        <v>316</v>
      </c>
      <c r="L440" s="861"/>
      <c r="M440" s="671">
        <f t="shared" si="47"/>
        <v>438</v>
      </c>
      <c r="N440" s="671" t="str">
        <f t="shared" si="48"/>
        <v>N/A</v>
      </c>
      <c r="O440" s="671">
        <f t="shared" si="49"/>
        <v>662</v>
      </c>
      <c r="P440" s="861"/>
      <c r="Q440" s="861"/>
      <c r="R440" s="861"/>
      <c r="S440" s="861" t="s">
        <v>424</v>
      </c>
      <c r="T440" s="866" t="s">
        <v>2733</v>
      </c>
      <c r="U440" s="865"/>
    </row>
    <row r="441" spans="1:21" ht="15">
      <c r="A441" s="857"/>
      <c r="B441" s="861" t="s">
        <v>2734</v>
      </c>
      <c r="C441" s="861" t="s">
        <v>2735</v>
      </c>
      <c r="D441" s="861" t="s">
        <v>371</v>
      </c>
      <c r="E441" s="861"/>
      <c r="F441" s="862"/>
      <c r="G441" s="869">
        <v>1.432142638</v>
      </c>
      <c r="H441" s="874">
        <v>299142966.37</v>
      </c>
      <c r="I441" s="871"/>
      <c r="J441" s="863" t="s">
        <v>2280</v>
      </c>
      <c r="K441" s="868">
        <f t="shared" si="46"/>
        <v>316</v>
      </c>
      <c r="L441" s="861"/>
      <c r="M441" s="671">
        <f t="shared" si="47"/>
        <v>439</v>
      </c>
      <c r="N441" s="671" t="str">
        <f t="shared" si="48"/>
        <v>N/A</v>
      </c>
      <c r="O441" s="671" t="str">
        <f t="shared" si="49"/>
        <v>N/A</v>
      </c>
      <c r="P441" s="861" t="s">
        <v>672</v>
      </c>
      <c r="Q441" s="861" t="s">
        <v>2736</v>
      </c>
      <c r="R441" s="861"/>
      <c r="S441" s="861" t="s">
        <v>434</v>
      </c>
      <c r="T441" s="866" t="s">
        <v>2737</v>
      </c>
      <c r="U441" s="865"/>
    </row>
    <row r="442" spans="1:21" ht="15">
      <c r="A442" s="672"/>
      <c r="B442" s="861" t="s">
        <v>2738</v>
      </c>
      <c r="C442" s="861" t="s">
        <v>2739</v>
      </c>
      <c r="D442" s="861" t="s">
        <v>371</v>
      </c>
      <c r="E442" s="861"/>
      <c r="F442" s="862"/>
      <c r="G442" s="869">
        <v>1.4889975</v>
      </c>
      <c r="H442" s="874">
        <v>293854065.36000001</v>
      </c>
      <c r="I442" s="872" t="s">
        <v>2740</v>
      </c>
      <c r="J442" s="862">
        <v>1.0999999999999999E-2</v>
      </c>
      <c r="K442" s="868">
        <f t="shared" si="46"/>
        <v>316</v>
      </c>
      <c r="L442" s="863" t="s">
        <v>2741</v>
      </c>
      <c r="M442" s="671">
        <f t="shared" si="47"/>
        <v>440</v>
      </c>
      <c r="N442" s="671" t="str">
        <f t="shared" si="48"/>
        <v>N/A</v>
      </c>
      <c r="O442" s="671">
        <f t="shared" si="49"/>
        <v>681</v>
      </c>
      <c r="P442" s="863" t="s">
        <v>2742</v>
      </c>
      <c r="Q442" s="861"/>
      <c r="R442" s="861"/>
      <c r="S442" s="861" t="s">
        <v>2515</v>
      </c>
      <c r="T442" s="866" t="s">
        <v>2743</v>
      </c>
      <c r="U442" s="865"/>
    </row>
    <row r="443" spans="1:21" ht="15">
      <c r="A443" s="857"/>
      <c r="B443" s="861" t="s">
        <v>2744</v>
      </c>
      <c r="C443" s="861" t="s">
        <v>2745</v>
      </c>
      <c r="D443" s="861" t="s">
        <v>371</v>
      </c>
      <c r="E443" s="861"/>
      <c r="F443" s="862">
        <v>4.9000000000000002E-2</v>
      </c>
      <c r="G443" s="870" t="s">
        <v>2746</v>
      </c>
      <c r="H443" s="874">
        <v>291280685.18000001</v>
      </c>
      <c r="I443" s="871"/>
      <c r="J443" s="862">
        <v>0.151</v>
      </c>
      <c r="K443" s="868">
        <f t="shared" si="46"/>
        <v>256</v>
      </c>
      <c r="L443" s="861"/>
      <c r="M443" s="671">
        <f t="shared" si="47"/>
        <v>441</v>
      </c>
      <c r="N443" s="671" t="str">
        <f t="shared" si="48"/>
        <v>N/A</v>
      </c>
      <c r="O443" s="671">
        <f t="shared" si="49"/>
        <v>337</v>
      </c>
      <c r="P443" s="861" t="s">
        <v>2747</v>
      </c>
      <c r="Q443" s="861" t="s">
        <v>2748</v>
      </c>
      <c r="R443" s="861"/>
      <c r="S443" s="861" t="s">
        <v>954</v>
      </c>
      <c r="T443" s="866" t="s">
        <v>2749</v>
      </c>
      <c r="U443" s="865"/>
    </row>
    <row r="444" spans="1:21" ht="15">
      <c r="A444" s="672"/>
      <c r="B444" s="861" t="s">
        <v>2750</v>
      </c>
      <c r="C444" s="861" t="s">
        <v>2751</v>
      </c>
      <c r="D444" s="861" t="s">
        <v>371</v>
      </c>
      <c r="E444" s="861"/>
      <c r="F444" s="862">
        <v>0.22</v>
      </c>
      <c r="G444" s="869">
        <v>0.45079036</v>
      </c>
      <c r="H444" s="874">
        <v>289415592.36000001</v>
      </c>
      <c r="I444" s="871"/>
      <c r="J444" s="863" t="s">
        <v>2513</v>
      </c>
      <c r="K444" s="868">
        <f t="shared" si="46"/>
        <v>87</v>
      </c>
      <c r="L444" s="861"/>
      <c r="M444" s="671">
        <f t="shared" si="47"/>
        <v>442</v>
      </c>
      <c r="N444" s="671" t="str">
        <f t="shared" si="48"/>
        <v>N/A</v>
      </c>
      <c r="O444" s="671" t="str">
        <f t="shared" si="49"/>
        <v>N/A</v>
      </c>
      <c r="P444" s="861" t="s">
        <v>2752</v>
      </c>
      <c r="Q444" s="861"/>
      <c r="R444" s="861"/>
      <c r="S444" s="861" t="s">
        <v>424</v>
      </c>
      <c r="T444" s="866" t="s">
        <v>2753</v>
      </c>
      <c r="U444" s="865"/>
    </row>
    <row r="445" spans="1:21" ht="15">
      <c r="A445" s="857"/>
      <c r="B445" s="861" t="s">
        <v>2754</v>
      </c>
      <c r="C445" s="861" t="s">
        <v>2755</v>
      </c>
      <c r="D445" s="861" t="s">
        <v>371</v>
      </c>
      <c r="E445" s="861"/>
      <c r="F445" s="862"/>
      <c r="G445" s="869">
        <v>1.2492354569999999</v>
      </c>
      <c r="H445" s="874">
        <v>288294853.63999999</v>
      </c>
      <c r="I445" s="871"/>
      <c r="J445" s="862">
        <v>0.28299999999999997</v>
      </c>
      <c r="K445" s="868">
        <f t="shared" si="46"/>
        <v>316</v>
      </c>
      <c r="L445" s="861" t="s">
        <v>734</v>
      </c>
      <c r="M445" s="671">
        <f t="shared" si="47"/>
        <v>443</v>
      </c>
      <c r="N445" s="671" t="str">
        <f t="shared" si="48"/>
        <v>N/A</v>
      </c>
      <c r="O445" s="671">
        <f t="shared" si="49"/>
        <v>145</v>
      </c>
      <c r="P445" s="861" t="s">
        <v>1724</v>
      </c>
      <c r="Q445" s="861" t="s">
        <v>2756</v>
      </c>
      <c r="R445" s="861" t="s">
        <v>734</v>
      </c>
      <c r="S445" s="861" t="s">
        <v>434</v>
      </c>
      <c r="T445" s="866" t="s">
        <v>2757</v>
      </c>
      <c r="U445" s="865"/>
    </row>
    <row r="446" spans="1:21" ht="15">
      <c r="A446" s="672"/>
      <c r="B446" s="861" t="s">
        <v>2758</v>
      </c>
      <c r="C446" s="861" t="s">
        <v>2759</v>
      </c>
      <c r="D446" s="861" t="s">
        <v>371</v>
      </c>
      <c r="E446" s="861"/>
      <c r="F446" s="862">
        <v>0.26800000000000002</v>
      </c>
      <c r="G446" s="869">
        <v>3.6888459020000002</v>
      </c>
      <c r="H446" s="874">
        <v>288171894.10000002</v>
      </c>
      <c r="I446" s="871"/>
      <c r="J446" s="863" t="s">
        <v>2760</v>
      </c>
      <c r="K446" s="868">
        <f t="shared" si="46"/>
        <v>63</v>
      </c>
      <c r="L446" s="861" t="s">
        <v>2631</v>
      </c>
      <c r="M446" s="671">
        <f t="shared" si="47"/>
        <v>444</v>
      </c>
      <c r="N446" s="671" t="str">
        <f t="shared" si="48"/>
        <v>N/A</v>
      </c>
      <c r="O446" s="671" t="str">
        <f t="shared" si="49"/>
        <v>N/A</v>
      </c>
      <c r="P446" s="861" t="s">
        <v>2190</v>
      </c>
      <c r="Q446" s="861" t="s">
        <v>2761</v>
      </c>
      <c r="R446" s="861" t="s">
        <v>2762</v>
      </c>
      <c r="S446" s="861" t="s">
        <v>2763</v>
      </c>
      <c r="T446" s="866" t="s">
        <v>2764</v>
      </c>
      <c r="U446" s="865"/>
    </row>
    <row r="447" spans="1:21" ht="15">
      <c r="A447" s="857"/>
      <c r="B447" s="861" t="s">
        <v>2765</v>
      </c>
      <c r="C447" s="861" t="s">
        <v>2766</v>
      </c>
      <c r="D447" s="861" t="s">
        <v>371</v>
      </c>
      <c r="E447" s="861"/>
      <c r="F447" s="862"/>
      <c r="G447" s="870" t="s">
        <v>2767</v>
      </c>
      <c r="H447" s="874">
        <v>282596188.04000002</v>
      </c>
      <c r="I447" s="871"/>
      <c r="J447" s="862">
        <v>0.154</v>
      </c>
      <c r="K447" s="868">
        <f t="shared" si="46"/>
        <v>316</v>
      </c>
      <c r="L447" s="861"/>
      <c r="M447" s="671">
        <f t="shared" si="47"/>
        <v>445</v>
      </c>
      <c r="N447" s="671" t="str">
        <f t="shared" si="48"/>
        <v>N/A</v>
      </c>
      <c r="O447" s="671">
        <f t="shared" si="49"/>
        <v>329</v>
      </c>
      <c r="P447" s="861" t="s">
        <v>931</v>
      </c>
      <c r="Q447" s="861"/>
      <c r="R447" s="861"/>
      <c r="S447" s="861" t="s">
        <v>2768</v>
      </c>
      <c r="T447" s="866" t="s">
        <v>2769</v>
      </c>
      <c r="U447" s="865"/>
    </row>
    <row r="448" spans="1:21" ht="15">
      <c r="A448" s="672"/>
      <c r="B448" s="861" t="s">
        <v>2770</v>
      </c>
      <c r="C448" s="861" t="s">
        <v>2771</v>
      </c>
      <c r="D448" s="861" t="s">
        <v>371</v>
      </c>
      <c r="E448" s="861"/>
      <c r="F448" s="862"/>
      <c r="G448" s="869">
        <v>9.6457937999999993E-2</v>
      </c>
      <c r="H448" s="874">
        <v>281575981</v>
      </c>
      <c r="I448" s="871"/>
      <c r="J448" s="862">
        <v>0.161</v>
      </c>
      <c r="K448" s="868">
        <f t="shared" si="46"/>
        <v>316</v>
      </c>
      <c r="L448" s="861" t="s">
        <v>454</v>
      </c>
      <c r="M448" s="671">
        <f t="shared" si="47"/>
        <v>446</v>
      </c>
      <c r="N448" s="671" t="str">
        <f t="shared" si="48"/>
        <v>N/A</v>
      </c>
      <c r="O448" s="671">
        <f t="shared" si="49"/>
        <v>316</v>
      </c>
      <c r="P448" s="861" t="s">
        <v>2772</v>
      </c>
      <c r="Q448" s="861" t="s">
        <v>839</v>
      </c>
      <c r="R448" s="861" t="s">
        <v>404</v>
      </c>
      <c r="S448" s="861" t="s">
        <v>572</v>
      </c>
      <c r="T448" s="866" t="s">
        <v>2773</v>
      </c>
      <c r="U448" s="865"/>
    </row>
    <row r="449" spans="1:21" ht="15">
      <c r="A449" s="857"/>
      <c r="B449" s="861" t="s">
        <v>2774</v>
      </c>
      <c r="C449" s="861" t="s">
        <v>2775</v>
      </c>
      <c r="D449" s="861" t="s">
        <v>371</v>
      </c>
      <c r="E449" s="861"/>
      <c r="F449" s="862"/>
      <c r="G449" s="869">
        <v>0</v>
      </c>
      <c r="H449" s="874">
        <v>281071787.38999999</v>
      </c>
      <c r="I449" s="871">
        <v>8.33</v>
      </c>
      <c r="J449" s="862">
        <v>0.315</v>
      </c>
      <c r="K449" s="868">
        <f t="shared" si="46"/>
        <v>316</v>
      </c>
      <c r="L449" s="861"/>
      <c r="M449" s="671">
        <f t="shared" si="47"/>
        <v>447</v>
      </c>
      <c r="N449" s="671">
        <f t="shared" si="48"/>
        <v>240</v>
      </c>
      <c r="O449" s="671">
        <f t="shared" si="49"/>
        <v>106</v>
      </c>
      <c r="P449" s="861" t="s">
        <v>2776</v>
      </c>
      <c r="Q449" s="861"/>
      <c r="R449" s="861"/>
      <c r="S449" s="861" t="s">
        <v>1020</v>
      </c>
      <c r="T449" s="866" t="s">
        <v>2777</v>
      </c>
      <c r="U449" s="865"/>
    </row>
    <row r="450" spans="1:21" ht="15">
      <c r="A450" s="672"/>
      <c r="B450" s="861" t="s">
        <v>2778</v>
      </c>
      <c r="C450" s="861" t="s">
        <v>2779</v>
      </c>
      <c r="D450" s="861" t="s">
        <v>371</v>
      </c>
      <c r="E450" s="861"/>
      <c r="F450" s="862"/>
      <c r="G450" s="869">
        <v>0.62182406899999998</v>
      </c>
      <c r="H450" s="874">
        <v>279788807.27999997</v>
      </c>
      <c r="I450" s="871"/>
      <c r="J450" s="862">
        <v>0.122</v>
      </c>
      <c r="K450" s="868">
        <f t="shared" si="46"/>
        <v>316</v>
      </c>
      <c r="L450" s="861"/>
      <c r="M450" s="671">
        <f t="shared" si="47"/>
        <v>448</v>
      </c>
      <c r="N450" s="671" t="str">
        <f t="shared" si="48"/>
        <v>N/A</v>
      </c>
      <c r="O450" s="671">
        <f t="shared" si="49"/>
        <v>421</v>
      </c>
      <c r="P450" s="861" t="s">
        <v>653</v>
      </c>
      <c r="Q450" s="861"/>
      <c r="R450" s="861"/>
      <c r="S450" s="861" t="s">
        <v>2780</v>
      </c>
      <c r="T450" s="866" t="s">
        <v>2781</v>
      </c>
      <c r="U450" s="865"/>
    </row>
    <row r="451" spans="1:21" ht="15">
      <c r="A451" s="857"/>
      <c r="B451" s="861" t="s">
        <v>2782</v>
      </c>
      <c r="C451" s="861" t="s">
        <v>2783</v>
      </c>
      <c r="D451" s="861" t="s">
        <v>371</v>
      </c>
      <c r="E451" s="861"/>
      <c r="F451" s="862"/>
      <c r="G451" s="869">
        <v>0</v>
      </c>
      <c r="H451" s="874">
        <v>279555408.51999998</v>
      </c>
      <c r="I451" s="871"/>
      <c r="J451" s="862">
        <v>0.13800000000000001</v>
      </c>
      <c r="K451" s="868">
        <f t="shared" si="46"/>
        <v>316</v>
      </c>
      <c r="L451" s="861" t="s">
        <v>526</v>
      </c>
      <c r="M451" s="671">
        <f t="shared" si="47"/>
        <v>449</v>
      </c>
      <c r="N451" s="671" t="str">
        <f t="shared" si="48"/>
        <v>N/A</v>
      </c>
      <c r="O451" s="671">
        <f t="shared" si="49"/>
        <v>372</v>
      </c>
      <c r="P451" s="861" t="s">
        <v>2784</v>
      </c>
      <c r="Q451" s="861" t="s">
        <v>2785</v>
      </c>
      <c r="R451" s="861" t="s">
        <v>2062</v>
      </c>
      <c r="S451" s="861" t="s">
        <v>399</v>
      </c>
      <c r="T451" s="866" t="s">
        <v>2786</v>
      </c>
      <c r="U451" s="865"/>
    </row>
    <row r="452" spans="1:21" ht="15">
      <c r="A452" s="672"/>
      <c r="B452" s="861" t="s">
        <v>2787</v>
      </c>
      <c r="C452" s="861" t="s">
        <v>2788</v>
      </c>
      <c r="D452" s="861" t="s">
        <v>371</v>
      </c>
      <c r="E452" s="861"/>
      <c r="F452" s="862"/>
      <c r="G452" s="869">
        <v>0.680503317</v>
      </c>
      <c r="H452" s="874">
        <v>278678110.74000001</v>
      </c>
      <c r="I452" s="871"/>
      <c r="J452" s="862">
        <v>0.17299999999999999</v>
      </c>
      <c r="K452" s="868">
        <f t="shared" ref="K452:K515" si="50">IFERROR(_xlfn.RANK.EQ(F452,F$3:F$1770),"N/A")</f>
        <v>316</v>
      </c>
      <c r="L452" s="861"/>
      <c r="M452" s="671">
        <f t="shared" ref="M452:M515" si="51">IFERROR(_xlfn.RANK.EQ(H452,H$3:H$1770),"N/A")</f>
        <v>450</v>
      </c>
      <c r="N452" s="671" t="str">
        <f t="shared" ref="N452:N515" si="52">IFERROR(_xlfn.RANK.EQ(I452,I$3:I$1770),"N/A")</f>
        <v>N/A</v>
      </c>
      <c r="O452" s="671">
        <f t="shared" ref="O452:O515" si="53">IFERROR(_xlfn.RANK.EQ(J452,J$3:J$1770),"N/A")</f>
        <v>299</v>
      </c>
      <c r="P452" s="861"/>
      <c r="Q452" s="861"/>
      <c r="R452" s="861"/>
      <c r="S452" s="861" t="s">
        <v>424</v>
      </c>
      <c r="T452" s="866" t="s">
        <v>2789</v>
      </c>
      <c r="U452" s="865"/>
    </row>
    <row r="453" spans="1:21" ht="15">
      <c r="A453" s="857"/>
      <c r="B453" s="861" t="s">
        <v>2790</v>
      </c>
      <c r="C453" s="861" t="s">
        <v>2791</v>
      </c>
      <c r="D453" s="861" t="s">
        <v>371</v>
      </c>
      <c r="E453" s="861"/>
      <c r="F453" s="862">
        <v>5.2999999999999999E-2</v>
      </c>
      <c r="G453" s="869">
        <v>21.564749559999999</v>
      </c>
      <c r="H453" s="874">
        <v>271359717.60000002</v>
      </c>
      <c r="I453" s="871">
        <v>0.3</v>
      </c>
      <c r="J453" s="862">
        <v>0.10299999999999999</v>
      </c>
      <c r="K453" s="868">
        <f t="shared" si="50"/>
        <v>251</v>
      </c>
      <c r="L453" s="861" t="s">
        <v>1574</v>
      </c>
      <c r="M453" s="671">
        <f t="shared" si="51"/>
        <v>451</v>
      </c>
      <c r="N453" s="671">
        <f t="shared" si="52"/>
        <v>307</v>
      </c>
      <c r="O453" s="671">
        <f t="shared" si="53"/>
        <v>482</v>
      </c>
      <c r="P453" s="861" t="s">
        <v>2792</v>
      </c>
      <c r="Q453" s="861" t="s">
        <v>2793</v>
      </c>
      <c r="R453" s="861" t="s">
        <v>1369</v>
      </c>
      <c r="S453" s="861" t="s">
        <v>2794</v>
      </c>
      <c r="T453" s="866" t="s">
        <v>2795</v>
      </c>
      <c r="U453" s="865"/>
    </row>
    <row r="454" spans="1:21" ht="15">
      <c r="A454" s="672"/>
      <c r="B454" s="861" t="s">
        <v>2796</v>
      </c>
      <c r="C454" s="861" t="s">
        <v>2797</v>
      </c>
      <c r="D454" s="861" t="s">
        <v>371</v>
      </c>
      <c r="E454" s="861"/>
      <c r="F454" s="862"/>
      <c r="G454" s="869">
        <v>0.20644639400000001</v>
      </c>
      <c r="H454" s="874">
        <v>271230225.57999998</v>
      </c>
      <c r="I454" s="871"/>
      <c r="J454" s="862">
        <v>0.34599999999999997</v>
      </c>
      <c r="K454" s="868">
        <f t="shared" si="50"/>
        <v>316</v>
      </c>
      <c r="L454" s="861" t="s">
        <v>994</v>
      </c>
      <c r="M454" s="671">
        <f t="shared" si="51"/>
        <v>452</v>
      </c>
      <c r="N454" s="671" t="str">
        <f t="shared" si="52"/>
        <v>N/A</v>
      </c>
      <c r="O454" s="671">
        <f t="shared" si="53"/>
        <v>81</v>
      </c>
      <c r="P454" s="861" t="s">
        <v>2798</v>
      </c>
      <c r="Q454" s="861" t="s">
        <v>2799</v>
      </c>
      <c r="R454" s="861" t="s">
        <v>868</v>
      </c>
      <c r="S454" s="861" t="s">
        <v>2800</v>
      </c>
      <c r="T454" s="866" t="s">
        <v>2801</v>
      </c>
      <c r="U454" s="865"/>
    </row>
    <row r="455" spans="1:21" ht="15">
      <c r="A455" s="857"/>
      <c r="B455" s="861" t="s">
        <v>2802</v>
      </c>
      <c r="C455" s="861" t="s">
        <v>2803</v>
      </c>
      <c r="D455" s="861" t="s">
        <v>371</v>
      </c>
      <c r="E455" s="861"/>
      <c r="F455" s="862">
        <v>0.11600000000000001</v>
      </c>
      <c r="G455" s="869">
        <v>0.76477523000000003</v>
      </c>
      <c r="H455" s="874">
        <v>270949144.95999998</v>
      </c>
      <c r="I455" s="871">
        <v>43.86</v>
      </c>
      <c r="J455" s="863" t="s">
        <v>2804</v>
      </c>
      <c r="K455" s="868">
        <f t="shared" si="50"/>
        <v>179</v>
      </c>
      <c r="L455" s="861"/>
      <c r="M455" s="671">
        <f t="shared" si="51"/>
        <v>453</v>
      </c>
      <c r="N455" s="671">
        <f t="shared" si="52"/>
        <v>100</v>
      </c>
      <c r="O455" s="671" t="str">
        <f t="shared" si="53"/>
        <v>N/A</v>
      </c>
      <c r="P455" s="861" t="s">
        <v>2110</v>
      </c>
      <c r="Q455" s="861" t="s">
        <v>2365</v>
      </c>
      <c r="R455" s="861"/>
      <c r="S455" s="861" t="s">
        <v>2805</v>
      </c>
      <c r="T455" s="866" t="s">
        <v>2806</v>
      </c>
      <c r="U455" s="865"/>
    </row>
    <row r="456" spans="1:21" ht="15">
      <c r="A456" s="672"/>
      <c r="B456" s="861" t="s">
        <v>2807</v>
      </c>
      <c r="C456" s="861" t="s">
        <v>2808</v>
      </c>
      <c r="D456" s="861" t="s">
        <v>371</v>
      </c>
      <c r="E456" s="861"/>
      <c r="F456" s="862">
        <v>-0.36799999999999999</v>
      </c>
      <c r="G456" s="870" t="s">
        <v>2809</v>
      </c>
      <c r="H456" s="874">
        <v>269499510.72000003</v>
      </c>
      <c r="I456" s="871">
        <v>38.08</v>
      </c>
      <c r="J456" s="863" t="s">
        <v>539</v>
      </c>
      <c r="K456" s="868">
        <f t="shared" si="50"/>
        <v>456</v>
      </c>
      <c r="L456" s="861"/>
      <c r="M456" s="671">
        <f t="shared" si="51"/>
        <v>454</v>
      </c>
      <c r="N456" s="671">
        <f t="shared" si="52"/>
        <v>115</v>
      </c>
      <c r="O456" s="671" t="str">
        <f t="shared" si="53"/>
        <v>N/A</v>
      </c>
      <c r="P456" s="861" t="s">
        <v>2810</v>
      </c>
      <c r="Q456" s="861"/>
      <c r="R456" s="861"/>
      <c r="S456" s="861" t="s">
        <v>404</v>
      </c>
      <c r="T456" s="866" t="s">
        <v>2811</v>
      </c>
      <c r="U456" s="865"/>
    </row>
    <row r="457" spans="1:21" ht="15">
      <c r="A457" s="857"/>
      <c r="B457" s="861" t="s">
        <v>2812</v>
      </c>
      <c r="C457" s="861" t="s">
        <v>2813</v>
      </c>
      <c r="D457" s="861" t="s">
        <v>371</v>
      </c>
      <c r="E457" s="861"/>
      <c r="F457" s="862">
        <v>-0.13600000000000001</v>
      </c>
      <c r="G457" s="869">
        <v>0</v>
      </c>
      <c r="H457" s="874">
        <v>269021686.58999997</v>
      </c>
      <c r="I457" s="871"/>
      <c r="J457" s="863" t="s">
        <v>2814</v>
      </c>
      <c r="K457" s="868">
        <f t="shared" si="50"/>
        <v>397</v>
      </c>
      <c r="L457" s="861"/>
      <c r="M457" s="671">
        <f t="shared" si="51"/>
        <v>455</v>
      </c>
      <c r="N457" s="671" t="str">
        <f t="shared" si="52"/>
        <v>N/A</v>
      </c>
      <c r="O457" s="671" t="str">
        <f t="shared" si="53"/>
        <v>N/A</v>
      </c>
      <c r="P457" s="861" t="s">
        <v>1020</v>
      </c>
      <c r="Q457" s="861" t="s">
        <v>2815</v>
      </c>
      <c r="R457" s="861"/>
      <c r="S457" s="861" t="s">
        <v>2015</v>
      </c>
      <c r="T457" s="866" t="s">
        <v>2816</v>
      </c>
      <c r="U457" s="865"/>
    </row>
    <row r="458" spans="1:21" ht="15">
      <c r="A458" s="672"/>
      <c r="B458" s="861" t="s">
        <v>2817</v>
      </c>
      <c r="C458" s="861" t="s">
        <v>2818</v>
      </c>
      <c r="D458" s="861" t="s">
        <v>371</v>
      </c>
      <c r="E458" s="861"/>
      <c r="F458" s="862"/>
      <c r="G458" s="870" t="s">
        <v>2819</v>
      </c>
      <c r="H458" s="874">
        <v>268474477.52999997</v>
      </c>
      <c r="I458" s="871"/>
      <c r="J458" s="863" t="s">
        <v>2820</v>
      </c>
      <c r="K458" s="868">
        <f t="shared" si="50"/>
        <v>316</v>
      </c>
      <c r="L458" s="861" t="s">
        <v>2086</v>
      </c>
      <c r="M458" s="671">
        <f t="shared" si="51"/>
        <v>456</v>
      </c>
      <c r="N458" s="671" t="str">
        <f t="shared" si="52"/>
        <v>N/A</v>
      </c>
      <c r="O458" s="671" t="str">
        <f t="shared" si="53"/>
        <v>N/A</v>
      </c>
      <c r="P458" s="861" t="s">
        <v>2821</v>
      </c>
      <c r="Q458" s="861" t="s">
        <v>2822</v>
      </c>
      <c r="R458" s="861" t="s">
        <v>2823</v>
      </c>
      <c r="S458" s="861" t="s">
        <v>2824</v>
      </c>
      <c r="T458" s="866" t="s">
        <v>2825</v>
      </c>
      <c r="U458" s="865"/>
    </row>
    <row r="459" spans="1:21" ht="15">
      <c r="A459" s="857"/>
      <c r="B459" s="861" t="s">
        <v>2826</v>
      </c>
      <c r="C459" s="861" t="s">
        <v>2827</v>
      </c>
      <c r="D459" s="861" t="s">
        <v>371</v>
      </c>
      <c r="E459" s="861"/>
      <c r="F459" s="862"/>
      <c r="G459" s="870" t="s">
        <v>2828</v>
      </c>
      <c r="H459" s="874">
        <v>267110406.52000001</v>
      </c>
      <c r="I459" s="871"/>
      <c r="J459" s="861"/>
      <c r="K459" s="868">
        <f t="shared" si="50"/>
        <v>316</v>
      </c>
      <c r="L459" s="861"/>
      <c r="M459" s="671">
        <f t="shared" si="51"/>
        <v>457</v>
      </c>
      <c r="N459" s="671" t="str">
        <f t="shared" si="52"/>
        <v>N/A</v>
      </c>
      <c r="O459" s="671">
        <f t="shared" si="53"/>
        <v>708</v>
      </c>
      <c r="P459" s="861" t="s">
        <v>761</v>
      </c>
      <c r="Q459" s="861" t="s">
        <v>2829</v>
      </c>
      <c r="R459" s="861"/>
      <c r="S459" s="861" t="s">
        <v>2830</v>
      </c>
      <c r="T459" s="866" t="s">
        <v>2831</v>
      </c>
      <c r="U459" s="865"/>
    </row>
    <row r="460" spans="1:21" ht="15">
      <c r="A460" s="672"/>
      <c r="B460" s="861" t="s">
        <v>2832</v>
      </c>
      <c r="C460" s="861" t="s">
        <v>2833</v>
      </c>
      <c r="D460" s="861" t="s">
        <v>371</v>
      </c>
      <c r="E460" s="861"/>
      <c r="F460" s="862">
        <v>0.44</v>
      </c>
      <c r="G460" s="869">
        <v>19.05</v>
      </c>
      <c r="H460" s="874">
        <v>266043131.5</v>
      </c>
      <c r="I460" s="871">
        <v>140.75</v>
      </c>
      <c r="J460" s="863" t="s">
        <v>1439</v>
      </c>
      <c r="K460" s="868">
        <f t="shared" si="50"/>
        <v>22</v>
      </c>
      <c r="L460" s="861" t="s">
        <v>2834</v>
      </c>
      <c r="M460" s="671">
        <f t="shared" si="51"/>
        <v>458</v>
      </c>
      <c r="N460" s="671">
        <f t="shared" si="52"/>
        <v>16</v>
      </c>
      <c r="O460" s="671" t="str">
        <f t="shared" si="53"/>
        <v>N/A</v>
      </c>
      <c r="P460" s="861" t="s">
        <v>2835</v>
      </c>
      <c r="Q460" s="861" t="s">
        <v>2836</v>
      </c>
      <c r="R460" s="861"/>
      <c r="S460" s="861" t="s">
        <v>2837</v>
      </c>
      <c r="T460" s="866" t="s">
        <v>2838</v>
      </c>
      <c r="U460" s="865"/>
    </row>
    <row r="461" spans="1:21" ht="15">
      <c r="A461" s="857"/>
      <c r="B461" s="861" t="s">
        <v>2839</v>
      </c>
      <c r="C461" s="861" t="s">
        <v>2840</v>
      </c>
      <c r="D461" s="861" t="s">
        <v>371</v>
      </c>
      <c r="E461" s="861"/>
      <c r="F461" s="862"/>
      <c r="G461" s="870" t="s">
        <v>2841</v>
      </c>
      <c r="H461" s="874">
        <v>265316186.93000001</v>
      </c>
      <c r="I461" s="871"/>
      <c r="J461" s="863" t="s">
        <v>2508</v>
      </c>
      <c r="K461" s="868">
        <f t="shared" si="50"/>
        <v>316</v>
      </c>
      <c r="L461" s="861"/>
      <c r="M461" s="671">
        <f t="shared" si="51"/>
        <v>459</v>
      </c>
      <c r="N461" s="671" t="str">
        <f t="shared" si="52"/>
        <v>N/A</v>
      </c>
      <c r="O461" s="671" t="str">
        <f t="shared" si="53"/>
        <v>N/A</v>
      </c>
      <c r="P461" s="861"/>
      <c r="Q461" s="861"/>
      <c r="R461" s="861"/>
      <c r="S461" s="861" t="s">
        <v>1082</v>
      </c>
      <c r="T461" s="866" t="s">
        <v>2842</v>
      </c>
      <c r="U461" s="865"/>
    </row>
    <row r="462" spans="1:21" ht="15">
      <c r="A462" s="672"/>
      <c r="B462" s="861" t="s">
        <v>2843</v>
      </c>
      <c r="C462" s="861" t="s">
        <v>2844</v>
      </c>
      <c r="D462" s="861" t="s">
        <v>371</v>
      </c>
      <c r="E462" s="861"/>
      <c r="F462" s="862">
        <v>-0.59099999999999997</v>
      </c>
      <c r="G462" s="870" t="s">
        <v>2845</v>
      </c>
      <c r="H462" s="874">
        <v>263984686.72999999</v>
      </c>
      <c r="I462" s="871"/>
      <c r="J462" s="862">
        <v>0.28499999999999998</v>
      </c>
      <c r="K462" s="868">
        <f t="shared" si="50"/>
        <v>480</v>
      </c>
      <c r="L462" s="861"/>
      <c r="M462" s="671">
        <f t="shared" si="51"/>
        <v>460</v>
      </c>
      <c r="N462" s="671" t="str">
        <f t="shared" si="52"/>
        <v>N/A</v>
      </c>
      <c r="O462" s="671">
        <f t="shared" si="53"/>
        <v>143</v>
      </c>
      <c r="P462" s="861" t="s">
        <v>2784</v>
      </c>
      <c r="Q462" s="861"/>
      <c r="R462" s="861"/>
      <c r="S462" s="861" t="s">
        <v>404</v>
      </c>
      <c r="T462" s="866" t="s">
        <v>2846</v>
      </c>
      <c r="U462" s="865"/>
    </row>
    <row r="463" spans="1:21" ht="15">
      <c r="A463" s="857"/>
      <c r="B463" s="861" t="s">
        <v>2847</v>
      </c>
      <c r="C463" s="861" t="s">
        <v>2848</v>
      </c>
      <c r="D463" s="861" t="s">
        <v>371</v>
      </c>
      <c r="E463" s="861"/>
      <c r="F463" s="862">
        <v>0.13600000000000001</v>
      </c>
      <c r="G463" s="869">
        <v>4.1734742909999998</v>
      </c>
      <c r="H463" s="874">
        <v>260873400.50999999</v>
      </c>
      <c r="I463" s="871">
        <v>20.65</v>
      </c>
      <c r="J463" s="862">
        <v>0.15</v>
      </c>
      <c r="K463" s="868">
        <f t="shared" si="50"/>
        <v>155</v>
      </c>
      <c r="L463" s="861"/>
      <c r="M463" s="671">
        <f t="shared" si="51"/>
        <v>461</v>
      </c>
      <c r="N463" s="671">
        <f t="shared" si="52"/>
        <v>173</v>
      </c>
      <c r="O463" s="671">
        <f t="shared" si="53"/>
        <v>340</v>
      </c>
      <c r="P463" s="861"/>
      <c r="Q463" s="861"/>
      <c r="R463" s="861"/>
      <c r="S463" s="861" t="s">
        <v>424</v>
      </c>
      <c r="T463" s="866"/>
      <c r="U463" s="865"/>
    </row>
    <row r="464" spans="1:21" ht="15">
      <c r="A464" s="672"/>
      <c r="B464" s="861" t="s">
        <v>2849</v>
      </c>
      <c r="C464" s="861" t="s">
        <v>2850</v>
      </c>
      <c r="D464" s="861" t="s">
        <v>371</v>
      </c>
      <c r="E464" s="861"/>
      <c r="F464" s="862">
        <v>0.106</v>
      </c>
      <c r="G464" s="869">
        <v>2.5739403300000001</v>
      </c>
      <c r="H464" s="874">
        <v>260318535.09</v>
      </c>
      <c r="I464" s="871"/>
      <c r="J464" s="862">
        <v>0.43099999999999999</v>
      </c>
      <c r="K464" s="868">
        <f t="shared" si="50"/>
        <v>188</v>
      </c>
      <c r="L464" s="861" t="s">
        <v>2851</v>
      </c>
      <c r="M464" s="671">
        <f t="shared" si="51"/>
        <v>462</v>
      </c>
      <c r="N464" s="671" t="str">
        <f t="shared" si="52"/>
        <v>N/A</v>
      </c>
      <c r="O464" s="671">
        <f t="shared" si="53"/>
        <v>46</v>
      </c>
      <c r="P464" s="861" t="s">
        <v>571</v>
      </c>
      <c r="Q464" s="861" t="s">
        <v>2852</v>
      </c>
      <c r="R464" s="863" t="s">
        <v>1420</v>
      </c>
      <c r="S464" s="861" t="s">
        <v>2853</v>
      </c>
      <c r="T464" s="866" t="s">
        <v>2854</v>
      </c>
      <c r="U464" s="865"/>
    </row>
    <row r="465" spans="1:21" ht="15">
      <c r="A465" s="857"/>
      <c r="B465" s="861" t="s">
        <v>2855</v>
      </c>
      <c r="C465" s="861" t="s">
        <v>2856</v>
      </c>
      <c r="D465" s="861" t="s">
        <v>371</v>
      </c>
      <c r="E465" s="861"/>
      <c r="F465" s="862"/>
      <c r="G465" s="869">
        <v>0.46908653900000002</v>
      </c>
      <c r="H465" s="874">
        <v>259517668.61000001</v>
      </c>
      <c r="I465" s="872" t="s">
        <v>2857</v>
      </c>
      <c r="J465" s="862">
        <v>0.30499999999999999</v>
      </c>
      <c r="K465" s="868">
        <f t="shared" si="50"/>
        <v>316</v>
      </c>
      <c r="L465" s="861"/>
      <c r="M465" s="671">
        <f t="shared" si="51"/>
        <v>463</v>
      </c>
      <c r="N465" s="671" t="str">
        <f t="shared" si="52"/>
        <v>N/A</v>
      </c>
      <c r="O465" s="671">
        <f t="shared" si="53"/>
        <v>124</v>
      </c>
      <c r="P465" s="861"/>
      <c r="Q465" s="861"/>
      <c r="R465" s="861"/>
      <c r="S465" s="861" t="s">
        <v>454</v>
      </c>
      <c r="T465" s="866" t="s">
        <v>2858</v>
      </c>
      <c r="U465" s="865"/>
    </row>
    <row r="466" spans="1:21" ht="15">
      <c r="A466" s="672"/>
      <c r="B466" s="861" t="s">
        <v>2859</v>
      </c>
      <c r="C466" s="861" t="s">
        <v>2860</v>
      </c>
      <c r="D466" s="861" t="s">
        <v>371</v>
      </c>
      <c r="E466" s="861"/>
      <c r="F466" s="862"/>
      <c r="G466" s="869">
        <v>0</v>
      </c>
      <c r="H466" s="874">
        <v>257381198.49000001</v>
      </c>
      <c r="I466" s="871"/>
      <c r="J466" s="863" t="s">
        <v>2861</v>
      </c>
      <c r="K466" s="868">
        <f t="shared" si="50"/>
        <v>316</v>
      </c>
      <c r="L466" s="861"/>
      <c r="M466" s="671">
        <f t="shared" si="51"/>
        <v>464</v>
      </c>
      <c r="N466" s="671" t="str">
        <f t="shared" si="52"/>
        <v>N/A</v>
      </c>
      <c r="O466" s="671" t="str">
        <f t="shared" si="53"/>
        <v>N/A</v>
      </c>
      <c r="P466" s="861" t="s">
        <v>1020</v>
      </c>
      <c r="Q466" s="861" t="s">
        <v>1001</v>
      </c>
      <c r="R466" s="861"/>
      <c r="S466" s="861" t="s">
        <v>2862</v>
      </c>
      <c r="T466" s="866" t="s">
        <v>2863</v>
      </c>
      <c r="U466" s="865"/>
    </row>
    <row r="467" spans="1:21" ht="15">
      <c r="A467" s="857"/>
      <c r="B467" s="861" t="s">
        <v>2864</v>
      </c>
      <c r="C467" s="861" t="s">
        <v>2865</v>
      </c>
      <c r="D467" s="861" t="s">
        <v>371</v>
      </c>
      <c r="E467" s="861"/>
      <c r="F467" s="862"/>
      <c r="G467" s="870" t="s">
        <v>2866</v>
      </c>
      <c r="H467" s="874">
        <v>256650855.66</v>
      </c>
      <c r="I467" s="872" t="s">
        <v>2867</v>
      </c>
      <c r="J467" s="862">
        <v>0.19900000000000001</v>
      </c>
      <c r="K467" s="868">
        <f t="shared" si="50"/>
        <v>316</v>
      </c>
      <c r="L467" s="861" t="s">
        <v>825</v>
      </c>
      <c r="M467" s="671">
        <f t="shared" si="51"/>
        <v>465</v>
      </c>
      <c r="N467" s="671" t="str">
        <f t="shared" si="52"/>
        <v>N/A</v>
      </c>
      <c r="O467" s="671">
        <f t="shared" si="53"/>
        <v>254</v>
      </c>
      <c r="P467" s="861" t="s">
        <v>2290</v>
      </c>
      <c r="Q467" s="861" t="s">
        <v>2868</v>
      </c>
      <c r="R467" s="861" t="s">
        <v>409</v>
      </c>
      <c r="S467" s="861" t="s">
        <v>2367</v>
      </c>
      <c r="T467" s="866" t="s">
        <v>2869</v>
      </c>
      <c r="U467" s="865"/>
    </row>
    <row r="468" spans="1:21" ht="15">
      <c r="A468" s="672"/>
      <c r="B468" s="861" t="s">
        <v>2870</v>
      </c>
      <c r="C468" s="861" t="s">
        <v>2871</v>
      </c>
      <c r="D468" s="861" t="s">
        <v>371</v>
      </c>
      <c r="E468" s="861"/>
      <c r="F468" s="862">
        <v>0.158</v>
      </c>
      <c r="G468" s="869">
        <v>2.2273127599999998</v>
      </c>
      <c r="H468" s="874">
        <v>255776427.28</v>
      </c>
      <c r="I468" s="871">
        <v>2.5499999999999998</v>
      </c>
      <c r="J468" s="862">
        <v>0.04</v>
      </c>
      <c r="K468" s="868">
        <f t="shared" si="50"/>
        <v>130</v>
      </c>
      <c r="L468" s="861"/>
      <c r="M468" s="671">
        <f t="shared" si="51"/>
        <v>466</v>
      </c>
      <c r="N468" s="671">
        <f t="shared" si="52"/>
        <v>289</v>
      </c>
      <c r="O468" s="671">
        <f t="shared" si="53"/>
        <v>628</v>
      </c>
      <c r="P468" s="861"/>
      <c r="Q468" s="861"/>
      <c r="R468" s="861"/>
      <c r="S468" s="861" t="s">
        <v>424</v>
      </c>
      <c r="T468" s="866" t="s">
        <v>2872</v>
      </c>
      <c r="U468" s="865"/>
    </row>
    <row r="469" spans="1:21" ht="15">
      <c r="A469" s="857"/>
      <c r="B469" s="861" t="s">
        <v>2873</v>
      </c>
      <c r="C469" s="861" t="s">
        <v>2874</v>
      </c>
      <c r="D469" s="861" t="s">
        <v>371</v>
      </c>
      <c r="E469" s="861"/>
      <c r="F469" s="862">
        <v>-0.15</v>
      </c>
      <c r="G469" s="870" t="s">
        <v>2875</v>
      </c>
      <c r="H469" s="874">
        <v>255430716.80000001</v>
      </c>
      <c r="I469" s="872" t="s">
        <v>2867</v>
      </c>
      <c r="J469" s="862">
        <v>0.26100000000000001</v>
      </c>
      <c r="K469" s="868">
        <f t="shared" si="50"/>
        <v>399</v>
      </c>
      <c r="L469" s="861"/>
      <c r="M469" s="671">
        <f t="shared" si="51"/>
        <v>467</v>
      </c>
      <c r="N469" s="671" t="str">
        <f t="shared" si="52"/>
        <v>N/A</v>
      </c>
      <c r="O469" s="671">
        <f t="shared" si="53"/>
        <v>164</v>
      </c>
      <c r="P469" s="861" t="s">
        <v>2117</v>
      </c>
      <c r="Q469" s="861"/>
      <c r="R469" s="861"/>
      <c r="S469" s="861" t="s">
        <v>2876</v>
      </c>
      <c r="T469" s="866" t="s">
        <v>2877</v>
      </c>
      <c r="U469" s="865"/>
    </row>
    <row r="470" spans="1:21" ht="15">
      <c r="A470" s="672"/>
      <c r="B470" s="861" t="s">
        <v>2878</v>
      </c>
      <c r="C470" s="861" t="s">
        <v>2879</v>
      </c>
      <c r="D470" s="861" t="s">
        <v>371</v>
      </c>
      <c r="E470" s="861"/>
      <c r="F470" s="862"/>
      <c r="G470" s="869">
        <v>0.70006044300000003</v>
      </c>
      <c r="H470" s="874">
        <v>253237794.53</v>
      </c>
      <c r="I470" s="871"/>
      <c r="J470" s="863" t="s">
        <v>2880</v>
      </c>
      <c r="K470" s="868">
        <f t="shared" si="50"/>
        <v>316</v>
      </c>
      <c r="L470" s="861"/>
      <c r="M470" s="671">
        <f t="shared" si="51"/>
        <v>468</v>
      </c>
      <c r="N470" s="671" t="str">
        <f t="shared" si="52"/>
        <v>N/A</v>
      </c>
      <c r="O470" s="671" t="str">
        <f t="shared" si="53"/>
        <v>N/A</v>
      </c>
      <c r="P470" s="861"/>
      <c r="Q470" s="861"/>
      <c r="R470" s="861"/>
      <c r="S470" s="861" t="s">
        <v>487</v>
      </c>
      <c r="T470" s="866" t="s">
        <v>2881</v>
      </c>
      <c r="U470" s="865"/>
    </row>
    <row r="471" spans="1:21" ht="15">
      <c r="A471" s="857"/>
      <c r="B471" s="861" t="s">
        <v>2882</v>
      </c>
      <c r="C471" s="861" t="s">
        <v>2883</v>
      </c>
      <c r="D471" s="861" t="s">
        <v>371</v>
      </c>
      <c r="E471" s="861"/>
      <c r="F471" s="862"/>
      <c r="G471" s="870" t="s">
        <v>2884</v>
      </c>
      <c r="H471" s="874">
        <v>253116072.33000001</v>
      </c>
      <c r="I471" s="871">
        <v>41.25</v>
      </c>
      <c r="J471" s="863" t="s">
        <v>2885</v>
      </c>
      <c r="K471" s="868">
        <f t="shared" si="50"/>
        <v>316</v>
      </c>
      <c r="L471" s="861"/>
      <c r="M471" s="671">
        <f t="shared" si="51"/>
        <v>469</v>
      </c>
      <c r="N471" s="671">
        <f t="shared" si="52"/>
        <v>108</v>
      </c>
      <c r="O471" s="671" t="str">
        <f t="shared" si="53"/>
        <v>N/A</v>
      </c>
      <c r="P471" s="861" t="s">
        <v>1749</v>
      </c>
      <c r="Q471" s="861"/>
      <c r="R471" s="861"/>
      <c r="S471" s="861" t="s">
        <v>542</v>
      </c>
      <c r="T471" s="866" t="s">
        <v>2886</v>
      </c>
      <c r="U471" s="865"/>
    </row>
    <row r="472" spans="1:21" ht="15">
      <c r="A472" s="672"/>
      <c r="B472" s="861" t="s">
        <v>2887</v>
      </c>
      <c r="C472" s="861" t="s">
        <v>2888</v>
      </c>
      <c r="D472" s="861" t="s">
        <v>371</v>
      </c>
      <c r="E472" s="861"/>
      <c r="F472" s="862">
        <v>-0.89500000000000002</v>
      </c>
      <c r="G472" s="870" t="s">
        <v>2889</v>
      </c>
      <c r="H472" s="874">
        <v>248418117.53999999</v>
      </c>
      <c r="I472" s="872" t="s">
        <v>2890</v>
      </c>
      <c r="J472" s="862">
        <v>0.04</v>
      </c>
      <c r="K472" s="868">
        <f t="shared" si="50"/>
        <v>487</v>
      </c>
      <c r="L472" s="861"/>
      <c r="M472" s="671">
        <f t="shared" si="51"/>
        <v>470</v>
      </c>
      <c r="N472" s="671" t="str">
        <f t="shared" si="52"/>
        <v>N/A</v>
      </c>
      <c r="O472" s="671">
        <f t="shared" si="53"/>
        <v>628</v>
      </c>
      <c r="P472" s="861" t="s">
        <v>2376</v>
      </c>
      <c r="Q472" s="861" t="s">
        <v>2891</v>
      </c>
      <c r="R472" s="861"/>
      <c r="S472" s="861" t="s">
        <v>1369</v>
      </c>
      <c r="T472" s="866" t="s">
        <v>2892</v>
      </c>
      <c r="U472" s="865"/>
    </row>
    <row r="473" spans="1:21" ht="15">
      <c r="A473" s="857"/>
      <c r="B473" s="861" t="s">
        <v>2893</v>
      </c>
      <c r="C473" s="861" t="s">
        <v>2894</v>
      </c>
      <c r="D473" s="861" t="s">
        <v>371</v>
      </c>
      <c r="E473" s="861"/>
      <c r="F473" s="862"/>
      <c r="G473" s="869">
        <v>0</v>
      </c>
      <c r="H473" s="874">
        <v>246506729.34999999</v>
      </c>
      <c r="I473" s="871"/>
      <c r="J473" s="863" t="s">
        <v>2508</v>
      </c>
      <c r="K473" s="868">
        <f t="shared" si="50"/>
        <v>316</v>
      </c>
      <c r="L473" s="861"/>
      <c r="M473" s="671">
        <f t="shared" si="51"/>
        <v>471</v>
      </c>
      <c r="N473" s="671" t="str">
        <f t="shared" si="52"/>
        <v>N/A</v>
      </c>
      <c r="O473" s="671" t="str">
        <f t="shared" si="53"/>
        <v>N/A</v>
      </c>
      <c r="P473" s="861" t="s">
        <v>2891</v>
      </c>
      <c r="Q473" s="861" t="s">
        <v>2895</v>
      </c>
      <c r="R473" s="861"/>
      <c r="S473" s="861" t="s">
        <v>1127</v>
      </c>
      <c r="T473" s="866" t="s">
        <v>2896</v>
      </c>
      <c r="U473" s="865"/>
    </row>
    <row r="474" spans="1:21" ht="15">
      <c r="A474" s="672"/>
      <c r="B474" s="861" t="s">
        <v>2897</v>
      </c>
      <c r="C474" s="861" t="s">
        <v>2898</v>
      </c>
      <c r="D474" s="861" t="s">
        <v>371</v>
      </c>
      <c r="E474" s="861"/>
      <c r="F474" s="862"/>
      <c r="G474" s="870" t="s">
        <v>2899</v>
      </c>
      <c r="H474" s="874">
        <v>245272852.49000001</v>
      </c>
      <c r="I474" s="872" t="s">
        <v>2900</v>
      </c>
      <c r="J474" s="863" t="s">
        <v>2901</v>
      </c>
      <c r="K474" s="868">
        <f t="shared" si="50"/>
        <v>316</v>
      </c>
      <c r="L474" s="861" t="s">
        <v>931</v>
      </c>
      <c r="M474" s="671">
        <f t="shared" si="51"/>
        <v>472</v>
      </c>
      <c r="N474" s="671" t="str">
        <f t="shared" si="52"/>
        <v>N/A</v>
      </c>
      <c r="O474" s="671" t="str">
        <f t="shared" si="53"/>
        <v>N/A</v>
      </c>
      <c r="P474" s="861" t="s">
        <v>1137</v>
      </c>
      <c r="Q474" s="861" t="s">
        <v>2805</v>
      </c>
      <c r="R474" s="861" t="s">
        <v>1881</v>
      </c>
      <c r="S474" s="861" t="s">
        <v>2902</v>
      </c>
      <c r="T474" s="866" t="s">
        <v>2903</v>
      </c>
      <c r="U474" s="865"/>
    </row>
    <row r="475" spans="1:21" ht="15">
      <c r="A475" s="857"/>
      <c r="B475" s="861" t="s">
        <v>2904</v>
      </c>
      <c r="C475" s="861" t="s">
        <v>2905</v>
      </c>
      <c r="D475" s="861" t="s">
        <v>371</v>
      </c>
      <c r="E475" s="861"/>
      <c r="F475" s="862">
        <v>-0.22</v>
      </c>
      <c r="G475" s="870" t="s">
        <v>2906</v>
      </c>
      <c r="H475" s="874">
        <v>244394356.75</v>
      </c>
      <c r="I475" s="871"/>
      <c r="J475" s="863" t="s">
        <v>2907</v>
      </c>
      <c r="K475" s="868">
        <f t="shared" si="50"/>
        <v>422</v>
      </c>
      <c r="L475" s="861"/>
      <c r="M475" s="671">
        <f t="shared" si="51"/>
        <v>473</v>
      </c>
      <c r="N475" s="671" t="str">
        <f t="shared" si="52"/>
        <v>N/A</v>
      </c>
      <c r="O475" s="671" t="str">
        <f t="shared" si="53"/>
        <v>N/A</v>
      </c>
      <c r="P475" s="861"/>
      <c r="Q475" s="861"/>
      <c r="R475" s="861"/>
      <c r="S475" s="861" t="s">
        <v>424</v>
      </c>
      <c r="T475" s="866" t="s">
        <v>2908</v>
      </c>
      <c r="U475" s="865"/>
    </row>
    <row r="476" spans="1:21" ht="15">
      <c r="A476" s="672"/>
      <c r="B476" s="861" t="s">
        <v>2909</v>
      </c>
      <c r="C476" s="861" t="s">
        <v>2910</v>
      </c>
      <c r="D476" s="861" t="s">
        <v>371</v>
      </c>
      <c r="E476" s="861"/>
      <c r="F476" s="862"/>
      <c r="G476" s="870" t="s">
        <v>2911</v>
      </c>
      <c r="H476" s="874">
        <v>243897919.75999999</v>
      </c>
      <c r="I476" s="871"/>
      <c r="J476" s="862">
        <v>0.159</v>
      </c>
      <c r="K476" s="868">
        <f t="shared" si="50"/>
        <v>316</v>
      </c>
      <c r="L476" s="861"/>
      <c r="M476" s="671">
        <f t="shared" si="51"/>
        <v>474</v>
      </c>
      <c r="N476" s="671" t="str">
        <f t="shared" si="52"/>
        <v>N/A</v>
      </c>
      <c r="O476" s="671">
        <f t="shared" si="53"/>
        <v>320</v>
      </c>
      <c r="P476" s="861" t="s">
        <v>1369</v>
      </c>
      <c r="Q476" s="861"/>
      <c r="R476" s="861"/>
      <c r="S476" s="861" t="s">
        <v>454</v>
      </c>
      <c r="T476" s="866" t="s">
        <v>2912</v>
      </c>
      <c r="U476" s="865"/>
    </row>
    <row r="477" spans="1:21" ht="15">
      <c r="A477" s="857"/>
      <c r="B477" s="861" t="s">
        <v>2913</v>
      </c>
      <c r="C477" s="861" t="s">
        <v>2914</v>
      </c>
      <c r="D477" s="861" t="s">
        <v>371</v>
      </c>
      <c r="E477" s="861"/>
      <c r="F477" s="862">
        <v>5.7000000000000002E-2</v>
      </c>
      <c r="G477" s="869">
        <v>12.89384598</v>
      </c>
      <c r="H477" s="874">
        <v>242681876.88</v>
      </c>
      <c r="I477" s="871"/>
      <c r="J477" s="862">
        <v>0.248</v>
      </c>
      <c r="K477" s="868">
        <f t="shared" si="50"/>
        <v>247</v>
      </c>
      <c r="L477" s="861"/>
      <c r="M477" s="671">
        <f t="shared" si="51"/>
        <v>475</v>
      </c>
      <c r="N477" s="671" t="str">
        <f t="shared" si="52"/>
        <v>N/A</v>
      </c>
      <c r="O477" s="671">
        <f t="shared" si="53"/>
        <v>183</v>
      </c>
      <c r="P477" s="861" t="s">
        <v>2915</v>
      </c>
      <c r="Q477" s="861" t="s">
        <v>2421</v>
      </c>
      <c r="R477" s="861"/>
      <c r="S477" s="861" t="s">
        <v>404</v>
      </c>
      <c r="T477" s="866" t="s">
        <v>2916</v>
      </c>
      <c r="U477" s="865"/>
    </row>
    <row r="478" spans="1:21" ht="15">
      <c r="A478" s="672"/>
      <c r="B478" s="861" t="s">
        <v>2917</v>
      </c>
      <c r="C478" s="861" t="s">
        <v>2918</v>
      </c>
      <c r="D478" s="861" t="s">
        <v>371</v>
      </c>
      <c r="E478" s="861"/>
      <c r="F478" s="862">
        <v>0.253</v>
      </c>
      <c r="G478" s="869">
        <v>0.77936128199999999</v>
      </c>
      <c r="H478" s="874">
        <v>240293547.36000001</v>
      </c>
      <c r="I478" s="871"/>
      <c r="J478" s="863" t="s">
        <v>2919</v>
      </c>
      <c r="K478" s="868">
        <f t="shared" si="50"/>
        <v>68</v>
      </c>
      <c r="L478" s="861"/>
      <c r="M478" s="671">
        <f t="shared" si="51"/>
        <v>476</v>
      </c>
      <c r="N478" s="671" t="str">
        <f t="shared" si="52"/>
        <v>N/A</v>
      </c>
      <c r="O478" s="671" t="str">
        <f t="shared" si="53"/>
        <v>N/A</v>
      </c>
      <c r="P478" s="861" t="s">
        <v>1852</v>
      </c>
      <c r="Q478" s="861" t="s">
        <v>2920</v>
      </c>
      <c r="R478" s="861"/>
      <c r="S478" s="861" t="s">
        <v>2921</v>
      </c>
      <c r="T478" s="866" t="s">
        <v>2922</v>
      </c>
      <c r="U478" s="865"/>
    </row>
    <row r="479" spans="1:21" ht="15">
      <c r="A479" s="857"/>
      <c r="B479" s="861" t="s">
        <v>2923</v>
      </c>
      <c r="C479" s="861" t="s">
        <v>2924</v>
      </c>
      <c r="D479" s="861" t="s">
        <v>371</v>
      </c>
      <c r="E479" s="861"/>
      <c r="F479" s="862"/>
      <c r="G479" s="869">
        <v>11.12269034</v>
      </c>
      <c r="H479" s="874">
        <v>238411158.83000001</v>
      </c>
      <c r="I479" s="871"/>
      <c r="J479" s="863" t="s">
        <v>1132</v>
      </c>
      <c r="K479" s="868">
        <f t="shared" si="50"/>
        <v>316</v>
      </c>
      <c r="L479" s="861"/>
      <c r="M479" s="671">
        <f t="shared" si="51"/>
        <v>477</v>
      </c>
      <c r="N479" s="671" t="str">
        <f t="shared" si="52"/>
        <v>N/A</v>
      </c>
      <c r="O479" s="671" t="str">
        <f t="shared" si="53"/>
        <v>N/A</v>
      </c>
      <c r="P479" s="861" t="s">
        <v>1177</v>
      </c>
      <c r="Q479" s="861" t="s">
        <v>2925</v>
      </c>
      <c r="R479" s="861"/>
      <c r="S479" s="861" t="s">
        <v>1081</v>
      </c>
      <c r="T479" s="866" t="s">
        <v>2926</v>
      </c>
      <c r="U479" s="865"/>
    </row>
    <row r="480" spans="1:21" ht="15">
      <c r="A480" s="672"/>
      <c r="B480" s="861" t="s">
        <v>2927</v>
      </c>
      <c r="C480" s="861" t="s">
        <v>2928</v>
      </c>
      <c r="D480" s="861" t="s">
        <v>371</v>
      </c>
      <c r="E480" s="861"/>
      <c r="F480" s="862"/>
      <c r="G480" s="869">
        <v>1.1573611939999999</v>
      </c>
      <c r="H480" s="874">
        <v>238243136.94</v>
      </c>
      <c r="I480" s="871"/>
      <c r="J480" s="862">
        <v>9.9000000000000005E-2</v>
      </c>
      <c r="K480" s="868">
        <f t="shared" si="50"/>
        <v>316</v>
      </c>
      <c r="L480" s="861"/>
      <c r="M480" s="671">
        <f t="shared" si="51"/>
        <v>478</v>
      </c>
      <c r="N480" s="671" t="str">
        <f t="shared" si="52"/>
        <v>N/A</v>
      </c>
      <c r="O480" s="671">
        <f t="shared" si="53"/>
        <v>499</v>
      </c>
      <c r="P480" s="861"/>
      <c r="Q480" s="861"/>
      <c r="R480" s="861"/>
      <c r="S480" s="861" t="s">
        <v>424</v>
      </c>
      <c r="T480" s="866" t="s">
        <v>2929</v>
      </c>
      <c r="U480" s="865"/>
    </row>
    <row r="481" spans="1:21" ht="15">
      <c r="A481" s="857"/>
      <c r="B481" s="861" t="s">
        <v>2930</v>
      </c>
      <c r="C481" s="861" t="s">
        <v>2931</v>
      </c>
      <c r="D481" s="861" t="s">
        <v>371</v>
      </c>
      <c r="E481" s="861"/>
      <c r="F481" s="862">
        <v>1.9E-2</v>
      </c>
      <c r="G481" s="870" t="s">
        <v>2932</v>
      </c>
      <c r="H481" s="874">
        <v>237777421.75999999</v>
      </c>
      <c r="I481" s="872" t="s">
        <v>2933</v>
      </c>
      <c r="J481" s="862">
        <v>9.0999999999999998E-2</v>
      </c>
      <c r="K481" s="868">
        <f t="shared" si="50"/>
        <v>301</v>
      </c>
      <c r="L481" s="861"/>
      <c r="M481" s="671">
        <f t="shared" si="51"/>
        <v>479</v>
      </c>
      <c r="N481" s="671" t="str">
        <f t="shared" si="52"/>
        <v>N/A</v>
      </c>
      <c r="O481" s="671">
        <f t="shared" si="53"/>
        <v>522</v>
      </c>
      <c r="P481" s="861"/>
      <c r="Q481" s="861"/>
      <c r="R481" s="861"/>
      <c r="S481" s="861" t="s">
        <v>424</v>
      </c>
      <c r="T481" s="866" t="s">
        <v>2934</v>
      </c>
      <c r="U481" s="865"/>
    </row>
    <row r="482" spans="1:21" ht="15">
      <c r="A482" s="672"/>
      <c r="B482" s="861" t="s">
        <v>2935</v>
      </c>
      <c r="C482" s="861" t="s">
        <v>2936</v>
      </c>
      <c r="D482" s="861" t="s">
        <v>371</v>
      </c>
      <c r="E482" s="861"/>
      <c r="F482" s="862"/>
      <c r="G482" s="869">
        <v>0</v>
      </c>
      <c r="H482" s="874">
        <v>237770664.74000001</v>
      </c>
      <c r="I482" s="871"/>
      <c r="J482" s="862">
        <v>5.1999999999999998E-2</v>
      </c>
      <c r="K482" s="868">
        <f t="shared" si="50"/>
        <v>316</v>
      </c>
      <c r="L482" s="861" t="s">
        <v>2937</v>
      </c>
      <c r="M482" s="671">
        <f t="shared" si="51"/>
        <v>480</v>
      </c>
      <c r="N482" s="671" t="str">
        <f t="shared" si="52"/>
        <v>N/A</v>
      </c>
      <c r="O482" s="671">
        <f t="shared" si="53"/>
        <v>596</v>
      </c>
      <c r="P482" s="861" t="s">
        <v>449</v>
      </c>
      <c r="Q482" s="861" t="s">
        <v>2938</v>
      </c>
      <c r="R482" s="861" t="s">
        <v>409</v>
      </c>
      <c r="S482" s="861" t="s">
        <v>2939</v>
      </c>
      <c r="T482" s="866" t="s">
        <v>2940</v>
      </c>
      <c r="U482" s="865"/>
    </row>
    <row r="483" spans="1:21" ht="15">
      <c r="A483" s="857"/>
      <c r="B483" s="861" t="s">
        <v>2941</v>
      </c>
      <c r="C483" s="861" t="s">
        <v>2942</v>
      </c>
      <c r="D483" s="861" t="s">
        <v>371</v>
      </c>
      <c r="E483" s="861"/>
      <c r="F483" s="862">
        <v>-0.16500000000000001</v>
      </c>
      <c r="G483" s="870" t="s">
        <v>2943</v>
      </c>
      <c r="H483" s="874">
        <v>236273676.28</v>
      </c>
      <c r="I483" s="871"/>
      <c r="J483" s="861"/>
      <c r="K483" s="868">
        <f t="shared" si="50"/>
        <v>403</v>
      </c>
      <c r="L483" s="861"/>
      <c r="M483" s="671">
        <f t="shared" si="51"/>
        <v>481</v>
      </c>
      <c r="N483" s="671" t="str">
        <f t="shared" si="52"/>
        <v>N/A</v>
      </c>
      <c r="O483" s="671">
        <f t="shared" si="53"/>
        <v>708</v>
      </c>
      <c r="P483" s="861" t="s">
        <v>547</v>
      </c>
      <c r="Q483" s="861" t="s">
        <v>2944</v>
      </c>
      <c r="R483" s="861"/>
      <c r="S483" s="861" t="s">
        <v>615</v>
      </c>
      <c r="T483" s="866" t="s">
        <v>2945</v>
      </c>
      <c r="U483" s="865"/>
    </row>
    <row r="484" spans="1:21" ht="15">
      <c r="A484" s="672"/>
      <c r="B484" s="861" t="s">
        <v>2946</v>
      </c>
      <c r="C484" s="861" t="s">
        <v>2947</v>
      </c>
      <c r="D484" s="861" t="s">
        <v>371</v>
      </c>
      <c r="E484" s="861"/>
      <c r="F484" s="862">
        <v>0.11899999999999999</v>
      </c>
      <c r="G484" s="869">
        <v>7.4215041480000004</v>
      </c>
      <c r="H484" s="874">
        <v>234282123.47</v>
      </c>
      <c r="I484" s="872" t="s">
        <v>2948</v>
      </c>
      <c r="J484" s="862">
        <v>0.112</v>
      </c>
      <c r="K484" s="868">
        <f t="shared" si="50"/>
        <v>176</v>
      </c>
      <c r="L484" s="861"/>
      <c r="M484" s="671">
        <f t="shared" si="51"/>
        <v>482</v>
      </c>
      <c r="N484" s="671" t="str">
        <f t="shared" si="52"/>
        <v>N/A</v>
      </c>
      <c r="O484" s="671">
        <f t="shared" si="53"/>
        <v>452</v>
      </c>
      <c r="P484" s="861" t="s">
        <v>1061</v>
      </c>
      <c r="Q484" s="861" t="s">
        <v>2949</v>
      </c>
      <c r="R484" s="861"/>
      <c r="S484" s="861" t="s">
        <v>424</v>
      </c>
      <c r="T484" s="866" t="s">
        <v>2950</v>
      </c>
      <c r="U484" s="865"/>
    </row>
    <row r="485" spans="1:21" ht="15">
      <c r="A485" s="857"/>
      <c r="B485" s="861" t="s">
        <v>2951</v>
      </c>
      <c r="C485" s="861" t="s">
        <v>2952</v>
      </c>
      <c r="D485" s="861" t="s">
        <v>371</v>
      </c>
      <c r="E485" s="861"/>
      <c r="F485" s="862">
        <v>0.05</v>
      </c>
      <c r="G485" s="869">
        <v>5.7152561999999997E-2</v>
      </c>
      <c r="H485" s="874">
        <v>234093570.81</v>
      </c>
      <c r="I485" s="871"/>
      <c r="J485" s="862">
        <v>0.39700000000000002</v>
      </c>
      <c r="K485" s="868">
        <f t="shared" si="50"/>
        <v>255</v>
      </c>
      <c r="L485" s="861"/>
      <c r="M485" s="671">
        <f t="shared" si="51"/>
        <v>483</v>
      </c>
      <c r="N485" s="671" t="str">
        <f t="shared" si="52"/>
        <v>N/A</v>
      </c>
      <c r="O485" s="671">
        <f t="shared" si="53"/>
        <v>58</v>
      </c>
      <c r="P485" s="861" t="s">
        <v>2117</v>
      </c>
      <c r="Q485" s="861" t="s">
        <v>2953</v>
      </c>
      <c r="R485" s="861"/>
      <c r="S485" s="861" t="s">
        <v>2954</v>
      </c>
      <c r="T485" s="866" t="s">
        <v>2955</v>
      </c>
      <c r="U485" s="865"/>
    </row>
    <row r="486" spans="1:21" ht="15">
      <c r="A486" s="672"/>
      <c r="B486" s="861" t="s">
        <v>2956</v>
      </c>
      <c r="C486" s="861" t="s">
        <v>2957</v>
      </c>
      <c r="D486" s="861" t="s">
        <v>371</v>
      </c>
      <c r="E486" s="861"/>
      <c r="F486" s="862">
        <v>0.26200000000000001</v>
      </c>
      <c r="G486" s="869">
        <v>1.2684425669999999</v>
      </c>
      <c r="H486" s="874">
        <v>232709708.86000001</v>
      </c>
      <c r="I486" s="871"/>
      <c r="J486" s="863" t="s">
        <v>2958</v>
      </c>
      <c r="K486" s="868">
        <f t="shared" si="50"/>
        <v>65</v>
      </c>
      <c r="L486" s="861"/>
      <c r="M486" s="671">
        <f t="shared" si="51"/>
        <v>484</v>
      </c>
      <c r="N486" s="671" t="str">
        <f t="shared" si="52"/>
        <v>N/A</v>
      </c>
      <c r="O486" s="671" t="str">
        <f t="shared" si="53"/>
        <v>N/A</v>
      </c>
      <c r="P486" s="861"/>
      <c r="Q486" s="861"/>
      <c r="R486" s="861"/>
      <c r="S486" s="861" t="s">
        <v>424</v>
      </c>
      <c r="T486" s="866" t="s">
        <v>2959</v>
      </c>
      <c r="U486" s="865"/>
    </row>
    <row r="487" spans="1:21" ht="15">
      <c r="A487" s="857"/>
      <c r="B487" s="861" t="s">
        <v>2960</v>
      </c>
      <c r="C487" s="861" t="s">
        <v>2961</v>
      </c>
      <c r="D487" s="861" t="s">
        <v>371</v>
      </c>
      <c r="E487" s="861"/>
      <c r="F487" s="862"/>
      <c r="G487" s="869">
        <v>0</v>
      </c>
      <c r="H487" s="874">
        <v>230585670</v>
      </c>
      <c r="I487" s="871"/>
      <c r="J487" s="862">
        <v>5.7000000000000002E-2</v>
      </c>
      <c r="K487" s="868">
        <f t="shared" si="50"/>
        <v>316</v>
      </c>
      <c r="L487" s="861"/>
      <c r="M487" s="671">
        <f t="shared" si="51"/>
        <v>485</v>
      </c>
      <c r="N487" s="671" t="str">
        <f t="shared" si="52"/>
        <v>N/A</v>
      </c>
      <c r="O487" s="671">
        <f t="shared" si="53"/>
        <v>587</v>
      </c>
      <c r="P487" s="861" t="s">
        <v>434</v>
      </c>
      <c r="Q487" s="861" t="s">
        <v>2962</v>
      </c>
      <c r="R487" s="861" t="s">
        <v>526</v>
      </c>
      <c r="S487" s="861" t="s">
        <v>777</v>
      </c>
      <c r="T487" s="866" t="s">
        <v>2963</v>
      </c>
      <c r="U487" s="865"/>
    </row>
    <row r="488" spans="1:21" ht="15">
      <c r="A488" s="672"/>
      <c r="B488" s="861" t="s">
        <v>2964</v>
      </c>
      <c r="C488" s="861" t="s">
        <v>2965</v>
      </c>
      <c r="D488" s="861" t="s">
        <v>371</v>
      </c>
      <c r="E488" s="861"/>
      <c r="F488" s="862"/>
      <c r="G488" s="870" t="s">
        <v>2966</v>
      </c>
      <c r="H488" s="874">
        <v>226799006.72</v>
      </c>
      <c r="I488" s="871"/>
      <c r="J488" s="862">
        <v>0.17899999999999999</v>
      </c>
      <c r="K488" s="868">
        <f t="shared" si="50"/>
        <v>316</v>
      </c>
      <c r="L488" s="861" t="s">
        <v>1852</v>
      </c>
      <c r="M488" s="671">
        <f t="shared" si="51"/>
        <v>486</v>
      </c>
      <c r="N488" s="671" t="str">
        <f t="shared" si="52"/>
        <v>N/A</v>
      </c>
      <c r="O488" s="671">
        <f t="shared" si="53"/>
        <v>292</v>
      </c>
      <c r="P488" s="861" t="s">
        <v>1252</v>
      </c>
      <c r="Q488" s="861" t="s">
        <v>996</v>
      </c>
      <c r="R488" s="861" t="s">
        <v>1852</v>
      </c>
      <c r="S488" s="861" t="s">
        <v>2967</v>
      </c>
      <c r="T488" s="866" t="s">
        <v>2968</v>
      </c>
      <c r="U488" s="865"/>
    </row>
    <row r="489" spans="1:21" ht="15">
      <c r="A489" s="857"/>
      <c r="B489" s="861" t="s">
        <v>2969</v>
      </c>
      <c r="C489" s="861" t="s">
        <v>2970</v>
      </c>
      <c r="D489" s="861" t="s">
        <v>371</v>
      </c>
      <c r="E489" s="861"/>
      <c r="F489" s="862">
        <v>0.188</v>
      </c>
      <c r="G489" s="869">
        <v>0.32022915800000001</v>
      </c>
      <c r="H489" s="874">
        <v>226211370.63</v>
      </c>
      <c r="I489" s="871"/>
      <c r="J489" s="862">
        <v>0.13300000000000001</v>
      </c>
      <c r="K489" s="868">
        <f t="shared" si="50"/>
        <v>105</v>
      </c>
      <c r="L489" s="861"/>
      <c r="M489" s="671">
        <f t="shared" si="51"/>
        <v>487</v>
      </c>
      <c r="N489" s="671" t="str">
        <f t="shared" si="52"/>
        <v>N/A</v>
      </c>
      <c r="O489" s="671">
        <f t="shared" si="53"/>
        <v>390</v>
      </c>
      <c r="P489" s="861" t="s">
        <v>2772</v>
      </c>
      <c r="Q489" s="861" t="s">
        <v>2971</v>
      </c>
      <c r="R489" s="861"/>
      <c r="S489" s="861" t="s">
        <v>2972</v>
      </c>
      <c r="T489" s="866" t="s">
        <v>2973</v>
      </c>
      <c r="U489" s="865"/>
    </row>
    <row r="490" spans="1:21" ht="15">
      <c r="A490" s="672"/>
      <c r="B490" s="861" t="s">
        <v>2974</v>
      </c>
      <c r="C490" s="861" t="s">
        <v>2975</v>
      </c>
      <c r="D490" s="861" t="s">
        <v>371</v>
      </c>
      <c r="E490" s="861"/>
      <c r="F490" s="862">
        <v>8.2000000000000003E-2</v>
      </c>
      <c r="G490" s="869">
        <v>4.1929701E-2</v>
      </c>
      <c r="H490" s="874">
        <v>226092918.25999999</v>
      </c>
      <c r="I490" s="871"/>
      <c r="J490" s="863" t="s">
        <v>2976</v>
      </c>
      <c r="K490" s="868">
        <f t="shared" si="50"/>
        <v>212</v>
      </c>
      <c r="L490" s="861"/>
      <c r="M490" s="671">
        <f t="shared" si="51"/>
        <v>488</v>
      </c>
      <c r="N490" s="671" t="str">
        <f t="shared" si="52"/>
        <v>N/A</v>
      </c>
      <c r="O490" s="671" t="str">
        <f t="shared" si="53"/>
        <v>N/A</v>
      </c>
      <c r="P490" s="861" t="s">
        <v>2977</v>
      </c>
      <c r="Q490" s="861" t="s">
        <v>2978</v>
      </c>
      <c r="R490" s="861" t="s">
        <v>1497</v>
      </c>
      <c r="S490" s="861" t="s">
        <v>1312</v>
      </c>
      <c r="T490" s="866" t="s">
        <v>2979</v>
      </c>
      <c r="U490" s="865"/>
    </row>
    <row r="491" spans="1:21" ht="15">
      <c r="A491" s="857"/>
      <c r="B491" s="861" t="s">
        <v>2980</v>
      </c>
      <c r="C491" s="861" t="s">
        <v>2981</v>
      </c>
      <c r="D491" s="861" t="s">
        <v>371</v>
      </c>
      <c r="E491" s="861"/>
      <c r="F491" s="862">
        <v>-0.4</v>
      </c>
      <c r="G491" s="870" t="s">
        <v>2982</v>
      </c>
      <c r="H491" s="874">
        <v>225809625.65000001</v>
      </c>
      <c r="I491" s="872" t="s">
        <v>2983</v>
      </c>
      <c r="J491" s="862">
        <v>0.20899999999999999</v>
      </c>
      <c r="K491" s="868">
        <f t="shared" si="50"/>
        <v>465</v>
      </c>
      <c r="L491" s="861"/>
      <c r="M491" s="671">
        <f t="shared" si="51"/>
        <v>489</v>
      </c>
      <c r="N491" s="671" t="str">
        <f t="shared" si="52"/>
        <v>N/A</v>
      </c>
      <c r="O491" s="671">
        <f t="shared" si="53"/>
        <v>240</v>
      </c>
      <c r="P491" s="861" t="s">
        <v>2984</v>
      </c>
      <c r="Q491" s="861"/>
      <c r="R491" s="861"/>
      <c r="S491" s="861" t="s">
        <v>550</v>
      </c>
      <c r="T491" s="866" t="s">
        <v>2985</v>
      </c>
      <c r="U491" s="865"/>
    </row>
    <row r="492" spans="1:21" ht="15">
      <c r="A492" s="672"/>
      <c r="B492" s="861" t="s">
        <v>2986</v>
      </c>
      <c r="C492" s="861" t="s">
        <v>2987</v>
      </c>
      <c r="D492" s="861" t="s">
        <v>371</v>
      </c>
      <c r="E492" s="861"/>
      <c r="F492" s="862"/>
      <c r="G492" s="869">
        <v>0.119809175</v>
      </c>
      <c r="H492" s="874">
        <v>222795610.63</v>
      </c>
      <c r="I492" s="871"/>
      <c r="J492" s="862">
        <v>0.311</v>
      </c>
      <c r="K492" s="868">
        <f t="shared" si="50"/>
        <v>316</v>
      </c>
      <c r="L492" s="863" t="s">
        <v>1995</v>
      </c>
      <c r="M492" s="671">
        <f t="shared" si="51"/>
        <v>490</v>
      </c>
      <c r="N492" s="671" t="str">
        <f t="shared" si="52"/>
        <v>N/A</v>
      </c>
      <c r="O492" s="671">
        <f t="shared" si="53"/>
        <v>113</v>
      </c>
      <c r="P492" s="861" t="s">
        <v>748</v>
      </c>
      <c r="Q492" s="861"/>
      <c r="R492" s="861"/>
      <c r="S492" s="861" t="s">
        <v>2988</v>
      </c>
      <c r="T492" s="866" t="s">
        <v>2989</v>
      </c>
      <c r="U492" s="865"/>
    </row>
    <row r="493" spans="1:21" ht="15">
      <c r="A493" s="857"/>
      <c r="B493" s="861" t="s">
        <v>2990</v>
      </c>
      <c r="C493" s="861" t="s">
        <v>2991</v>
      </c>
      <c r="D493" s="861" t="s">
        <v>371</v>
      </c>
      <c r="E493" s="861"/>
      <c r="F493" s="862">
        <v>0.48799999999999999</v>
      </c>
      <c r="G493" s="869">
        <v>0.66459771199999995</v>
      </c>
      <c r="H493" s="874">
        <v>222748133.88</v>
      </c>
      <c r="I493" s="871"/>
      <c r="J493" s="862">
        <v>0.12</v>
      </c>
      <c r="K493" s="868">
        <f t="shared" si="50"/>
        <v>18</v>
      </c>
      <c r="L493" s="861"/>
      <c r="M493" s="671">
        <f t="shared" si="51"/>
        <v>491</v>
      </c>
      <c r="N493" s="671" t="str">
        <f t="shared" si="52"/>
        <v>N/A</v>
      </c>
      <c r="O493" s="671">
        <f t="shared" si="53"/>
        <v>424</v>
      </c>
      <c r="P493" s="861" t="s">
        <v>1568</v>
      </c>
      <c r="Q493" s="861"/>
      <c r="R493" s="861"/>
      <c r="S493" s="861" t="s">
        <v>1497</v>
      </c>
      <c r="T493" s="866" t="s">
        <v>2992</v>
      </c>
      <c r="U493" s="865"/>
    </row>
    <row r="494" spans="1:21" ht="15">
      <c r="A494" s="672"/>
      <c r="B494" s="861" t="s">
        <v>2993</v>
      </c>
      <c r="C494" s="861" t="s">
        <v>2994</v>
      </c>
      <c r="D494" s="861" t="s">
        <v>371</v>
      </c>
      <c r="E494" s="861"/>
      <c r="F494" s="862">
        <v>0.13500000000000001</v>
      </c>
      <c r="G494" s="869">
        <v>3.263068809</v>
      </c>
      <c r="H494" s="874">
        <v>222677654.59999999</v>
      </c>
      <c r="I494" s="871"/>
      <c r="J494" s="862">
        <v>0.12</v>
      </c>
      <c r="K494" s="868">
        <f t="shared" si="50"/>
        <v>158</v>
      </c>
      <c r="L494" s="861"/>
      <c r="M494" s="671">
        <f t="shared" si="51"/>
        <v>492</v>
      </c>
      <c r="N494" s="671" t="str">
        <f t="shared" si="52"/>
        <v>N/A</v>
      </c>
      <c r="O494" s="671">
        <f t="shared" si="53"/>
        <v>424</v>
      </c>
      <c r="P494" s="861"/>
      <c r="Q494" s="861"/>
      <c r="R494" s="861"/>
      <c r="S494" s="861" t="s">
        <v>424</v>
      </c>
      <c r="T494" s="866" t="s">
        <v>2995</v>
      </c>
      <c r="U494" s="865"/>
    </row>
    <row r="495" spans="1:21" ht="15">
      <c r="A495" s="857"/>
      <c r="B495" s="861" t="s">
        <v>2996</v>
      </c>
      <c r="C495" s="861" t="s">
        <v>2997</v>
      </c>
      <c r="D495" s="861" t="s">
        <v>371</v>
      </c>
      <c r="E495" s="861"/>
      <c r="F495" s="862"/>
      <c r="G495" s="869">
        <v>1.4573395229999999</v>
      </c>
      <c r="H495" s="874">
        <v>222219344.66</v>
      </c>
      <c r="I495" s="871"/>
      <c r="J495" s="862">
        <v>0.13800000000000001</v>
      </c>
      <c r="K495" s="868">
        <f t="shared" si="50"/>
        <v>316</v>
      </c>
      <c r="L495" s="861" t="s">
        <v>942</v>
      </c>
      <c r="M495" s="671">
        <f t="shared" si="51"/>
        <v>493</v>
      </c>
      <c r="N495" s="671" t="str">
        <f t="shared" si="52"/>
        <v>N/A</v>
      </c>
      <c r="O495" s="671">
        <f t="shared" si="53"/>
        <v>372</v>
      </c>
      <c r="P495" s="861" t="s">
        <v>2998</v>
      </c>
      <c r="Q495" s="861" t="s">
        <v>2999</v>
      </c>
      <c r="R495" s="861" t="s">
        <v>2784</v>
      </c>
      <c r="S495" s="861" t="s">
        <v>3000</v>
      </c>
      <c r="T495" s="866" t="s">
        <v>3001</v>
      </c>
      <c r="U495" s="865"/>
    </row>
    <row r="496" spans="1:21" ht="15">
      <c r="A496" s="672"/>
      <c r="B496" s="861" t="s">
        <v>3002</v>
      </c>
      <c r="C496" s="861" t="s">
        <v>3003</v>
      </c>
      <c r="D496" s="861" t="s">
        <v>371</v>
      </c>
      <c r="E496" s="861"/>
      <c r="F496" s="862">
        <v>6.8000000000000005E-2</v>
      </c>
      <c r="G496" s="869">
        <v>0.25081380199999997</v>
      </c>
      <c r="H496" s="874">
        <v>221057999.83000001</v>
      </c>
      <c r="I496" s="872" t="s">
        <v>3004</v>
      </c>
      <c r="J496" s="863" t="s">
        <v>3005</v>
      </c>
      <c r="K496" s="868">
        <f t="shared" si="50"/>
        <v>234</v>
      </c>
      <c r="L496" s="861"/>
      <c r="M496" s="671">
        <f t="shared" si="51"/>
        <v>494</v>
      </c>
      <c r="N496" s="671" t="str">
        <f t="shared" si="52"/>
        <v>N/A</v>
      </c>
      <c r="O496" s="671" t="str">
        <f t="shared" si="53"/>
        <v>N/A</v>
      </c>
      <c r="P496" s="861"/>
      <c r="Q496" s="861"/>
      <c r="R496" s="861"/>
      <c r="S496" s="861" t="s">
        <v>404</v>
      </c>
      <c r="T496" s="866" t="s">
        <v>3006</v>
      </c>
      <c r="U496" s="865"/>
    </row>
    <row r="497" spans="1:21" ht="15">
      <c r="A497" s="857"/>
      <c r="B497" s="861" t="s">
        <v>3007</v>
      </c>
      <c r="C497" s="861" t="s">
        <v>3008</v>
      </c>
      <c r="D497" s="861" t="s">
        <v>371</v>
      </c>
      <c r="E497" s="861"/>
      <c r="F497" s="862">
        <v>-0.247</v>
      </c>
      <c r="G497" s="870" t="s">
        <v>3009</v>
      </c>
      <c r="H497" s="874">
        <v>219774117.30000001</v>
      </c>
      <c r="I497" s="871">
        <v>4.9000000000000004</v>
      </c>
      <c r="J497" s="862">
        <v>0.10199999999999999</v>
      </c>
      <c r="K497" s="868">
        <f t="shared" si="50"/>
        <v>432</v>
      </c>
      <c r="L497" s="861"/>
      <c r="M497" s="671">
        <f t="shared" si="51"/>
        <v>495</v>
      </c>
      <c r="N497" s="671">
        <f t="shared" si="52"/>
        <v>270</v>
      </c>
      <c r="O497" s="671">
        <f t="shared" si="53"/>
        <v>491</v>
      </c>
      <c r="P497" s="861"/>
      <c r="Q497" s="861"/>
      <c r="R497" s="861"/>
      <c r="S497" s="861" t="s">
        <v>734</v>
      </c>
      <c r="T497" s="866" t="s">
        <v>3010</v>
      </c>
      <c r="U497" s="865"/>
    </row>
    <row r="498" spans="1:21" ht="15">
      <c r="A498" s="672"/>
      <c r="B498" s="861" t="s">
        <v>3011</v>
      </c>
      <c r="C498" s="861" t="s">
        <v>3012</v>
      </c>
      <c r="D498" s="861" t="s">
        <v>371</v>
      </c>
      <c r="E498" s="861"/>
      <c r="F498" s="862"/>
      <c r="G498" s="869">
        <v>1.6918112999999999E-2</v>
      </c>
      <c r="H498" s="874">
        <v>218509347.91</v>
      </c>
      <c r="I498" s="871"/>
      <c r="J498" s="862">
        <v>0.36299999999999999</v>
      </c>
      <c r="K498" s="868">
        <f t="shared" si="50"/>
        <v>316</v>
      </c>
      <c r="L498" s="861"/>
      <c r="M498" s="671">
        <f t="shared" si="51"/>
        <v>496</v>
      </c>
      <c r="N498" s="671" t="str">
        <f t="shared" si="52"/>
        <v>N/A</v>
      </c>
      <c r="O498" s="671">
        <f t="shared" si="53"/>
        <v>74</v>
      </c>
      <c r="P498" s="861" t="s">
        <v>487</v>
      </c>
      <c r="Q498" s="861" t="s">
        <v>3013</v>
      </c>
      <c r="R498" s="861"/>
      <c r="S498" s="861" t="s">
        <v>3014</v>
      </c>
      <c r="T498" s="866" t="s">
        <v>3015</v>
      </c>
      <c r="U498" s="865"/>
    </row>
    <row r="499" spans="1:21" ht="15">
      <c r="A499" s="857"/>
      <c r="B499" s="861" t="s">
        <v>3016</v>
      </c>
      <c r="C499" s="861" t="s">
        <v>3017</v>
      </c>
      <c r="D499" s="861" t="s">
        <v>371</v>
      </c>
      <c r="E499" s="861"/>
      <c r="F499" s="862"/>
      <c r="G499" s="869">
        <v>1.3466714639999999</v>
      </c>
      <c r="H499" s="874">
        <v>217874601.44999999</v>
      </c>
      <c r="I499" s="871">
        <v>57.89</v>
      </c>
      <c r="J499" s="863" t="s">
        <v>3018</v>
      </c>
      <c r="K499" s="868">
        <f t="shared" si="50"/>
        <v>316</v>
      </c>
      <c r="L499" s="861"/>
      <c r="M499" s="671">
        <f t="shared" si="51"/>
        <v>497</v>
      </c>
      <c r="N499" s="671">
        <f t="shared" si="52"/>
        <v>78</v>
      </c>
      <c r="O499" s="671" t="str">
        <f t="shared" si="53"/>
        <v>N/A</v>
      </c>
      <c r="P499" s="861" t="s">
        <v>2459</v>
      </c>
      <c r="Q499" s="861"/>
      <c r="R499" s="861"/>
      <c r="S499" s="861" t="s">
        <v>424</v>
      </c>
      <c r="T499" s="866" t="s">
        <v>3019</v>
      </c>
      <c r="U499" s="865"/>
    </row>
    <row r="500" spans="1:21" ht="15">
      <c r="A500" s="672"/>
      <c r="B500" s="861" t="s">
        <v>3020</v>
      </c>
      <c r="C500" s="861" t="s">
        <v>3021</v>
      </c>
      <c r="D500" s="861" t="s">
        <v>371</v>
      </c>
      <c r="E500" s="861"/>
      <c r="F500" s="862">
        <v>-8.8999999999999996E-2</v>
      </c>
      <c r="G500" s="870" t="s">
        <v>3022</v>
      </c>
      <c r="H500" s="874">
        <v>216877072.75999999</v>
      </c>
      <c r="I500" s="871">
        <v>7.29</v>
      </c>
      <c r="J500" s="862">
        <v>0.29099999999999998</v>
      </c>
      <c r="K500" s="868">
        <f t="shared" si="50"/>
        <v>374</v>
      </c>
      <c r="L500" s="861"/>
      <c r="M500" s="671">
        <f t="shared" si="51"/>
        <v>498</v>
      </c>
      <c r="N500" s="671">
        <f t="shared" si="52"/>
        <v>249</v>
      </c>
      <c r="O500" s="671">
        <f t="shared" si="53"/>
        <v>137</v>
      </c>
      <c r="P500" s="861" t="s">
        <v>2062</v>
      </c>
      <c r="Q500" s="861" t="s">
        <v>3023</v>
      </c>
      <c r="R500" s="861"/>
      <c r="S500" s="861" t="s">
        <v>3024</v>
      </c>
      <c r="T500" s="866" t="s">
        <v>3025</v>
      </c>
      <c r="U500" s="865"/>
    </row>
    <row r="501" spans="1:21" ht="15">
      <c r="A501" s="857"/>
      <c r="B501" s="861" t="s">
        <v>3026</v>
      </c>
      <c r="C501" s="861" t="s">
        <v>3027</v>
      </c>
      <c r="D501" s="861" t="s">
        <v>371</v>
      </c>
      <c r="E501" s="861"/>
      <c r="F501" s="862">
        <v>8.1000000000000003E-2</v>
      </c>
      <c r="G501" s="869">
        <v>3.190951519</v>
      </c>
      <c r="H501" s="874">
        <v>215164116.71000001</v>
      </c>
      <c r="I501" s="871"/>
      <c r="J501" s="861"/>
      <c r="K501" s="868">
        <f t="shared" si="50"/>
        <v>215</v>
      </c>
      <c r="L501" s="861"/>
      <c r="M501" s="671">
        <f t="shared" si="51"/>
        <v>499</v>
      </c>
      <c r="N501" s="671" t="str">
        <f t="shared" si="52"/>
        <v>N/A</v>
      </c>
      <c r="O501" s="671">
        <f t="shared" si="53"/>
        <v>708</v>
      </c>
      <c r="P501" s="861" t="s">
        <v>1311</v>
      </c>
      <c r="Q501" s="861" t="s">
        <v>3028</v>
      </c>
      <c r="R501" s="861"/>
      <c r="S501" s="861" t="s">
        <v>1425</v>
      </c>
      <c r="T501" s="866" t="s">
        <v>3029</v>
      </c>
      <c r="U501" s="865"/>
    </row>
    <row r="502" spans="1:21" ht="15">
      <c r="A502" s="672"/>
      <c r="B502" s="861" t="s">
        <v>3030</v>
      </c>
      <c r="C502" s="861" t="s">
        <v>3031</v>
      </c>
      <c r="D502" s="861" t="s">
        <v>371</v>
      </c>
      <c r="E502" s="861"/>
      <c r="F502" s="862"/>
      <c r="G502" s="869" t="e">
        <v>#DIV/0!</v>
      </c>
      <c r="H502" s="874">
        <v>214563569.88999999</v>
      </c>
      <c r="I502" s="871"/>
      <c r="J502" s="863" t="s">
        <v>3032</v>
      </c>
      <c r="K502" s="868">
        <f t="shared" si="50"/>
        <v>316</v>
      </c>
      <c r="L502" s="861"/>
      <c r="M502" s="671">
        <f t="shared" si="51"/>
        <v>500</v>
      </c>
      <c r="N502" s="671" t="str">
        <f t="shared" si="52"/>
        <v>N/A</v>
      </c>
      <c r="O502" s="671" t="str">
        <f t="shared" si="53"/>
        <v>N/A</v>
      </c>
      <c r="P502" s="861" t="s">
        <v>1165</v>
      </c>
      <c r="Q502" s="861" t="s">
        <v>3033</v>
      </c>
      <c r="R502" s="861"/>
      <c r="S502" s="861" t="s">
        <v>2068</v>
      </c>
      <c r="T502" s="866" t="s">
        <v>3034</v>
      </c>
      <c r="U502" s="865"/>
    </row>
    <row r="503" spans="1:21" ht="15">
      <c r="A503" s="857"/>
      <c r="B503" s="861" t="s">
        <v>3035</v>
      </c>
      <c r="C503" s="861" t="s">
        <v>3036</v>
      </c>
      <c r="D503" s="861" t="s">
        <v>371</v>
      </c>
      <c r="E503" s="861"/>
      <c r="F503" s="862"/>
      <c r="G503" s="870" t="s">
        <v>3037</v>
      </c>
      <c r="H503" s="874">
        <v>214137743.06</v>
      </c>
      <c r="I503" s="871"/>
      <c r="J503" s="861"/>
      <c r="K503" s="868">
        <f t="shared" si="50"/>
        <v>316</v>
      </c>
      <c r="L503" s="861"/>
      <c r="M503" s="671">
        <f t="shared" si="51"/>
        <v>501</v>
      </c>
      <c r="N503" s="671" t="str">
        <f t="shared" si="52"/>
        <v>N/A</v>
      </c>
      <c r="O503" s="671">
        <f t="shared" si="53"/>
        <v>708</v>
      </c>
      <c r="P503" s="861"/>
      <c r="Q503" s="861"/>
      <c r="R503" s="861"/>
      <c r="S503" s="861" t="s">
        <v>424</v>
      </c>
      <c r="T503" s="866" t="s">
        <v>3038</v>
      </c>
      <c r="U503" s="865"/>
    </row>
    <row r="504" spans="1:21" ht="15">
      <c r="A504" s="672"/>
      <c r="B504" s="861" t="s">
        <v>3039</v>
      </c>
      <c r="C504" s="861" t="s">
        <v>3040</v>
      </c>
      <c r="D504" s="861" t="s">
        <v>371</v>
      </c>
      <c r="E504" s="861"/>
      <c r="F504" s="862"/>
      <c r="G504" s="869">
        <v>0.28600883700000002</v>
      </c>
      <c r="H504" s="874">
        <v>213363009.74000001</v>
      </c>
      <c r="I504" s="871"/>
      <c r="J504" s="862">
        <v>8.7999999999999995E-2</v>
      </c>
      <c r="K504" s="868">
        <f t="shared" si="50"/>
        <v>316</v>
      </c>
      <c r="L504" s="861"/>
      <c r="M504" s="671">
        <f t="shared" si="51"/>
        <v>502</v>
      </c>
      <c r="N504" s="671" t="str">
        <f t="shared" si="52"/>
        <v>N/A</v>
      </c>
      <c r="O504" s="671">
        <f t="shared" si="53"/>
        <v>524</v>
      </c>
      <c r="P504" s="861" t="s">
        <v>3041</v>
      </c>
      <c r="Q504" s="861"/>
      <c r="R504" s="861"/>
      <c r="S504" s="861" t="s">
        <v>3042</v>
      </c>
      <c r="T504" s="866" t="s">
        <v>3043</v>
      </c>
      <c r="U504" s="865"/>
    </row>
    <row r="505" spans="1:21" ht="15">
      <c r="A505" s="857"/>
      <c r="B505" s="861" t="s">
        <v>3044</v>
      </c>
      <c r="C505" s="861" t="s">
        <v>3045</v>
      </c>
      <c r="D505" s="861" t="s">
        <v>371</v>
      </c>
      <c r="E505" s="861"/>
      <c r="F505" s="862">
        <v>7.0999999999999994E-2</v>
      </c>
      <c r="G505" s="869">
        <v>1.2103331719999999</v>
      </c>
      <c r="H505" s="874">
        <v>212580424.40000001</v>
      </c>
      <c r="I505" s="871">
        <v>42.34</v>
      </c>
      <c r="J505" s="863" t="s">
        <v>3046</v>
      </c>
      <c r="K505" s="868">
        <f t="shared" si="50"/>
        <v>226</v>
      </c>
      <c r="L505" s="861"/>
      <c r="M505" s="671">
        <f t="shared" si="51"/>
        <v>503</v>
      </c>
      <c r="N505" s="671">
        <f t="shared" si="52"/>
        <v>105</v>
      </c>
      <c r="O505" s="671" t="str">
        <f t="shared" si="53"/>
        <v>N/A</v>
      </c>
      <c r="P505" s="861" t="s">
        <v>3047</v>
      </c>
      <c r="Q505" s="861" t="s">
        <v>2792</v>
      </c>
      <c r="R505" s="861"/>
      <c r="S505" s="861" t="s">
        <v>3048</v>
      </c>
      <c r="T505" s="866" t="s">
        <v>3049</v>
      </c>
      <c r="U505" s="865"/>
    </row>
    <row r="506" spans="1:21" ht="15">
      <c r="A506" s="672"/>
      <c r="B506" s="861" t="s">
        <v>3050</v>
      </c>
      <c r="C506" s="861" t="s">
        <v>3051</v>
      </c>
      <c r="D506" s="861" t="s">
        <v>371</v>
      </c>
      <c r="E506" s="861"/>
      <c r="F506" s="862">
        <v>-1.0640000000000001</v>
      </c>
      <c r="G506" s="870" t="s">
        <v>3052</v>
      </c>
      <c r="H506" s="874">
        <v>211795092.55000001</v>
      </c>
      <c r="I506" s="871"/>
      <c r="J506" s="862">
        <v>0.34</v>
      </c>
      <c r="K506" s="868">
        <f t="shared" si="50"/>
        <v>492</v>
      </c>
      <c r="L506" s="861"/>
      <c r="M506" s="671">
        <f t="shared" si="51"/>
        <v>504</v>
      </c>
      <c r="N506" s="671" t="str">
        <f t="shared" si="52"/>
        <v>N/A</v>
      </c>
      <c r="O506" s="671">
        <f t="shared" si="53"/>
        <v>86</v>
      </c>
      <c r="P506" s="861"/>
      <c r="Q506" s="861"/>
      <c r="R506" s="861"/>
      <c r="S506" s="861" t="s">
        <v>424</v>
      </c>
      <c r="T506" s="866" t="s">
        <v>3053</v>
      </c>
      <c r="U506" s="865"/>
    </row>
    <row r="507" spans="1:21" ht="15">
      <c r="A507" s="857"/>
      <c r="B507" s="861" t="s">
        <v>3054</v>
      </c>
      <c r="C507" s="861" t="s">
        <v>3055</v>
      </c>
      <c r="D507" s="861" t="s">
        <v>371</v>
      </c>
      <c r="E507" s="861"/>
      <c r="F507" s="862"/>
      <c r="G507" s="869">
        <v>1.913725248</v>
      </c>
      <c r="H507" s="874">
        <v>211099107.18000001</v>
      </c>
      <c r="I507" s="871">
        <v>6.37</v>
      </c>
      <c r="J507" s="862">
        <v>0.55900000000000005</v>
      </c>
      <c r="K507" s="868">
        <f t="shared" si="50"/>
        <v>316</v>
      </c>
      <c r="L507" s="861"/>
      <c r="M507" s="671">
        <f t="shared" si="51"/>
        <v>505</v>
      </c>
      <c r="N507" s="671">
        <f t="shared" si="52"/>
        <v>258</v>
      </c>
      <c r="O507" s="671">
        <f t="shared" si="53"/>
        <v>14</v>
      </c>
      <c r="P507" s="861"/>
      <c r="Q507" s="861"/>
      <c r="R507" s="861"/>
      <c r="S507" s="861" t="s">
        <v>424</v>
      </c>
      <c r="T507" s="866" t="s">
        <v>3056</v>
      </c>
      <c r="U507" s="865"/>
    </row>
    <row r="508" spans="1:21" ht="15">
      <c r="A508" s="672"/>
      <c r="B508" s="861" t="s">
        <v>3057</v>
      </c>
      <c r="C508" s="861" t="s">
        <v>3058</v>
      </c>
      <c r="D508" s="861" t="s">
        <v>371</v>
      </c>
      <c r="E508" s="861"/>
      <c r="F508" s="862"/>
      <c r="G508" s="869">
        <v>0</v>
      </c>
      <c r="H508" s="874">
        <v>210706853.5</v>
      </c>
      <c r="I508" s="871"/>
      <c r="J508" s="863" t="s">
        <v>3059</v>
      </c>
      <c r="K508" s="868">
        <f t="shared" si="50"/>
        <v>316</v>
      </c>
      <c r="L508" s="861"/>
      <c r="M508" s="671">
        <f t="shared" si="51"/>
        <v>506</v>
      </c>
      <c r="N508" s="671" t="str">
        <f t="shared" si="52"/>
        <v>N/A</v>
      </c>
      <c r="O508" s="671" t="str">
        <f t="shared" si="53"/>
        <v>N/A</v>
      </c>
      <c r="P508" s="861" t="s">
        <v>3060</v>
      </c>
      <c r="Q508" s="861"/>
      <c r="R508" s="861"/>
      <c r="S508" s="861" t="s">
        <v>557</v>
      </c>
      <c r="T508" s="866" t="s">
        <v>3061</v>
      </c>
      <c r="U508" s="865"/>
    </row>
    <row r="509" spans="1:21" ht="15">
      <c r="A509" s="857"/>
      <c r="B509" s="861" t="s">
        <v>3062</v>
      </c>
      <c r="C509" s="861" t="s">
        <v>3063</v>
      </c>
      <c r="D509" s="861" t="s">
        <v>371</v>
      </c>
      <c r="E509" s="861"/>
      <c r="F509" s="862"/>
      <c r="G509" s="870" t="s">
        <v>3064</v>
      </c>
      <c r="H509" s="874">
        <v>209102293.05000001</v>
      </c>
      <c r="I509" s="871"/>
      <c r="J509" s="863" t="s">
        <v>3065</v>
      </c>
      <c r="K509" s="868">
        <f t="shared" si="50"/>
        <v>316</v>
      </c>
      <c r="L509" s="861" t="s">
        <v>424</v>
      </c>
      <c r="M509" s="671">
        <f t="shared" si="51"/>
        <v>507</v>
      </c>
      <c r="N509" s="671" t="str">
        <f t="shared" si="52"/>
        <v>N/A</v>
      </c>
      <c r="O509" s="671" t="str">
        <f t="shared" si="53"/>
        <v>N/A</v>
      </c>
      <c r="P509" s="861" t="s">
        <v>2972</v>
      </c>
      <c r="Q509" s="861"/>
      <c r="R509" s="863" t="s">
        <v>1017</v>
      </c>
      <c r="S509" s="861" t="s">
        <v>734</v>
      </c>
      <c r="T509" s="866" t="s">
        <v>3066</v>
      </c>
      <c r="U509" s="865"/>
    </row>
    <row r="510" spans="1:21" ht="15">
      <c r="A510" s="672"/>
      <c r="B510" s="861" t="s">
        <v>3067</v>
      </c>
      <c r="C510" s="861" t="s">
        <v>3068</v>
      </c>
      <c r="D510" s="861" t="s">
        <v>371</v>
      </c>
      <c r="E510" s="861"/>
      <c r="F510" s="862"/>
      <c r="G510" s="869">
        <v>0</v>
      </c>
      <c r="H510" s="874">
        <v>208227263.94999999</v>
      </c>
      <c r="I510" s="871">
        <v>60.78</v>
      </c>
      <c r="J510" s="863" t="s">
        <v>3069</v>
      </c>
      <c r="K510" s="868">
        <f t="shared" si="50"/>
        <v>316</v>
      </c>
      <c r="L510" s="861" t="s">
        <v>392</v>
      </c>
      <c r="M510" s="671">
        <f t="shared" si="51"/>
        <v>508</v>
      </c>
      <c r="N510" s="671">
        <f t="shared" si="52"/>
        <v>69</v>
      </c>
      <c r="O510" s="671" t="str">
        <f t="shared" si="53"/>
        <v>N/A</v>
      </c>
      <c r="P510" s="861" t="s">
        <v>2695</v>
      </c>
      <c r="Q510" s="861"/>
      <c r="R510" s="863" t="s">
        <v>3070</v>
      </c>
      <c r="S510" s="861" t="s">
        <v>3071</v>
      </c>
      <c r="T510" s="866" t="s">
        <v>3072</v>
      </c>
      <c r="U510" s="865"/>
    </row>
    <row r="511" spans="1:21" ht="15">
      <c r="A511" s="857"/>
      <c r="B511" s="861" t="s">
        <v>3073</v>
      </c>
      <c r="C511" s="861" t="s">
        <v>3074</v>
      </c>
      <c r="D511" s="861" t="s">
        <v>371</v>
      </c>
      <c r="E511" s="861"/>
      <c r="F511" s="862">
        <v>-0.32500000000000001</v>
      </c>
      <c r="G511" s="870" t="s">
        <v>3075</v>
      </c>
      <c r="H511" s="874">
        <v>207357936.44999999</v>
      </c>
      <c r="I511" s="871"/>
      <c r="J511" s="862">
        <v>0.11799999999999999</v>
      </c>
      <c r="K511" s="868">
        <f t="shared" si="50"/>
        <v>451</v>
      </c>
      <c r="L511" s="861"/>
      <c r="M511" s="671">
        <f t="shared" si="51"/>
        <v>509</v>
      </c>
      <c r="N511" s="671" t="str">
        <f t="shared" si="52"/>
        <v>N/A</v>
      </c>
      <c r="O511" s="671">
        <f t="shared" si="53"/>
        <v>436</v>
      </c>
      <c r="P511" s="861" t="s">
        <v>569</v>
      </c>
      <c r="Q511" s="861"/>
      <c r="R511" s="861"/>
      <c r="S511" s="861" t="s">
        <v>819</v>
      </c>
      <c r="T511" s="866" t="s">
        <v>3076</v>
      </c>
      <c r="U511" s="865"/>
    </row>
    <row r="512" spans="1:21" ht="15">
      <c r="A512" s="672"/>
      <c r="B512" s="861" t="s">
        <v>3077</v>
      </c>
      <c r="C512" s="861" t="s">
        <v>3078</v>
      </c>
      <c r="D512" s="861" t="s">
        <v>371</v>
      </c>
      <c r="E512" s="861"/>
      <c r="F512" s="862">
        <v>-6.4000000000000001E-2</v>
      </c>
      <c r="G512" s="870" t="s">
        <v>3079</v>
      </c>
      <c r="H512" s="874">
        <v>207176064.81</v>
      </c>
      <c r="I512" s="871">
        <v>38.35</v>
      </c>
      <c r="J512" s="863" t="s">
        <v>3080</v>
      </c>
      <c r="K512" s="868">
        <f t="shared" si="50"/>
        <v>356</v>
      </c>
      <c r="L512" s="861"/>
      <c r="M512" s="671">
        <f t="shared" si="51"/>
        <v>510</v>
      </c>
      <c r="N512" s="671">
        <f t="shared" si="52"/>
        <v>114</v>
      </c>
      <c r="O512" s="671" t="str">
        <f t="shared" si="53"/>
        <v>N/A</v>
      </c>
      <c r="P512" s="861"/>
      <c r="Q512" s="861"/>
      <c r="R512" s="861"/>
      <c r="S512" s="861" t="s">
        <v>1659</v>
      </c>
      <c r="T512" s="866" t="s">
        <v>3081</v>
      </c>
      <c r="U512" s="865"/>
    </row>
    <row r="513" spans="1:21" ht="15">
      <c r="A513" s="857"/>
      <c r="B513" s="861" t="s">
        <v>3082</v>
      </c>
      <c r="C513" s="861" t="s">
        <v>3083</v>
      </c>
      <c r="D513" s="861" t="s">
        <v>371</v>
      </c>
      <c r="E513" s="861"/>
      <c r="F513" s="862">
        <v>0.03</v>
      </c>
      <c r="G513" s="869">
        <v>26.653303470000001</v>
      </c>
      <c r="H513" s="874">
        <v>206827223.46000001</v>
      </c>
      <c r="I513" s="871">
        <v>44.83</v>
      </c>
      <c r="J513" s="863" t="s">
        <v>3084</v>
      </c>
      <c r="K513" s="868">
        <f t="shared" si="50"/>
        <v>282</v>
      </c>
      <c r="L513" s="861"/>
      <c r="M513" s="671">
        <f t="shared" si="51"/>
        <v>511</v>
      </c>
      <c r="N513" s="671">
        <f t="shared" si="52"/>
        <v>96</v>
      </c>
      <c r="O513" s="671" t="str">
        <f t="shared" si="53"/>
        <v>N/A</v>
      </c>
      <c r="P513" s="861" t="s">
        <v>3085</v>
      </c>
      <c r="Q513" s="861" t="s">
        <v>2105</v>
      </c>
      <c r="R513" s="861"/>
      <c r="S513" s="861" t="s">
        <v>3086</v>
      </c>
      <c r="T513" s="866" t="s">
        <v>3087</v>
      </c>
      <c r="U513" s="865"/>
    </row>
    <row r="514" spans="1:21" ht="15">
      <c r="A514" s="672"/>
      <c r="B514" s="861" t="s">
        <v>3088</v>
      </c>
      <c r="C514" s="861" t="s">
        <v>3089</v>
      </c>
      <c r="D514" s="861" t="s">
        <v>371</v>
      </c>
      <c r="E514" s="861"/>
      <c r="F514" s="862">
        <v>0.29099999999999998</v>
      </c>
      <c r="G514" s="870" t="s">
        <v>3090</v>
      </c>
      <c r="H514" s="874">
        <v>201103009</v>
      </c>
      <c r="I514" s="871"/>
      <c r="J514" s="862">
        <v>0.156</v>
      </c>
      <c r="K514" s="868">
        <f t="shared" si="50"/>
        <v>54</v>
      </c>
      <c r="L514" s="861"/>
      <c r="M514" s="671">
        <f t="shared" si="51"/>
        <v>512</v>
      </c>
      <c r="N514" s="671" t="str">
        <f t="shared" si="52"/>
        <v>N/A</v>
      </c>
      <c r="O514" s="671">
        <f t="shared" si="53"/>
        <v>326</v>
      </c>
      <c r="P514" s="861" t="s">
        <v>2376</v>
      </c>
      <c r="Q514" s="861" t="s">
        <v>3091</v>
      </c>
      <c r="R514" s="861" t="s">
        <v>2110</v>
      </c>
      <c r="S514" s="861" t="s">
        <v>3092</v>
      </c>
      <c r="T514" s="866" t="s">
        <v>3093</v>
      </c>
      <c r="U514" s="865"/>
    </row>
    <row r="515" spans="1:21" ht="15">
      <c r="A515" s="857"/>
      <c r="B515" s="861" t="s">
        <v>3094</v>
      </c>
      <c r="C515" s="861" t="s">
        <v>3095</v>
      </c>
      <c r="D515" s="861" t="s">
        <v>371</v>
      </c>
      <c r="E515" s="861"/>
      <c r="F515" s="862"/>
      <c r="G515" s="869">
        <v>1.0424642850000001</v>
      </c>
      <c r="H515" s="874">
        <v>198119729.53</v>
      </c>
      <c r="I515" s="871"/>
      <c r="J515" s="861"/>
      <c r="K515" s="868">
        <f t="shared" si="50"/>
        <v>316</v>
      </c>
      <c r="L515" s="861" t="s">
        <v>557</v>
      </c>
      <c r="M515" s="671">
        <f t="shared" si="51"/>
        <v>513</v>
      </c>
      <c r="N515" s="671" t="str">
        <f t="shared" si="52"/>
        <v>N/A</v>
      </c>
      <c r="O515" s="671">
        <f t="shared" si="53"/>
        <v>708</v>
      </c>
      <c r="P515" s="861" t="s">
        <v>3096</v>
      </c>
      <c r="Q515" s="861" t="s">
        <v>3097</v>
      </c>
      <c r="R515" s="861" t="s">
        <v>460</v>
      </c>
      <c r="S515" s="861" t="s">
        <v>548</v>
      </c>
      <c r="T515" s="866" t="s">
        <v>3098</v>
      </c>
      <c r="U515" s="865"/>
    </row>
    <row r="516" spans="1:21" ht="15">
      <c r="A516" s="672"/>
      <c r="B516" s="861" t="s">
        <v>3099</v>
      </c>
      <c r="C516" s="861" t="s">
        <v>3100</v>
      </c>
      <c r="D516" s="861" t="s">
        <v>371</v>
      </c>
      <c r="E516" s="861"/>
      <c r="F516" s="862">
        <v>0.11700000000000001</v>
      </c>
      <c r="G516" s="869">
        <v>89.433755759999997</v>
      </c>
      <c r="H516" s="874">
        <v>198096500.63</v>
      </c>
      <c r="I516" s="871"/>
      <c r="J516" s="862">
        <v>5.1999999999999998E-2</v>
      </c>
      <c r="K516" s="868">
        <f t="shared" ref="K516:K579" si="54">IFERROR(_xlfn.RANK.EQ(F516,F$3:F$1770),"N/A")</f>
        <v>178</v>
      </c>
      <c r="L516" s="861"/>
      <c r="M516" s="671">
        <f t="shared" ref="M516:M579" si="55">IFERROR(_xlfn.RANK.EQ(H516,H$3:H$1770),"N/A")</f>
        <v>514</v>
      </c>
      <c r="N516" s="671" t="str">
        <f t="shared" ref="N516:N579" si="56">IFERROR(_xlfn.RANK.EQ(I516,I$3:I$1770),"N/A")</f>
        <v>N/A</v>
      </c>
      <c r="O516" s="671">
        <f t="shared" ref="O516:O579" si="57">IFERROR(_xlfn.RANK.EQ(J516,J$3:J$1770),"N/A")</f>
        <v>596</v>
      </c>
      <c r="P516" s="861" t="s">
        <v>904</v>
      </c>
      <c r="Q516" s="861" t="s">
        <v>3101</v>
      </c>
      <c r="R516" s="861"/>
      <c r="S516" s="861" t="s">
        <v>3102</v>
      </c>
      <c r="T516" s="866" t="s">
        <v>3103</v>
      </c>
      <c r="U516" s="865"/>
    </row>
    <row r="517" spans="1:21" ht="15">
      <c r="A517" s="857"/>
      <c r="B517" s="861" t="s">
        <v>3104</v>
      </c>
      <c r="C517" s="861" t="s">
        <v>3105</v>
      </c>
      <c r="D517" s="861" t="s">
        <v>371</v>
      </c>
      <c r="E517" s="861"/>
      <c r="F517" s="862"/>
      <c r="G517" s="869">
        <v>1.55458385</v>
      </c>
      <c r="H517" s="874">
        <v>197616686.63</v>
      </c>
      <c r="I517" s="871"/>
      <c r="J517" s="862">
        <v>8.6999999999999994E-2</v>
      </c>
      <c r="K517" s="868">
        <f t="shared" si="54"/>
        <v>316</v>
      </c>
      <c r="L517" s="863" t="s">
        <v>3106</v>
      </c>
      <c r="M517" s="671">
        <f t="shared" si="55"/>
        <v>515</v>
      </c>
      <c r="N517" s="671" t="str">
        <f t="shared" si="56"/>
        <v>N/A</v>
      </c>
      <c r="O517" s="671">
        <f t="shared" si="57"/>
        <v>528</v>
      </c>
      <c r="P517" s="861" t="s">
        <v>1725</v>
      </c>
      <c r="Q517" s="861"/>
      <c r="R517" s="863" t="s">
        <v>3107</v>
      </c>
      <c r="S517" s="861" t="s">
        <v>1790</v>
      </c>
      <c r="T517" s="866" t="s">
        <v>3108</v>
      </c>
      <c r="U517" s="865"/>
    </row>
    <row r="518" spans="1:21" ht="15">
      <c r="A518" s="672"/>
      <c r="B518" s="861" t="s">
        <v>3109</v>
      </c>
      <c r="C518" s="861" t="s">
        <v>3110</v>
      </c>
      <c r="D518" s="861" t="s">
        <v>371</v>
      </c>
      <c r="E518" s="861"/>
      <c r="F518" s="862">
        <v>0.13700000000000001</v>
      </c>
      <c r="G518" s="869">
        <v>1.3617619489999999</v>
      </c>
      <c r="H518" s="874">
        <v>193877784.31999999</v>
      </c>
      <c r="I518" s="871">
        <v>85.88</v>
      </c>
      <c r="J518" s="863" t="s">
        <v>629</v>
      </c>
      <c r="K518" s="868">
        <f t="shared" si="54"/>
        <v>154</v>
      </c>
      <c r="L518" s="861" t="s">
        <v>1165</v>
      </c>
      <c r="M518" s="671">
        <f t="shared" si="55"/>
        <v>516</v>
      </c>
      <c r="N518" s="671">
        <f t="shared" si="56"/>
        <v>45</v>
      </c>
      <c r="O518" s="671" t="str">
        <f t="shared" si="57"/>
        <v>N/A</v>
      </c>
      <c r="P518" s="861" t="s">
        <v>3111</v>
      </c>
      <c r="Q518" s="861" t="s">
        <v>3112</v>
      </c>
      <c r="R518" s="861" t="s">
        <v>1252</v>
      </c>
      <c r="S518" s="861" t="s">
        <v>3113</v>
      </c>
      <c r="T518" s="866" t="s">
        <v>3114</v>
      </c>
      <c r="U518" s="865"/>
    </row>
    <row r="519" spans="1:21" ht="15">
      <c r="A519" s="857"/>
      <c r="B519" s="861" t="s">
        <v>3115</v>
      </c>
      <c r="C519" s="861" t="s">
        <v>3116</v>
      </c>
      <c r="D519" s="861" t="s">
        <v>371</v>
      </c>
      <c r="E519" s="861"/>
      <c r="F519" s="862"/>
      <c r="G519" s="870" t="s">
        <v>3117</v>
      </c>
      <c r="H519" s="874">
        <v>192267936.00999999</v>
      </c>
      <c r="I519" s="871"/>
      <c r="J519" s="862">
        <v>0.11899999999999999</v>
      </c>
      <c r="K519" s="868">
        <f t="shared" si="54"/>
        <v>316</v>
      </c>
      <c r="L519" s="861"/>
      <c r="M519" s="671">
        <f t="shared" si="55"/>
        <v>517</v>
      </c>
      <c r="N519" s="671" t="str">
        <f t="shared" si="56"/>
        <v>N/A</v>
      </c>
      <c r="O519" s="671">
        <f t="shared" si="57"/>
        <v>432</v>
      </c>
      <c r="P519" s="861" t="s">
        <v>3118</v>
      </c>
      <c r="Q519" s="861"/>
      <c r="R519" s="861"/>
      <c r="S519" s="861" t="s">
        <v>1341</v>
      </c>
      <c r="T519" s="866" t="s">
        <v>3119</v>
      </c>
      <c r="U519" s="865"/>
    </row>
    <row r="520" spans="1:21" ht="15">
      <c r="A520" s="672"/>
      <c r="B520" s="861" t="s">
        <v>3120</v>
      </c>
      <c r="C520" s="861" t="s">
        <v>3121</v>
      </c>
      <c r="D520" s="861" t="s">
        <v>371</v>
      </c>
      <c r="E520" s="861"/>
      <c r="F520" s="862">
        <v>9.4E-2</v>
      </c>
      <c r="G520" s="869">
        <v>3.2353939390000002</v>
      </c>
      <c r="H520" s="874">
        <v>190473801.62</v>
      </c>
      <c r="I520" s="871">
        <v>111</v>
      </c>
      <c r="J520" s="862">
        <v>0.46500000000000002</v>
      </c>
      <c r="K520" s="868">
        <f t="shared" si="54"/>
        <v>200</v>
      </c>
      <c r="L520" s="861"/>
      <c r="M520" s="671">
        <f t="shared" si="55"/>
        <v>518</v>
      </c>
      <c r="N520" s="671">
        <f t="shared" si="56"/>
        <v>24</v>
      </c>
      <c r="O520" s="671">
        <f t="shared" si="57"/>
        <v>33</v>
      </c>
      <c r="P520" s="861" t="s">
        <v>1168</v>
      </c>
      <c r="Q520" s="861"/>
      <c r="R520" s="861" t="s">
        <v>392</v>
      </c>
      <c r="S520" s="861" t="s">
        <v>2354</v>
      </c>
      <c r="T520" s="866" t="s">
        <v>3122</v>
      </c>
      <c r="U520" s="865"/>
    </row>
    <row r="521" spans="1:21" ht="15">
      <c r="A521" s="857"/>
      <c r="B521" s="861" t="s">
        <v>3123</v>
      </c>
      <c r="C521" s="861" t="s">
        <v>3124</v>
      </c>
      <c r="D521" s="861" t="s">
        <v>371</v>
      </c>
      <c r="E521" s="861"/>
      <c r="F521" s="862"/>
      <c r="G521" s="869">
        <v>0.138655535</v>
      </c>
      <c r="H521" s="874">
        <v>189569668.84999999</v>
      </c>
      <c r="I521" s="871"/>
      <c r="J521" s="863" t="s">
        <v>3125</v>
      </c>
      <c r="K521" s="868">
        <f t="shared" si="54"/>
        <v>316</v>
      </c>
      <c r="L521" s="861"/>
      <c r="M521" s="671">
        <f t="shared" si="55"/>
        <v>519</v>
      </c>
      <c r="N521" s="671" t="str">
        <f t="shared" si="56"/>
        <v>N/A</v>
      </c>
      <c r="O521" s="671" t="str">
        <f t="shared" si="57"/>
        <v>N/A</v>
      </c>
      <c r="P521" s="861"/>
      <c r="Q521" s="861"/>
      <c r="R521" s="861"/>
      <c r="S521" s="861" t="s">
        <v>424</v>
      </c>
      <c r="T521" s="866" t="s">
        <v>3126</v>
      </c>
      <c r="U521" s="865"/>
    </row>
    <row r="522" spans="1:21" ht="15">
      <c r="A522" s="672"/>
      <c r="B522" s="861" t="s">
        <v>3127</v>
      </c>
      <c r="C522" s="861" t="s">
        <v>3128</v>
      </c>
      <c r="D522" s="861" t="s">
        <v>371</v>
      </c>
      <c r="E522" s="861"/>
      <c r="F522" s="862"/>
      <c r="G522" s="869">
        <v>0</v>
      </c>
      <c r="H522" s="874">
        <v>189446311.02000001</v>
      </c>
      <c r="I522" s="871">
        <v>34.31</v>
      </c>
      <c r="J522" s="863" t="s">
        <v>3129</v>
      </c>
      <c r="K522" s="868">
        <f t="shared" si="54"/>
        <v>316</v>
      </c>
      <c r="L522" s="861" t="s">
        <v>2015</v>
      </c>
      <c r="M522" s="671">
        <f t="shared" si="55"/>
        <v>520</v>
      </c>
      <c r="N522" s="671">
        <f t="shared" si="56"/>
        <v>131</v>
      </c>
      <c r="O522" s="671" t="str">
        <f t="shared" si="57"/>
        <v>N/A</v>
      </c>
      <c r="P522" s="861" t="s">
        <v>494</v>
      </c>
      <c r="Q522" s="861"/>
      <c r="R522" s="861" t="s">
        <v>3130</v>
      </c>
      <c r="S522" s="861" t="s">
        <v>3131</v>
      </c>
      <c r="T522" s="866" t="s">
        <v>3132</v>
      </c>
      <c r="U522" s="865"/>
    </row>
    <row r="523" spans="1:21" ht="15">
      <c r="A523" s="857"/>
      <c r="B523" s="861" t="s">
        <v>3133</v>
      </c>
      <c r="C523" s="861" t="s">
        <v>3134</v>
      </c>
      <c r="D523" s="861" t="s">
        <v>371</v>
      </c>
      <c r="E523" s="861"/>
      <c r="F523" s="862"/>
      <c r="G523" s="870" t="s">
        <v>3135</v>
      </c>
      <c r="H523" s="874">
        <v>188370543.08000001</v>
      </c>
      <c r="I523" s="871">
        <v>36.61</v>
      </c>
      <c r="J523" s="862">
        <v>0.16400000000000001</v>
      </c>
      <c r="K523" s="868">
        <f t="shared" si="54"/>
        <v>316</v>
      </c>
      <c r="L523" s="861"/>
      <c r="M523" s="671">
        <f t="shared" si="55"/>
        <v>521</v>
      </c>
      <c r="N523" s="671">
        <f t="shared" si="56"/>
        <v>120</v>
      </c>
      <c r="O523" s="671">
        <f t="shared" si="57"/>
        <v>311</v>
      </c>
      <c r="P523" s="861"/>
      <c r="Q523" s="861"/>
      <c r="R523" s="861"/>
      <c r="S523" s="861" t="s">
        <v>526</v>
      </c>
      <c r="T523" s="866" t="s">
        <v>3136</v>
      </c>
      <c r="U523" s="865"/>
    </row>
    <row r="524" spans="1:21" ht="15">
      <c r="A524" s="672"/>
      <c r="B524" s="861" t="s">
        <v>3137</v>
      </c>
      <c r="C524" s="861" t="s">
        <v>3138</v>
      </c>
      <c r="D524" s="861" t="s">
        <v>371</v>
      </c>
      <c r="E524" s="861"/>
      <c r="F524" s="862"/>
      <c r="G524" s="870" t="s">
        <v>3139</v>
      </c>
      <c r="H524" s="874">
        <v>187202470.97999999</v>
      </c>
      <c r="I524" s="871">
        <v>5.33</v>
      </c>
      <c r="J524" s="862">
        <v>0.16400000000000001</v>
      </c>
      <c r="K524" s="868">
        <f t="shared" si="54"/>
        <v>316</v>
      </c>
      <c r="L524" s="861"/>
      <c r="M524" s="671">
        <f t="shared" si="55"/>
        <v>522</v>
      </c>
      <c r="N524" s="671">
        <f t="shared" si="56"/>
        <v>267</v>
      </c>
      <c r="O524" s="671">
        <f t="shared" si="57"/>
        <v>311</v>
      </c>
      <c r="P524" s="861" t="s">
        <v>1665</v>
      </c>
      <c r="Q524" s="861" t="s">
        <v>674</v>
      </c>
      <c r="R524" s="861"/>
      <c r="S524" s="861" t="s">
        <v>2096</v>
      </c>
      <c r="T524" s="866" t="s">
        <v>3140</v>
      </c>
      <c r="U524" s="865"/>
    </row>
    <row r="525" spans="1:21" ht="15">
      <c r="A525" s="857"/>
      <c r="B525" s="861" t="s">
        <v>3141</v>
      </c>
      <c r="C525" s="861" t="s">
        <v>3142</v>
      </c>
      <c r="D525" s="861" t="s">
        <v>371</v>
      </c>
      <c r="E525" s="861"/>
      <c r="F525" s="862"/>
      <c r="G525" s="869">
        <v>7.7809033E-2</v>
      </c>
      <c r="H525" s="874">
        <v>186005680.16999999</v>
      </c>
      <c r="I525" s="871">
        <v>16.37</v>
      </c>
      <c r="J525" s="863" t="s">
        <v>3143</v>
      </c>
      <c r="K525" s="868">
        <f t="shared" si="54"/>
        <v>316</v>
      </c>
      <c r="L525" s="861"/>
      <c r="M525" s="671">
        <f t="shared" si="55"/>
        <v>523</v>
      </c>
      <c r="N525" s="671">
        <f t="shared" si="56"/>
        <v>188</v>
      </c>
      <c r="O525" s="671" t="str">
        <f t="shared" si="57"/>
        <v>N/A</v>
      </c>
      <c r="P525" s="861"/>
      <c r="Q525" s="861"/>
      <c r="R525" s="861"/>
      <c r="S525" s="861" t="s">
        <v>424</v>
      </c>
      <c r="T525" s="866" t="s">
        <v>3144</v>
      </c>
      <c r="U525" s="865"/>
    </row>
    <row r="526" spans="1:21" ht="15">
      <c r="A526" s="672"/>
      <c r="B526" s="861" t="s">
        <v>3145</v>
      </c>
      <c r="C526" s="861" t="s">
        <v>3146</v>
      </c>
      <c r="D526" s="861" t="s">
        <v>371</v>
      </c>
      <c r="E526" s="861"/>
      <c r="F526" s="862"/>
      <c r="G526" s="870" t="s">
        <v>3147</v>
      </c>
      <c r="H526" s="874">
        <v>184016181.31</v>
      </c>
      <c r="I526" s="871"/>
      <c r="J526" s="862">
        <v>0.151</v>
      </c>
      <c r="K526" s="868">
        <f t="shared" si="54"/>
        <v>316</v>
      </c>
      <c r="L526" s="863" t="s">
        <v>3148</v>
      </c>
      <c r="M526" s="671">
        <f t="shared" si="55"/>
        <v>524</v>
      </c>
      <c r="N526" s="671" t="str">
        <f t="shared" si="56"/>
        <v>N/A</v>
      </c>
      <c r="O526" s="671">
        <f t="shared" si="57"/>
        <v>337</v>
      </c>
      <c r="P526" s="861" t="s">
        <v>3149</v>
      </c>
      <c r="Q526" s="861"/>
      <c r="R526" s="861"/>
      <c r="S526" s="861" t="s">
        <v>2331</v>
      </c>
      <c r="T526" s="866" t="s">
        <v>3150</v>
      </c>
      <c r="U526" s="865"/>
    </row>
    <row r="527" spans="1:21" ht="15">
      <c r="A527" s="857"/>
      <c r="B527" s="861" t="s">
        <v>3151</v>
      </c>
      <c r="C527" s="861" t="s">
        <v>3152</v>
      </c>
      <c r="D527" s="861" t="s">
        <v>371</v>
      </c>
      <c r="E527" s="861"/>
      <c r="F527" s="862">
        <v>0.30099999999999999</v>
      </c>
      <c r="G527" s="869">
        <v>1.915929204</v>
      </c>
      <c r="H527" s="874">
        <v>180776688.62</v>
      </c>
      <c r="I527" s="872" t="s">
        <v>3153</v>
      </c>
      <c r="J527" s="862">
        <v>0.10299999999999999</v>
      </c>
      <c r="K527" s="868">
        <f t="shared" si="54"/>
        <v>50</v>
      </c>
      <c r="L527" s="861"/>
      <c r="M527" s="671">
        <f t="shared" si="55"/>
        <v>525</v>
      </c>
      <c r="N527" s="671" t="str">
        <f t="shared" si="56"/>
        <v>N/A</v>
      </c>
      <c r="O527" s="671">
        <f t="shared" si="57"/>
        <v>482</v>
      </c>
      <c r="P527" s="861" t="s">
        <v>1252</v>
      </c>
      <c r="Q527" s="861" t="s">
        <v>3154</v>
      </c>
      <c r="R527" s="861"/>
      <c r="S527" s="861" t="s">
        <v>2069</v>
      </c>
      <c r="T527" s="866" t="s">
        <v>3155</v>
      </c>
      <c r="U527" s="865"/>
    </row>
    <row r="528" spans="1:21" ht="15">
      <c r="A528" s="672"/>
      <c r="B528" s="861" t="s">
        <v>3156</v>
      </c>
      <c r="C528" s="861" t="s">
        <v>3157</v>
      </c>
      <c r="D528" s="861" t="s">
        <v>371</v>
      </c>
      <c r="E528" s="861"/>
      <c r="F528" s="862"/>
      <c r="G528" s="869">
        <v>0</v>
      </c>
      <c r="H528" s="874">
        <v>179947811.55000001</v>
      </c>
      <c r="I528" s="871">
        <v>24.38</v>
      </c>
      <c r="J528" s="862">
        <v>0.32</v>
      </c>
      <c r="K528" s="868">
        <f t="shared" si="54"/>
        <v>316</v>
      </c>
      <c r="L528" s="861" t="s">
        <v>424</v>
      </c>
      <c r="M528" s="671">
        <f t="shared" si="55"/>
        <v>526</v>
      </c>
      <c r="N528" s="671">
        <f t="shared" si="56"/>
        <v>163</v>
      </c>
      <c r="O528" s="671">
        <f t="shared" si="57"/>
        <v>102</v>
      </c>
      <c r="P528" s="861" t="s">
        <v>3158</v>
      </c>
      <c r="Q528" s="861"/>
      <c r="R528" s="863" t="s">
        <v>945</v>
      </c>
      <c r="S528" s="861" t="s">
        <v>3159</v>
      </c>
      <c r="T528" s="866" t="s">
        <v>3160</v>
      </c>
      <c r="U528" s="865"/>
    </row>
    <row r="529" spans="1:21" ht="15">
      <c r="A529" s="857"/>
      <c r="B529" s="861" t="s">
        <v>3161</v>
      </c>
      <c r="C529" s="861" t="s">
        <v>3162</v>
      </c>
      <c r="D529" s="861" t="s">
        <v>371</v>
      </c>
      <c r="E529" s="861"/>
      <c r="F529" s="862"/>
      <c r="G529" s="869">
        <v>8.3544508000000003E-2</v>
      </c>
      <c r="H529" s="874">
        <v>178568549.75</v>
      </c>
      <c r="I529" s="871"/>
      <c r="J529" s="862">
        <v>4.2999999999999997E-2</v>
      </c>
      <c r="K529" s="868">
        <f t="shared" si="54"/>
        <v>316</v>
      </c>
      <c r="L529" s="861"/>
      <c r="M529" s="671">
        <f t="shared" si="55"/>
        <v>527</v>
      </c>
      <c r="N529" s="671" t="str">
        <f t="shared" si="56"/>
        <v>N/A</v>
      </c>
      <c r="O529" s="671">
        <f t="shared" si="57"/>
        <v>617</v>
      </c>
      <c r="P529" s="861"/>
      <c r="Q529" s="861"/>
      <c r="R529" s="861"/>
      <c r="S529" s="861" t="s">
        <v>424</v>
      </c>
      <c r="T529" s="866" t="s">
        <v>3163</v>
      </c>
      <c r="U529" s="865"/>
    </row>
    <row r="530" spans="1:21" ht="15">
      <c r="A530" s="672"/>
      <c r="B530" s="861" t="s">
        <v>3164</v>
      </c>
      <c r="C530" s="861" t="s">
        <v>3165</v>
      </c>
      <c r="D530" s="861" t="s">
        <v>371</v>
      </c>
      <c r="E530" s="861"/>
      <c r="F530" s="862"/>
      <c r="G530" s="870" t="s">
        <v>3166</v>
      </c>
      <c r="H530" s="874">
        <v>175219225.5</v>
      </c>
      <c r="I530" s="871"/>
      <c r="J530" s="862">
        <v>9.5000000000000001E-2</v>
      </c>
      <c r="K530" s="868">
        <f t="shared" si="54"/>
        <v>316</v>
      </c>
      <c r="L530" s="863" t="s">
        <v>3167</v>
      </c>
      <c r="M530" s="671">
        <f t="shared" si="55"/>
        <v>528</v>
      </c>
      <c r="N530" s="671" t="str">
        <f t="shared" si="56"/>
        <v>N/A</v>
      </c>
      <c r="O530" s="671">
        <f t="shared" si="57"/>
        <v>513</v>
      </c>
      <c r="P530" s="861" t="s">
        <v>3168</v>
      </c>
      <c r="Q530" s="861"/>
      <c r="R530" s="861"/>
      <c r="S530" s="861" t="s">
        <v>557</v>
      </c>
      <c r="T530" s="866" t="s">
        <v>3169</v>
      </c>
      <c r="U530" s="865"/>
    </row>
    <row r="531" spans="1:21" ht="15">
      <c r="A531" s="857"/>
      <c r="B531" s="861" t="s">
        <v>3170</v>
      </c>
      <c r="C531" s="861" t="s">
        <v>3171</v>
      </c>
      <c r="D531" s="861" t="s">
        <v>371</v>
      </c>
      <c r="E531" s="861"/>
      <c r="F531" s="862"/>
      <c r="G531" s="869">
        <v>0</v>
      </c>
      <c r="H531" s="874">
        <v>175064890.22999999</v>
      </c>
      <c r="I531" s="872" t="s">
        <v>3172</v>
      </c>
      <c r="J531" s="862">
        <v>0.23300000000000001</v>
      </c>
      <c r="K531" s="868">
        <f t="shared" si="54"/>
        <v>316</v>
      </c>
      <c r="L531" s="861"/>
      <c r="M531" s="671">
        <f t="shared" si="55"/>
        <v>529</v>
      </c>
      <c r="N531" s="671" t="str">
        <f t="shared" si="56"/>
        <v>N/A</v>
      </c>
      <c r="O531" s="671">
        <f t="shared" si="57"/>
        <v>208</v>
      </c>
      <c r="P531" s="861"/>
      <c r="Q531" s="861"/>
      <c r="R531" s="861"/>
      <c r="S531" s="861" t="s">
        <v>424</v>
      </c>
      <c r="T531" s="866" t="s">
        <v>3173</v>
      </c>
      <c r="U531" s="865"/>
    </row>
    <row r="532" spans="1:21" ht="15">
      <c r="A532" s="672"/>
      <c r="B532" s="861" t="s">
        <v>3174</v>
      </c>
      <c r="C532" s="861" t="s">
        <v>3175</v>
      </c>
      <c r="D532" s="861" t="s">
        <v>371</v>
      </c>
      <c r="E532" s="861"/>
      <c r="F532" s="862"/>
      <c r="G532" s="869">
        <v>0</v>
      </c>
      <c r="H532" s="874">
        <v>174544703.63999999</v>
      </c>
      <c r="I532" s="871"/>
      <c r="J532" s="863" t="s">
        <v>2382</v>
      </c>
      <c r="K532" s="868">
        <f t="shared" si="54"/>
        <v>316</v>
      </c>
      <c r="L532" s="861"/>
      <c r="M532" s="671">
        <f t="shared" si="55"/>
        <v>530</v>
      </c>
      <c r="N532" s="671" t="str">
        <f t="shared" si="56"/>
        <v>N/A</v>
      </c>
      <c r="O532" s="671" t="str">
        <f t="shared" si="57"/>
        <v>N/A</v>
      </c>
      <c r="P532" s="861"/>
      <c r="Q532" s="861"/>
      <c r="R532" s="861"/>
      <c r="S532" s="861" t="s">
        <v>734</v>
      </c>
      <c r="T532" s="866" t="s">
        <v>3176</v>
      </c>
      <c r="U532" s="865"/>
    </row>
    <row r="533" spans="1:21" ht="15">
      <c r="A533" s="857"/>
      <c r="B533" s="861" t="s">
        <v>3177</v>
      </c>
      <c r="C533" s="861" t="s">
        <v>3178</v>
      </c>
      <c r="D533" s="861" t="s">
        <v>371</v>
      </c>
      <c r="E533" s="861"/>
      <c r="F533" s="862">
        <v>-0.27500000000000002</v>
      </c>
      <c r="G533" s="870" t="s">
        <v>3179</v>
      </c>
      <c r="H533" s="874">
        <v>173053836.46000001</v>
      </c>
      <c r="I533" s="871"/>
      <c r="J533" s="863"/>
      <c r="K533" s="868">
        <f t="shared" si="54"/>
        <v>440</v>
      </c>
      <c r="L533" s="861"/>
      <c r="M533" s="671">
        <f t="shared" si="55"/>
        <v>531</v>
      </c>
      <c r="N533" s="671" t="str">
        <f t="shared" si="56"/>
        <v>N/A</v>
      </c>
      <c r="O533" s="671">
        <f t="shared" si="57"/>
        <v>708</v>
      </c>
      <c r="P533" s="861"/>
      <c r="Q533" s="861" t="s">
        <v>3180</v>
      </c>
      <c r="R533" s="861"/>
      <c r="S533" s="861" t="s">
        <v>1490</v>
      </c>
      <c r="T533" s="866" t="s">
        <v>3181</v>
      </c>
      <c r="U533" s="865"/>
    </row>
    <row r="534" spans="1:21" ht="15">
      <c r="A534" s="672"/>
      <c r="B534" s="861" t="s">
        <v>3182</v>
      </c>
      <c r="C534" s="861" t="s">
        <v>3183</v>
      </c>
      <c r="D534" s="861" t="s">
        <v>371</v>
      </c>
      <c r="E534" s="861"/>
      <c r="F534" s="862"/>
      <c r="G534" s="869">
        <v>0.119653619</v>
      </c>
      <c r="H534" s="874">
        <v>172642726.22</v>
      </c>
      <c r="I534" s="872" t="s">
        <v>3184</v>
      </c>
      <c r="J534" s="862">
        <v>0.11799999999999999</v>
      </c>
      <c r="K534" s="868">
        <f t="shared" si="54"/>
        <v>316</v>
      </c>
      <c r="L534" s="861" t="s">
        <v>1061</v>
      </c>
      <c r="M534" s="671">
        <f t="shared" si="55"/>
        <v>532</v>
      </c>
      <c r="N534" s="671" t="str">
        <f t="shared" si="56"/>
        <v>N/A</v>
      </c>
      <c r="O534" s="671">
        <f t="shared" si="57"/>
        <v>436</v>
      </c>
      <c r="P534" s="861" t="s">
        <v>3185</v>
      </c>
      <c r="Q534" s="861" t="s">
        <v>3186</v>
      </c>
      <c r="R534" s="861" t="s">
        <v>2140</v>
      </c>
      <c r="S534" s="861" t="s">
        <v>3187</v>
      </c>
      <c r="T534" s="866" t="s">
        <v>3188</v>
      </c>
      <c r="U534" s="865"/>
    </row>
    <row r="535" spans="1:21" ht="15">
      <c r="A535" s="857"/>
      <c r="B535" s="861" t="s">
        <v>3189</v>
      </c>
      <c r="C535" s="861" t="s">
        <v>3190</v>
      </c>
      <c r="D535" s="861" t="s">
        <v>371</v>
      </c>
      <c r="E535" s="861"/>
      <c r="F535" s="862"/>
      <c r="G535" s="869">
        <v>0</v>
      </c>
      <c r="H535" s="874">
        <v>172608497.72999999</v>
      </c>
      <c r="I535" s="871"/>
      <c r="J535" s="862">
        <v>0.108</v>
      </c>
      <c r="K535" s="868">
        <f t="shared" si="54"/>
        <v>316</v>
      </c>
      <c r="L535" s="861"/>
      <c r="M535" s="671">
        <f t="shared" si="55"/>
        <v>533</v>
      </c>
      <c r="N535" s="671" t="str">
        <f t="shared" si="56"/>
        <v>N/A</v>
      </c>
      <c r="O535" s="671">
        <f t="shared" si="57"/>
        <v>461</v>
      </c>
      <c r="P535" s="861" t="s">
        <v>1000</v>
      </c>
      <c r="Q535" s="861" t="s">
        <v>3191</v>
      </c>
      <c r="R535" s="861"/>
      <c r="S535" s="861" t="s">
        <v>3192</v>
      </c>
      <c r="T535" s="866" t="s">
        <v>3193</v>
      </c>
      <c r="U535" s="865"/>
    </row>
    <row r="536" spans="1:21" ht="15">
      <c r="A536" s="672"/>
      <c r="B536" s="861" t="s">
        <v>3194</v>
      </c>
      <c r="C536" s="861" t="s">
        <v>3195</v>
      </c>
      <c r="D536" s="861" t="s">
        <v>371</v>
      </c>
      <c r="E536" s="861"/>
      <c r="F536" s="862"/>
      <c r="G536" s="869">
        <v>1.015761664</v>
      </c>
      <c r="H536" s="874">
        <v>171994332.06</v>
      </c>
      <c r="I536" s="871">
        <v>29.01</v>
      </c>
      <c r="J536" s="863" t="s">
        <v>2159</v>
      </c>
      <c r="K536" s="868">
        <f t="shared" si="54"/>
        <v>316</v>
      </c>
      <c r="L536" s="861"/>
      <c r="M536" s="671">
        <f t="shared" si="55"/>
        <v>534</v>
      </c>
      <c r="N536" s="671">
        <f t="shared" si="56"/>
        <v>147</v>
      </c>
      <c r="O536" s="671" t="str">
        <f t="shared" si="57"/>
        <v>N/A</v>
      </c>
      <c r="P536" s="861"/>
      <c r="Q536" s="861"/>
      <c r="R536" s="861"/>
      <c r="S536" s="861" t="s">
        <v>748</v>
      </c>
      <c r="T536" s="866" t="s">
        <v>3196</v>
      </c>
      <c r="U536" s="865"/>
    </row>
    <row r="537" spans="1:21" ht="15">
      <c r="A537" s="857"/>
      <c r="B537" s="861" t="s">
        <v>3197</v>
      </c>
      <c r="C537" s="861" t="s">
        <v>3198</v>
      </c>
      <c r="D537" s="861" t="s">
        <v>371</v>
      </c>
      <c r="E537" s="861"/>
      <c r="F537" s="862"/>
      <c r="G537" s="870" t="s">
        <v>3199</v>
      </c>
      <c r="H537" s="874">
        <v>170768271.69</v>
      </c>
      <c r="I537" s="871"/>
      <c r="J537" s="862">
        <v>0.22500000000000001</v>
      </c>
      <c r="K537" s="868">
        <f t="shared" si="54"/>
        <v>316</v>
      </c>
      <c r="L537" s="861"/>
      <c r="M537" s="671">
        <f t="shared" si="55"/>
        <v>535</v>
      </c>
      <c r="N537" s="671" t="str">
        <f t="shared" si="56"/>
        <v>N/A</v>
      </c>
      <c r="O537" s="671">
        <f t="shared" si="57"/>
        <v>217</v>
      </c>
      <c r="P537" s="861"/>
      <c r="Q537" s="861"/>
      <c r="R537" s="861"/>
      <c r="S537" s="861" t="s">
        <v>424</v>
      </c>
      <c r="T537" s="866" t="s">
        <v>3200</v>
      </c>
      <c r="U537" s="865"/>
    </row>
    <row r="538" spans="1:21" ht="15">
      <c r="A538" s="672"/>
      <c r="B538" s="861" t="s">
        <v>3201</v>
      </c>
      <c r="C538" s="861" t="s">
        <v>3202</v>
      </c>
      <c r="D538" s="861" t="s">
        <v>371</v>
      </c>
      <c r="E538" s="861"/>
      <c r="F538" s="862"/>
      <c r="G538" s="869">
        <v>0.13955376999999999</v>
      </c>
      <c r="H538" s="874">
        <v>170649412.00999999</v>
      </c>
      <c r="I538" s="871"/>
      <c r="J538" s="862">
        <v>0.20300000000000001</v>
      </c>
      <c r="K538" s="868">
        <f t="shared" si="54"/>
        <v>316</v>
      </c>
      <c r="L538" s="861"/>
      <c r="M538" s="671">
        <f t="shared" si="55"/>
        <v>536</v>
      </c>
      <c r="N538" s="671" t="str">
        <f t="shared" si="56"/>
        <v>N/A</v>
      </c>
      <c r="O538" s="671">
        <f t="shared" si="57"/>
        <v>247</v>
      </c>
      <c r="P538" s="861"/>
      <c r="Q538" s="861"/>
      <c r="R538" s="861"/>
      <c r="S538" s="861" t="s">
        <v>454</v>
      </c>
      <c r="T538" s="866" t="s">
        <v>3203</v>
      </c>
      <c r="U538" s="865"/>
    </row>
    <row r="539" spans="1:21" ht="15">
      <c r="A539" s="857"/>
      <c r="B539" s="861" t="s">
        <v>3204</v>
      </c>
      <c r="C539" s="861" t="s">
        <v>3205</v>
      </c>
      <c r="D539" s="861" t="s">
        <v>371</v>
      </c>
      <c r="E539" s="861"/>
      <c r="F539" s="862">
        <v>0.155</v>
      </c>
      <c r="G539" s="869">
        <v>0.66004612600000001</v>
      </c>
      <c r="H539" s="874">
        <v>170126369.13</v>
      </c>
      <c r="I539" s="871"/>
      <c r="J539" s="862">
        <v>3.3000000000000002E-2</v>
      </c>
      <c r="K539" s="868">
        <f t="shared" si="54"/>
        <v>136</v>
      </c>
      <c r="L539" s="861" t="s">
        <v>2069</v>
      </c>
      <c r="M539" s="671">
        <f t="shared" si="55"/>
        <v>537</v>
      </c>
      <c r="N539" s="671" t="str">
        <f t="shared" si="56"/>
        <v>N/A</v>
      </c>
      <c r="O539" s="671">
        <f t="shared" si="57"/>
        <v>648</v>
      </c>
      <c r="P539" s="861" t="s">
        <v>1879</v>
      </c>
      <c r="Q539" s="861" t="s">
        <v>3206</v>
      </c>
      <c r="R539" s="861" t="s">
        <v>2069</v>
      </c>
      <c r="S539" s="861" t="s">
        <v>1081</v>
      </c>
      <c r="T539" s="866" t="s">
        <v>3207</v>
      </c>
      <c r="U539" s="865"/>
    </row>
    <row r="540" spans="1:21" ht="15">
      <c r="A540" s="672"/>
      <c r="B540" s="861" t="s">
        <v>3208</v>
      </c>
      <c r="C540" s="861" t="s">
        <v>3209</v>
      </c>
      <c r="D540" s="861" t="s">
        <v>371</v>
      </c>
      <c r="E540" s="861"/>
      <c r="F540" s="862"/>
      <c r="G540" s="869">
        <v>0.272811794</v>
      </c>
      <c r="H540" s="874">
        <v>168125567.83000001</v>
      </c>
      <c r="I540" s="871"/>
      <c r="J540" s="862">
        <v>0.108</v>
      </c>
      <c r="K540" s="868">
        <f t="shared" si="54"/>
        <v>316</v>
      </c>
      <c r="L540" s="861"/>
      <c r="M540" s="671">
        <f t="shared" si="55"/>
        <v>538</v>
      </c>
      <c r="N540" s="671" t="str">
        <f t="shared" si="56"/>
        <v>N/A</v>
      </c>
      <c r="O540" s="671">
        <f t="shared" si="57"/>
        <v>461</v>
      </c>
      <c r="P540" s="861" t="s">
        <v>2762</v>
      </c>
      <c r="Q540" s="861" t="s">
        <v>3210</v>
      </c>
      <c r="R540" s="861"/>
      <c r="S540" s="861" t="s">
        <v>3211</v>
      </c>
      <c r="T540" s="866" t="s">
        <v>3212</v>
      </c>
      <c r="U540" s="865"/>
    </row>
    <row r="541" spans="1:21" ht="15">
      <c r="A541" s="857"/>
      <c r="B541" s="861" t="s">
        <v>3213</v>
      </c>
      <c r="C541" s="861" t="s">
        <v>3214</v>
      </c>
      <c r="D541" s="861" t="s">
        <v>371</v>
      </c>
      <c r="E541" s="861"/>
      <c r="F541" s="862"/>
      <c r="G541" s="869">
        <v>2.7191327919999999</v>
      </c>
      <c r="H541" s="874">
        <v>164675873.59999999</v>
      </c>
      <c r="I541" s="871"/>
      <c r="J541" s="861"/>
      <c r="K541" s="868">
        <f t="shared" si="54"/>
        <v>316</v>
      </c>
      <c r="L541" s="861"/>
      <c r="M541" s="671">
        <f t="shared" si="55"/>
        <v>539</v>
      </c>
      <c r="N541" s="671" t="str">
        <f t="shared" si="56"/>
        <v>N/A</v>
      </c>
      <c r="O541" s="671">
        <f t="shared" si="57"/>
        <v>708</v>
      </c>
      <c r="P541" s="861" t="s">
        <v>1311</v>
      </c>
      <c r="Q541" s="861" t="s">
        <v>3215</v>
      </c>
      <c r="R541" s="861"/>
      <c r="S541" s="861" t="s">
        <v>3216</v>
      </c>
      <c r="T541" s="866" t="s">
        <v>3217</v>
      </c>
      <c r="U541" s="865"/>
    </row>
    <row r="542" spans="1:21" ht="15">
      <c r="A542" s="672"/>
      <c r="B542" s="861" t="s">
        <v>3218</v>
      </c>
      <c r="C542" s="861" t="s">
        <v>3219</v>
      </c>
      <c r="D542" s="861" t="s">
        <v>371</v>
      </c>
      <c r="E542" s="861"/>
      <c r="F542" s="862"/>
      <c r="G542" s="869">
        <v>0</v>
      </c>
      <c r="H542" s="874">
        <v>163822967.59</v>
      </c>
      <c r="I542" s="871"/>
      <c r="J542" s="862">
        <v>0.19500000000000001</v>
      </c>
      <c r="K542" s="868">
        <f t="shared" si="54"/>
        <v>316</v>
      </c>
      <c r="L542" s="861" t="s">
        <v>460</v>
      </c>
      <c r="M542" s="671">
        <f t="shared" si="55"/>
        <v>540</v>
      </c>
      <c r="N542" s="671" t="str">
        <f t="shared" si="56"/>
        <v>N/A</v>
      </c>
      <c r="O542" s="671">
        <f t="shared" si="57"/>
        <v>263</v>
      </c>
      <c r="P542" s="861" t="s">
        <v>3220</v>
      </c>
      <c r="Q542" s="861" t="s">
        <v>3221</v>
      </c>
      <c r="R542" s="863" t="s">
        <v>2639</v>
      </c>
      <c r="S542" s="861" t="s">
        <v>3222</v>
      </c>
      <c r="T542" s="866" t="s">
        <v>3223</v>
      </c>
      <c r="U542" s="865"/>
    </row>
    <row r="543" spans="1:21" ht="15">
      <c r="A543" s="857"/>
      <c r="B543" s="861" t="s">
        <v>3224</v>
      </c>
      <c r="C543" s="861" t="s">
        <v>3225</v>
      </c>
      <c r="D543" s="861" t="s">
        <v>371</v>
      </c>
      <c r="E543" s="861"/>
      <c r="F543" s="862"/>
      <c r="G543" s="869">
        <v>0.60831000899999998</v>
      </c>
      <c r="H543" s="874">
        <v>162915354.02000001</v>
      </c>
      <c r="I543" s="871">
        <v>48.4</v>
      </c>
      <c r="J543" s="863" t="s">
        <v>2958</v>
      </c>
      <c r="K543" s="868">
        <f t="shared" si="54"/>
        <v>316</v>
      </c>
      <c r="L543" s="861"/>
      <c r="M543" s="671">
        <f t="shared" si="55"/>
        <v>541</v>
      </c>
      <c r="N543" s="671">
        <f t="shared" si="56"/>
        <v>88</v>
      </c>
      <c r="O543" s="671" t="str">
        <f t="shared" si="57"/>
        <v>N/A</v>
      </c>
      <c r="P543" s="861" t="s">
        <v>1626</v>
      </c>
      <c r="Q543" s="861"/>
      <c r="R543" s="861"/>
      <c r="S543" s="861" t="s">
        <v>547</v>
      </c>
      <c r="T543" s="866" t="s">
        <v>3226</v>
      </c>
      <c r="U543" s="865"/>
    </row>
    <row r="544" spans="1:21" ht="15">
      <c r="A544" s="672"/>
      <c r="B544" s="861" t="s">
        <v>3227</v>
      </c>
      <c r="C544" s="861" t="s">
        <v>3228</v>
      </c>
      <c r="D544" s="861" t="s">
        <v>371</v>
      </c>
      <c r="E544" s="861"/>
      <c r="F544" s="862"/>
      <c r="G544" s="870" t="s">
        <v>3229</v>
      </c>
      <c r="H544" s="874">
        <v>160469879.84999999</v>
      </c>
      <c r="I544" s="871"/>
      <c r="J544" s="862">
        <v>0.20200000000000001</v>
      </c>
      <c r="K544" s="868">
        <f t="shared" si="54"/>
        <v>316</v>
      </c>
      <c r="L544" s="861"/>
      <c r="M544" s="671">
        <f t="shared" si="55"/>
        <v>542</v>
      </c>
      <c r="N544" s="671" t="str">
        <f t="shared" si="56"/>
        <v>N/A</v>
      </c>
      <c r="O544" s="671">
        <f t="shared" si="57"/>
        <v>249</v>
      </c>
      <c r="P544" s="861" t="s">
        <v>1370</v>
      </c>
      <c r="Q544" s="861"/>
      <c r="R544" s="861"/>
      <c r="S544" s="861" t="s">
        <v>1866</v>
      </c>
      <c r="T544" s="866" t="s">
        <v>3230</v>
      </c>
      <c r="U544" s="865"/>
    </row>
    <row r="545" spans="1:21" ht="15">
      <c r="A545" s="857"/>
      <c r="B545" s="861" t="s">
        <v>3231</v>
      </c>
      <c r="C545" s="861" t="s">
        <v>3232</v>
      </c>
      <c r="D545" s="861" t="s">
        <v>371</v>
      </c>
      <c r="E545" s="861"/>
      <c r="F545" s="862">
        <v>-0.114</v>
      </c>
      <c r="G545" s="869">
        <v>5.6940155389999996</v>
      </c>
      <c r="H545" s="874">
        <v>160286209.06</v>
      </c>
      <c r="I545" s="871">
        <v>77.12</v>
      </c>
      <c r="J545" s="862">
        <v>0.24399999999999999</v>
      </c>
      <c r="K545" s="868">
        <f t="shared" si="54"/>
        <v>388</v>
      </c>
      <c r="L545" s="861" t="s">
        <v>1659</v>
      </c>
      <c r="M545" s="671">
        <f t="shared" si="55"/>
        <v>543</v>
      </c>
      <c r="N545" s="671">
        <f t="shared" si="56"/>
        <v>50</v>
      </c>
      <c r="O545" s="671">
        <f t="shared" si="57"/>
        <v>189</v>
      </c>
      <c r="P545" s="861" t="s">
        <v>3233</v>
      </c>
      <c r="Q545" s="861" t="s">
        <v>3234</v>
      </c>
      <c r="R545" s="861"/>
      <c r="S545" s="861" t="s">
        <v>3235</v>
      </c>
      <c r="T545" s="866" t="s">
        <v>3236</v>
      </c>
      <c r="U545" s="865"/>
    </row>
    <row r="546" spans="1:21" ht="15">
      <c r="A546" s="672"/>
      <c r="B546" s="861" t="s">
        <v>3237</v>
      </c>
      <c r="C546" s="861" t="s">
        <v>3238</v>
      </c>
      <c r="D546" s="861" t="s">
        <v>371</v>
      </c>
      <c r="E546" s="861"/>
      <c r="F546" s="862"/>
      <c r="G546" s="869">
        <v>1.4132372630000001</v>
      </c>
      <c r="H546" s="874">
        <v>160228090.41999999</v>
      </c>
      <c r="I546" s="871"/>
      <c r="J546" s="862">
        <v>0.17799999999999999</v>
      </c>
      <c r="K546" s="868">
        <f t="shared" si="54"/>
        <v>316</v>
      </c>
      <c r="L546" s="861" t="s">
        <v>3239</v>
      </c>
      <c r="M546" s="671">
        <f t="shared" si="55"/>
        <v>544</v>
      </c>
      <c r="N546" s="671" t="str">
        <f t="shared" si="56"/>
        <v>N/A</v>
      </c>
      <c r="O546" s="671">
        <f t="shared" si="57"/>
        <v>294</v>
      </c>
      <c r="P546" s="861" t="s">
        <v>943</v>
      </c>
      <c r="Q546" s="861" t="s">
        <v>3240</v>
      </c>
      <c r="R546" s="861" t="s">
        <v>994</v>
      </c>
      <c r="S546" s="861" t="s">
        <v>3241</v>
      </c>
      <c r="T546" s="866" t="s">
        <v>3242</v>
      </c>
      <c r="U546" s="865"/>
    </row>
    <row r="547" spans="1:21" ht="15">
      <c r="A547" s="857"/>
      <c r="B547" s="861" t="s">
        <v>3243</v>
      </c>
      <c r="C547" s="861" t="s">
        <v>3244</v>
      </c>
      <c r="D547" s="861" t="s">
        <v>371</v>
      </c>
      <c r="E547" s="861"/>
      <c r="F547" s="862"/>
      <c r="G547" s="869">
        <v>3.7450756000000002E-2</v>
      </c>
      <c r="H547" s="874">
        <v>158415815.25</v>
      </c>
      <c r="I547" s="871"/>
      <c r="J547" s="861"/>
      <c r="K547" s="868">
        <f t="shared" si="54"/>
        <v>316</v>
      </c>
      <c r="L547" s="861" t="s">
        <v>434</v>
      </c>
      <c r="M547" s="671">
        <f t="shared" si="55"/>
        <v>545</v>
      </c>
      <c r="N547" s="671" t="str">
        <f t="shared" si="56"/>
        <v>N/A</v>
      </c>
      <c r="O547" s="671">
        <f t="shared" si="57"/>
        <v>708</v>
      </c>
      <c r="P547" s="861" t="s">
        <v>1724</v>
      </c>
      <c r="Q547" s="861" t="s">
        <v>556</v>
      </c>
      <c r="R547" s="861"/>
      <c r="S547" s="861" t="s">
        <v>1020</v>
      </c>
      <c r="T547" s="866" t="s">
        <v>3245</v>
      </c>
      <c r="U547" s="865"/>
    </row>
    <row r="548" spans="1:21" ht="15">
      <c r="A548" s="672"/>
      <c r="B548" s="861" t="s">
        <v>3246</v>
      </c>
      <c r="C548" s="861" t="s">
        <v>3247</v>
      </c>
      <c r="D548" s="861" t="s">
        <v>371</v>
      </c>
      <c r="E548" s="861"/>
      <c r="F548" s="862"/>
      <c r="G548" s="869">
        <v>0</v>
      </c>
      <c r="H548" s="874">
        <v>158385160.31999999</v>
      </c>
      <c r="I548" s="871"/>
      <c r="J548" s="862">
        <v>0.29099999999999998</v>
      </c>
      <c r="K548" s="868">
        <f t="shared" si="54"/>
        <v>316</v>
      </c>
      <c r="L548" s="861"/>
      <c r="M548" s="671">
        <f t="shared" si="55"/>
        <v>546</v>
      </c>
      <c r="N548" s="671" t="str">
        <f t="shared" si="56"/>
        <v>N/A</v>
      </c>
      <c r="O548" s="671">
        <f t="shared" si="57"/>
        <v>137</v>
      </c>
      <c r="P548" s="861" t="s">
        <v>3248</v>
      </c>
      <c r="Q548" s="861" t="s">
        <v>3249</v>
      </c>
      <c r="R548" s="861"/>
      <c r="S548" s="861" t="s">
        <v>1236</v>
      </c>
      <c r="T548" s="866" t="s">
        <v>3250</v>
      </c>
      <c r="U548" s="865"/>
    </row>
    <row r="549" spans="1:21" ht="15">
      <c r="A549" s="857"/>
      <c r="B549" s="861" t="s">
        <v>3251</v>
      </c>
      <c r="C549" s="861" t="s">
        <v>3252</v>
      </c>
      <c r="D549" s="861" t="s">
        <v>371</v>
      </c>
      <c r="E549" s="861"/>
      <c r="F549" s="862">
        <v>-6.3E-2</v>
      </c>
      <c r="G549" s="870" t="s">
        <v>3253</v>
      </c>
      <c r="H549" s="874">
        <v>157250457.21000001</v>
      </c>
      <c r="I549" s="871"/>
      <c r="J549" s="863" t="s">
        <v>3254</v>
      </c>
      <c r="K549" s="868">
        <f t="shared" si="54"/>
        <v>353</v>
      </c>
      <c r="L549" s="861" t="s">
        <v>809</v>
      </c>
      <c r="M549" s="671">
        <f t="shared" si="55"/>
        <v>547</v>
      </c>
      <c r="N549" s="671" t="str">
        <f t="shared" si="56"/>
        <v>N/A</v>
      </c>
      <c r="O549" s="671" t="str">
        <f t="shared" si="57"/>
        <v>N/A</v>
      </c>
      <c r="P549" s="861" t="s">
        <v>2938</v>
      </c>
      <c r="Q549" s="861" t="s">
        <v>3192</v>
      </c>
      <c r="R549" s="861" t="s">
        <v>3255</v>
      </c>
      <c r="S549" s="861" t="s">
        <v>3256</v>
      </c>
      <c r="T549" s="866" t="s">
        <v>3257</v>
      </c>
      <c r="U549" s="865"/>
    </row>
    <row r="550" spans="1:21" ht="15">
      <c r="A550" s="672"/>
      <c r="B550" s="861" t="s">
        <v>3258</v>
      </c>
      <c r="C550" s="861" t="s">
        <v>3259</v>
      </c>
      <c r="D550" s="861" t="s">
        <v>371</v>
      </c>
      <c r="E550" s="861"/>
      <c r="F550" s="862"/>
      <c r="G550" s="870" t="s">
        <v>3260</v>
      </c>
      <c r="H550" s="874">
        <v>156737770.03</v>
      </c>
      <c r="I550" s="871"/>
      <c r="J550" s="863" t="s">
        <v>3261</v>
      </c>
      <c r="K550" s="868">
        <f t="shared" si="54"/>
        <v>316</v>
      </c>
      <c r="L550" s="861"/>
      <c r="M550" s="671">
        <f t="shared" si="55"/>
        <v>548</v>
      </c>
      <c r="N550" s="671" t="str">
        <f t="shared" si="56"/>
        <v>N/A</v>
      </c>
      <c r="O550" s="671" t="str">
        <f t="shared" si="57"/>
        <v>N/A</v>
      </c>
      <c r="P550" s="861"/>
      <c r="Q550" s="861"/>
      <c r="R550" s="861"/>
      <c r="S550" s="861" t="s">
        <v>424</v>
      </c>
      <c r="T550" s="866" t="s">
        <v>3262</v>
      </c>
      <c r="U550" s="865"/>
    </row>
    <row r="551" spans="1:21" ht="15">
      <c r="A551" s="857"/>
      <c r="B551" s="861" t="s">
        <v>3263</v>
      </c>
      <c r="C551" s="861" t="s">
        <v>3264</v>
      </c>
      <c r="D551" s="861" t="s">
        <v>371</v>
      </c>
      <c r="E551" s="861"/>
      <c r="F551" s="862">
        <v>-0.28599999999999998</v>
      </c>
      <c r="G551" s="870" t="s">
        <v>3265</v>
      </c>
      <c r="H551" s="874">
        <v>156519284.59</v>
      </c>
      <c r="I551" s="871"/>
      <c r="J551" s="862">
        <v>0.24099999999999999</v>
      </c>
      <c r="K551" s="868">
        <f t="shared" si="54"/>
        <v>442</v>
      </c>
      <c r="L551" s="861" t="s">
        <v>424</v>
      </c>
      <c r="M551" s="671">
        <f t="shared" si="55"/>
        <v>549</v>
      </c>
      <c r="N551" s="671" t="str">
        <f t="shared" si="56"/>
        <v>N/A</v>
      </c>
      <c r="O551" s="671">
        <f t="shared" si="57"/>
        <v>196</v>
      </c>
      <c r="P551" s="861" t="s">
        <v>1217</v>
      </c>
      <c r="Q551" s="861"/>
      <c r="R551" s="863" t="s">
        <v>1017</v>
      </c>
      <c r="S551" s="861" t="s">
        <v>563</v>
      </c>
      <c r="T551" s="866" t="s">
        <v>3266</v>
      </c>
      <c r="U551" s="865"/>
    </row>
    <row r="552" spans="1:21" ht="15">
      <c r="A552" s="672"/>
      <c r="B552" s="861" t="s">
        <v>3267</v>
      </c>
      <c r="C552" s="861" t="s">
        <v>3268</v>
      </c>
      <c r="D552" s="861" t="s">
        <v>371</v>
      </c>
      <c r="E552" s="861"/>
      <c r="F552" s="862"/>
      <c r="G552" s="869">
        <v>1.106854826</v>
      </c>
      <c r="H552" s="874">
        <v>156423869.46000001</v>
      </c>
      <c r="I552" s="871"/>
      <c r="J552" s="862">
        <v>0.158</v>
      </c>
      <c r="K552" s="868">
        <f t="shared" si="54"/>
        <v>316</v>
      </c>
      <c r="L552" s="861"/>
      <c r="M552" s="671">
        <f t="shared" si="55"/>
        <v>550</v>
      </c>
      <c r="N552" s="671" t="str">
        <f t="shared" si="56"/>
        <v>N/A</v>
      </c>
      <c r="O552" s="671">
        <f t="shared" si="57"/>
        <v>321</v>
      </c>
      <c r="P552" s="861" t="s">
        <v>3269</v>
      </c>
      <c r="Q552" s="861"/>
      <c r="R552" s="861"/>
      <c r="S552" s="861" t="s">
        <v>994</v>
      </c>
      <c r="T552" s="866" t="s">
        <v>3270</v>
      </c>
      <c r="U552" s="865"/>
    </row>
    <row r="553" spans="1:21" ht="15">
      <c r="A553" s="857"/>
      <c r="B553" s="861" t="s">
        <v>3271</v>
      </c>
      <c r="C553" s="861" t="s">
        <v>3272</v>
      </c>
      <c r="D553" s="861" t="s">
        <v>371</v>
      </c>
      <c r="E553" s="861"/>
      <c r="F553" s="862"/>
      <c r="G553" s="869">
        <v>0.19643870499999999</v>
      </c>
      <c r="H553" s="874">
        <v>155470215.52000001</v>
      </c>
      <c r="I553" s="871"/>
      <c r="J553" s="862">
        <v>0.41899999999999998</v>
      </c>
      <c r="K553" s="868">
        <f t="shared" si="54"/>
        <v>316</v>
      </c>
      <c r="L553" s="861"/>
      <c r="M553" s="671">
        <f t="shared" si="55"/>
        <v>551</v>
      </c>
      <c r="N553" s="671" t="str">
        <f t="shared" si="56"/>
        <v>N/A</v>
      </c>
      <c r="O553" s="671">
        <f t="shared" si="57"/>
        <v>51</v>
      </c>
      <c r="P553" s="861" t="s">
        <v>3255</v>
      </c>
      <c r="Q553" s="861"/>
      <c r="R553" s="861"/>
      <c r="S553" s="861" t="s">
        <v>392</v>
      </c>
      <c r="T553" s="866" t="s">
        <v>3273</v>
      </c>
      <c r="U553" s="865"/>
    </row>
    <row r="554" spans="1:21" ht="15">
      <c r="A554" s="672"/>
      <c r="B554" s="861" t="s">
        <v>3274</v>
      </c>
      <c r="C554" s="861" t="s">
        <v>3275</v>
      </c>
      <c r="D554" s="861" t="s">
        <v>371</v>
      </c>
      <c r="E554" s="861"/>
      <c r="F554" s="862"/>
      <c r="G554" s="869">
        <v>4.5400950000000001E-3</v>
      </c>
      <c r="H554" s="874">
        <v>155442487.30000001</v>
      </c>
      <c r="I554" s="872" t="s">
        <v>3276</v>
      </c>
      <c r="J554" s="862">
        <v>0.309</v>
      </c>
      <c r="K554" s="868">
        <f t="shared" si="54"/>
        <v>316</v>
      </c>
      <c r="L554" s="861"/>
      <c r="M554" s="671">
        <f t="shared" si="55"/>
        <v>552</v>
      </c>
      <c r="N554" s="671" t="str">
        <f t="shared" si="56"/>
        <v>N/A</v>
      </c>
      <c r="O554" s="671">
        <f t="shared" si="57"/>
        <v>117</v>
      </c>
      <c r="P554" s="861"/>
      <c r="Q554" s="861"/>
      <c r="R554" s="861"/>
      <c r="S554" s="861" t="s">
        <v>424</v>
      </c>
      <c r="T554" s="866" t="s">
        <v>3277</v>
      </c>
      <c r="U554" s="865"/>
    </row>
    <row r="555" spans="1:21" ht="15">
      <c r="A555" s="857"/>
      <c r="B555" s="861" t="s">
        <v>3278</v>
      </c>
      <c r="C555" s="861" t="s">
        <v>3279</v>
      </c>
      <c r="D555" s="861" t="s">
        <v>371</v>
      </c>
      <c r="E555" s="861"/>
      <c r="F555" s="862"/>
      <c r="G555" s="869">
        <v>0.91545574600000001</v>
      </c>
      <c r="H555" s="874">
        <v>155079147.59999999</v>
      </c>
      <c r="I555" s="871">
        <v>103.07</v>
      </c>
      <c r="J555" s="863" t="s">
        <v>3280</v>
      </c>
      <c r="K555" s="868">
        <f t="shared" si="54"/>
        <v>316</v>
      </c>
      <c r="L555" s="861"/>
      <c r="M555" s="671">
        <f t="shared" si="55"/>
        <v>553</v>
      </c>
      <c r="N555" s="671">
        <f t="shared" si="56"/>
        <v>31</v>
      </c>
      <c r="O555" s="671" t="str">
        <f t="shared" si="57"/>
        <v>N/A</v>
      </c>
      <c r="P555" s="861" t="s">
        <v>524</v>
      </c>
      <c r="Q555" s="861"/>
      <c r="R555" s="861"/>
      <c r="S555" s="861" t="s">
        <v>424</v>
      </c>
      <c r="T555" s="866" t="s">
        <v>3281</v>
      </c>
      <c r="U555" s="865"/>
    </row>
    <row r="556" spans="1:21" ht="15">
      <c r="A556" s="672"/>
      <c r="B556" s="861" t="s">
        <v>3282</v>
      </c>
      <c r="C556" s="861" t="s">
        <v>3283</v>
      </c>
      <c r="D556" s="861" t="s">
        <v>371</v>
      </c>
      <c r="E556" s="861"/>
      <c r="F556" s="862"/>
      <c r="G556" s="870" t="s">
        <v>3284</v>
      </c>
      <c r="H556" s="874">
        <v>154832249.16999999</v>
      </c>
      <c r="I556" s="871"/>
      <c r="J556" s="862">
        <v>0.17599999999999999</v>
      </c>
      <c r="K556" s="868">
        <f t="shared" si="54"/>
        <v>316</v>
      </c>
      <c r="L556" s="861"/>
      <c r="M556" s="671">
        <f t="shared" si="55"/>
        <v>554</v>
      </c>
      <c r="N556" s="671" t="str">
        <f t="shared" si="56"/>
        <v>N/A</v>
      </c>
      <c r="O556" s="671">
        <f t="shared" si="57"/>
        <v>297</v>
      </c>
      <c r="P556" s="861" t="s">
        <v>1703</v>
      </c>
      <c r="Q556" s="861" t="s">
        <v>3285</v>
      </c>
      <c r="R556" s="861"/>
      <c r="S556" s="861" t="s">
        <v>979</v>
      </c>
      <c r="T556" s="866" t="s">
        <v>3286</v>
      </c>
      <c r="U556" s="865"/>
    </row>
    <row r="557" spans="1:21" ht="15">
      <c r="A557" s="857"/>
      <c r="B557" s="861" t="s">
        <v>3287</v>
      </c>
      <c r="C557" s="861" t="s">
        <v>3288</v>
      </c>
      <c r="D557" s="861" t="s">
        <v>371</v>
      </c>
      <c r="E557" s="861"/>
      <c r="F557" s="862"/>
      <c r="G557" s="869">
        <v>9.8420412999999998E-2</v>
      </c>
      <c r="H557" s="874">
        <v>154330818.88</v>
      </c>
      <c r="I557" s="871"/>
      <c r="J557" s="862">
        <v>0.182</v>
      </c>
      <c r="K557" s="868">
        <f t="shared" si="54"/>
        <v>316</v>
      </c>
      <c r="L557" s="861" t="s">
        <v>424</v>
      </c>
      <c r="M557" s="671">
        <f t="shared" si="55"/>
        <v>555</v>
      </c>
      <c r="N557" s="671" t="str">
        <f t="shared" si="56"/>
        <v>N/A</v>
      </c>
      <c r="O557" s="671">
        <f t="shared" si="57"/>
        <v>285</v>
      </c>
      <c r="P557" s="861" t="s">
        <v>2521</v>
      </c>
      <c r="Q557" s="861"/>
      <c r="R557" s="861" t="s">
        <v>424</v>
      </c>
      <c r="S557" s="861" t="s">
        <v>454</v>
      </c>
      <c r="T557" s="866" t="s">
        <v>3289</v>
      </c>
      <c r="U557" s="865"/>
    </row>
    <row r="558" spans="1:21" ht="15">
      <c r="A558" s="672"/>
      <c r="B558" s="861" t="s">
        <v>3290</v>
      </c>
      <c r="C558" s="861" t="s">
        <v>3291</v>
      </c>
      <c r="D558" s="861" t="s">
        <v>371</v>
      </c>
      <c r="E558" s="861"/>
      <c r="F558" s="862"/>
      <c r="G558" s="869">
        <v>0.86723219600000001</v>
      </c>
      <c r="H558" s="874">
        <v>153138980.59</v>
      </c>
      <c r="I558" s="871"/>
      <c r="J558" s="862">
        <v>0.128</v>
      </c>
      <c r="K558" s="868">
        <f t="shared" si="54"/>
        <v>316</v>
      </c>
      <c r="L558" s="861"/>
      <c r="M558" s="671">
        <f t="shared" si="55"/>
        <v>556</v>
      </c>
      <c r="N558" s="671" t="str">
        <f t="shared" si="56"/>
        <v>N/A</v>
      </c>
      <c r="O558" s="671">
        <f t="shared" si="57"/>
        <v>405</v>
      </c>
      <c r="P558" s="861" t="s">
        <v>1640</v>
      </c>
      <c r="Q558" s="861"/>
      <c r="R558" s="861"/>
      <c r="S558" s="861" t="s">
        <v>404</v>
      </c>
      <c r="T558" s="866" t="s">
        <v>3292</v>
      </c>
      <c r="U558" s="865"/>
    </row>
    <row r="559" spans="1:21" ht="15">
      <c r="A559" s="857"/>
      <c r="B559" s="861" t="s">
        <v>3293</v>
      </c>
      <c r="C559" s="861" t="s">
        <v>3294</v>
      </c>
      <c r="D559" s="861" t="s">
        <v>371</v>
      </c>
      <c r="E559" s="861"/>
      <c r="F559" s="862">
        <v>3.3000000000000002E-2</v>
      </c>
      <c r="G559" s="869">
        <v>14.860697500000001</v>
      </c>
      <c r="H559" s="874">
        <v>152739317.75999999</v>
      </c>
      <c r="I559" s="871"/>
      <c r="J559" s="863"/>
      <c r="K559" s="868">
        <f t="shared" si="54"/>
        <v>278</v>
      </c>
      <c r="L559" s="861"/>
      <c r="M559" s="671">
        <f t="shared" si="55"/>
        <v>557</v>
      </c>
      <c r="N559" s="671" t="str">
        <f t="shared" si="56"/>
        <v>N/A</v>
      </c>
      <c r="O559" s="671">
        <f t="shared" si="57"/>
        <v>708</v>
      </c>
      <c r="P559" s="861" t="s">
        <v>717</v>
      </c>
      <c r="Q559" s="861"/>
      <c r="R559" s="861"/>
      <c r="S559" s="861" t="s">
        <v>487</v>
      </c>
      <c r="T559" s="866" t="s">
        <v>3295</v>
      </c>
      <c r="U559" s="865"/>
    </row>
    <row r="560" spans="1:21" ht="15">
      <c r="A560" s="672"/>
      <c r="B560" s="861" t="s">
        <v>3296</v>
      </c>
      <c r="C560" s="861" t="s">
        <v>3297</v>
      </c>
      <c r="D560" s="861" t="s">
        <v>371</v>
      </c>
      <c r="E560" s="861"/>
      <c r="F560" s="862"/>
      <c r="G560" s="870" t="s">
        <v>3298</v>
      </c>
      <c r="H560" s="874">
        <v>150730098.91999999</v>
      </c>
      <c r="I560" s="871"/>
      <c r="J560" s="862">
        <v>0.65700000000000003</v>
      </c>
      <c r="K560" s="868">
        <f t="shared" si="54"/>
        <v>316</v>
      </c>
      <c r="L560" s="861"/>
      <c r="M560" s="671">
        <f t="shared" si="55"/>
        <v>558</v>
      </c>
      <c r="N560" s="671" t="str">
        <f t="shared" si="56"/>
        <v>N/A</v>
      </c>
      <c r="O560" s="671">
        <f t="shared" si="57"/>
        <v>8</v>
      </c>
      <c r="P560" s="861"/>
      <c r="Q560" s="861"/>
      <c r="R560" s="861"/>
      <c r="S560" s="861" t="s">
        <v>424</v>
      </c>
      <c r="T560" s="866" t="s">
        <v>3299</v>
      </c>
      <c r="U560" s="865"/>
    </row>
    <row r="561" spans="1:21" ht="15">
      <c r="A561" s="857"/>
      <c r="B561" s="861" t="s">
        <v>3300</v>
      </c>
      <c r="C561" s="861" t="s">
        <v>3301</v>
      </c>
      <c r="D561" s="861" t="s">
        <v>371</v>
      </c>
      <c r="E561" s="861"/>
      <c r="F561" s="862"/>
      <c r="G561" s="869">
        <v>0.22139700800000001</v>
      </c>
      <c r="H561" s="874">
        <v>150042261.65000001</v>
      </c>
      <c r="I561" s="871"/>
      <c r="J561" s="862">
        <v>0.1</v>
      </c>
      <c r="K561" s="868">
        <f t="shared" si="54"/>
        <v>316</v>
      </c>
      <c r="L561" s="861"/>
      <c r="M561" s="671">
        <f t="shared" si="55"/>
        <v>559</v>
      </c>
      <c r="N561" s="671" t="str">
        <f t="shared" si="56"/>
        <v>N/A</v>
      </c>
      <c r="O561" s="671">
        <f t="shared" si="57"/>
        <v>495</v>
      </c>
      <c r="P561" s="861" t="s">
        <v>1805</v>
      </c>
      <c r="Q561" s="861" t="s">
        <v>2539</v>
      </c>
      <c r="R561" s="861"/>
      <c r="S561" s="861" t="s">
        <v>1474</v>
      </c>
      <c r="T561" s="866" t="s">
        <v>3302</v>
      </c>
      <c r="U561" s="865"/>
    </row>
    <row r="562" spans="1:21" ht="15">
      <c r="A562" s="672"/>
      <c r="B562" s="861" t="s">
        <v>3303</v>
      </c>
      <c r="C562" s="861" t="s">
        <v>3304</v>
      </c>
      <c r="D562" s="861" t="s">
        <v>371</v>
      </c>
      <c r="E562" s="861"/>
      <c r="F562" s="862"/>
      <c r="G562" s="869">
        <v>0.55334892999999996</v>
      </c>
      <c r="H562" s="874">
        <v>149637495.43000001</v>
      </c>
      <c r="I562" s="871"/>
      <c r="J562" s="862">
        <v>0.33200000000000002</v>
      </c>
      <c r="K562" s="868">
        <f t="shared" si="54"/>
        <v>316</v>
      </c>
      <c r="L562" s="861"/>
      <c r="M562" s="671">
        <f t="shared" si="55"/>
        <v>560</v>
      </c>
      <c r="N562" s="671" t="str">
        <f t="shared" si="56"/>
        <v>N/A</v>
      </c>
      <c r="O562" s="671">
        <f t="shared" si="57"/>
        <v>94</v>
      </c>
      <c r="P562" s="863" t="s">
        <v>3305</v>
      </c>
      <c r="Q562" s="861"/>
      <c r="R562" s="863" t="s">
        <v>1017</v>
      </c>
      <c r="S562" s="861" t="s">
        <v>424</v>
      </c>
      <c r="T562" s="866" t="s">
        <v>3306</v>
      </c>
      <c r="U562" s="865"/>
    </row>
    <row r="563" spans="1:21" ht="15">
      <c r="A563" s="857"/>
      <c r="B563" s="861" t="s">
        <v>3307</v>
      </c>
      <c r="C563" s="861" t="s">
        <v>3308</v>
      </c>
      <c r="D563" s="861" t="s">
        <v>371</v>
      </c>
      <c r="E563" s="861"/>
      <c r="F563" s="862">
        <v>7.0000000000000007E-2</v>
      </c>
      <c r="G563" s="869">
        <v>2.3976823060000001</v>
      </c>
      <c r="H563" s="874">
        <v>149022053.63</v>
      </c>
      <c r="I563" s="871">
        <v>71.09</v>
      </c>
      <c r="J563" s="863" t="s">
        <v>3309</v>
      </c>
      <c r="K563" s="868">
        <f t="shared" si="54"/>
        <v>229</v>
      </c>
      <c r="L563" s="861"/>
      <c r="M563" s="671">
        <f t="shared" si="55"/>
        <v>561</v>
      </c>
      <c r="N563" s="671">
        <f t="shared" si="56"/>
        <v>55</v>
      </c>
      <c r="O563" s="671" t="str">
        <f t="shared" si="57"/>
        <v>N/A</v>
      </c>
      <c r="P563" s="861" t="s">
        <v>3310</v>
      </c>
      <c r="Q563" s="861"/>
      <c r="R563" s="861"/>
      <c r="S563" s="861" t="s">
        <v>734</v>
      </c>
      <c r="T563" s="866" t="s">
        <v>3311</v>
      </c>
      <c r="U563" s="865"/>
    </row>
    <row r="564" spans="1:21" ht="15">
      <c r="A564" s="672"/>
      <c r="B564" s="861" t="s">
        <v>3312</v>
      </c>
      <c r="C564" s="861" t="s">
        <v>3313</v>
      </c>
      <c r="D564" s="861" t="s">
        <v>371</v>
      </c>
      <c r="E564" s="861"/>
      <c r="F564" s="862">
        <v>-9.7000000000000003E-2</v>
      </c>
      <c r="G564" s="870" t="s">
        <v>3314</v>
      </c>
      <c r="H564" s="874">
        <v>148776704.99000001</v>
      </c>
      <c r="I564" s="871"/>
      <c r="J564" s="862">
        <v>0.26100000000000001</v>
      </c>
      <c r="K564" s="868">
        <f t="shared" si="54"/>
        <v>378</v>
      </c>
      <c r="L564" s="861"/>
      <c r="M564" s="671">
        <f t="shared" si="55"/>
        <v>562</v>
      </c>
      <c r="N564" s="671" t="str">
        <f t="shared" si="56"/>
        <v>N/A</v>
      </c>
      <c r="O564" s="671">
        <f t="shared" si="57"/>
        <v>164</v>
      </c>
      <c r="P564" s="861"/>
      <c r="Q564" s="861"/>
      <c r="R564" s="861"/>
      <c r="S564" s="861" t="s">
        <v>404</v>
      </c>
      <c r="T564" s="866" t="s">
        <v>3315</v>
      </c>
      <c r="U564" s="865"/>
    </row>
    <row r="565" spans="1:21" ht="15">
      <c r="A565" s="857"/>
      <c r="B565" s="861" t="s">
        <v>3316</v>
      </c>
      <c r="C565" s="861" t="s">
        <v>3317</v>
      </c>
      <c r="D565" s="861" t="s">
        <v>371</v>
      </c>
      <c r="E565" s="861"/>
      <c r="F565" s="862">
        <v>6.7000000000000004E-2</v>
      </c>
      <c r="G565" s="869">
        <v>18.519153750000001</v>
      </c>
      <c r="H565" s="874">
        <v>147982916.08000001</v>
      </c>
      <c r="I565" s="871"/>
      <c r="J565" s="863"/>
      <c r="K565" s="868">
        <f t="shared" si="54"/>
        <v>235</v>
      </c>
      <c r="L565" s="861"/>
      <c r="M565" s="671">
        <f t="shared" si="55"/>
        <v>563</v>
      </c>
      <c r="N565" s="671" t="str">
        <f t="shared" si="56"/>
        <v>N/A</v>
      </c>
      <c r="O565" s="671">
        <f t="shared" si="57"/>
        <v>708</v>
      </c>
      <c r="P565" s="861" t="s">
        <v>3318</v>
      </c>
      <c r="Q565" s="861"/>
      <c r="R565" s="861"/>
      <c r="S565" s="861" t="s">
        <v>404</v>
      </c>
      <c r="T565" s="866" t="s">
        <v>3319</v>
      </c>
      <c r="U565" s="865"/>
    </row>
    <row r="566" spans="1:21" ht="15">
      <c r="A566" s="672"/>
      <c r="B566" s="861" t="s">
        <v>3320</v>
      </c>
      <c r="C566" s="861" t="s">
        <v>3321</v>
      </c>
      <c r="D566" s="861" t="s">
        <v>371</v>
      </c>
      <c r="E566" s="861"/>
      <c r="F566" s="862"/>
      <c r="G566" s="869">
        <v>0</v>
      </c>
      <c r="H566" s="874">
        <v>145867314.37</v>
      </c>
      <c r="I566" s="871">
        <v>78.75</v>
      </c>
      <c r="J566" s="863" t="s">
        <v>3322</v>
      </c>
      <c r="K566" s="868">
        <f t="shared" si="54"/>
        <v>316</v>
      </c>
      <c r="L566" s="861" t="s">
        <v>526</v>
      </c>
      <c r="M566" s="671">
        <f t="shared" si="55"/>
        <v>564</v>
      </c>
      <c r="N566" s="671">
        <f t="shared" si="56"/>
        <v>48</v>
      </c>
      <c r="O566" s="671" t="str">
        <f t="shared" si="57"/>
        <v>N/A</v>
      </c>
      <c r="P566" s="861" t="s">
        <v>1122</v>
      </c>
      <c r="Q566" s="861" t="s">
        <v>3323</v>
      </c>
      <c r="R566" s="861" t="s">
        <v>2069</v>
      </c>
      <c r="S566" s="861" t="s">
        <v>3324</v>
      </c>
      <c r="T566" s="866" t="s">
        <v>3325</v>
      </c>
      <c r="U566" s="865"/>
    </row>
    <row r="567" spans="1:21" ht="15">
      <c r="A567" s="857"/>
      <c r="B567" s="861" t="s">
        <v>3326</v>
      </c>
      <c r="C567" s="861" t="s">
        <v>3327</v>
      </c>
      <c r="D567" s="861" t="s">
        <v>371</v>
      </c>
      <c r="E567" s="861"/>
      <c r="F567" s="862">
        <v>-0.223</v>
      </c>
      <c r="G567" s="870" t="s">
        <v>3328</v>
      </c>
      <c r="H567" s="874">
        <v>145644126.33000001</v>
      </c>
      <c r="I567" s="871"/>
      <c r="J567" s="862">
        <v>0.14699999999999999</v>
      </c>
      <c r="K567" s="868">
        <f t="shared" si="54"/>
        <v>424</v>
      </c>
      <c r="L567" s="861"/>
      <c r="M567" s="671">
        <f t="shared" si="55"/>
        <v>565</v>
      </c>
      <c r="N567" s="671" t="str">
        <f t="shared" si="56"/>
        <v>N/A</v>
      </c>
      <c r="O567" s="671">
        <f t="shared" si="57"/>
        <v>352</v>
      </c>
      <c r="P567" s="861" t="s">
        <v>3329</v>
      </c>
      <c r="Q567" s="861"/>
      <c r="R567" s="861"/>
      <c r="S567" s="861" t="s">
        <v>404</v>
      </c>
      <c r="T567" s="866" t="s">
        <v>3330</v>
      </c>
      <c r="U567" s="865"/>
    </row>
    <row r="568" spans="1:21" ht="15">
      <c r="A568" s="672"/>
      <c r="B568" s="861" t="s">
        <v>3331</v>
      </c>
      <c r="C568" s="861" t="s">
        <v>3332</v>
      </c>
      <c r="D568" s="861" t="s">
        <v>371</v>
      </c>
      <c r="E568" s="861"/>
      <c r="F568" s="862"/>
      <c r="G568" s="869">
        <v>1.9238016419999999</v>
      </c>
      <c r="H568" s="874">
        <v>145446935.77000001</v>
      </c>
      <c r="I568" s="871"/>
      <c r="J568" s="863" t="s">
        <v>3333</v>
      </c>
      <c r="K568" s="868">
        <f t="shared" si="54"/>
        <v>316</v>
      </c>
      <c r="L568" s="861" t="s">
        <v>2069</v>
      </c>
      <c r="M568" s="671">
        <f t="shared" si="55"/>
        <v>566</v>
      </c>
      <c r="N568" s="671" t="str">
        <f t="shared" si="56"/>
        <v>N/A</v>
      </c>
      <c r="O568" s="671" t="str">
        <f t="shared" si="57"/>
        <v>N/A</v>
      </c>
      <c r="P568" s="861" t="s">
        <v>486</v>
      </c>
      <c r="Q568" s="861"/>
      <c r="R568" s="861" t="s">
        <v>563</v>
      </c>
      <c r="S568" s="861" t="s">
        <v>2534</v>
      </c>
      <c r="T568" s="866" t="s">
        <v>3334</v>
      </c>
      <c r="U568" s="865"/>
    </row>
    <row r="569" spans="1:21" ht="15">
      <c r="A569" s="857"/>
      <c r="B569" s="861" t="s">
        <v>3335</v>
      </c>
      <c r="C569" s="861" t="s">
        <v>3336</v>
      </c>
      <c r="D569" s="861" t="s">
        <v>371</v>
      </c>
      <c r="E569" s="861"/>
      <c r="F569" s="862">
        <v>-0.125</v>
      </c>
      <c r="G569" s="870" t="s">
        <v>3337</v>
      </c>
      <c r="H569" s="874">
        <v>145412549.28999999</v>
      </c>
      <c r="I569" s="871"/>
      <c r="J569" s="862">
        <v>0.3</v>
      </c>
      <c r="K569" s="868">
        <f t="shared" si="54"/>
        <v>393</v>
      </c>
      <c r="L569" s="861"/>
      <c r="M569" s="671">
        <f t="shared" si="55"/>
        <v>567</v>
      </c>
      <c r="N569" s="671" t="str">
        <f t="shared" si="56"/>
        <v>N/A</v>
      </c>
      <c r="O569" s="671">
        <f t="shared" si="57"/>
        <v>130</v>
      </c>
      <c r="P569" s="861"/>
      <c r="Q569" s="861"/>
      <c r="R569" s="861"/>
      <c r="S569" s="861" t="s">
        <v>424</v>
      </c>
      <c r="T569" s="866" t="s">
        <v>3338</v>
      </c>
      <c r="U569" s="865"/>
    </row>
    <row r="570" spans="1:21" ht="15">
      <c r="A570" s="672"/>
      <c r="B570" s="861" t="s">
        <v>3339</v>
      </c>
      <c r="C570" s="861" t="s">
        <v>3340</v>
      </c>
      <c r="D570" s="861" t="s">
        <v>371</v>
      </c>
      <c r="E570" s="861"/>
      <c r="F570" s="862">
        <v>5.2999999999999999E-2</v>
      </c>
      <c r="G570" s="869">
        <v>4.519088569</v>
      </c>
      <c r="H570" s="874">
        <v>143912302.59999999</v>
      </c>
      <c r="I570" s="871"/>
      <c r="J570" s="863"/>
      <c r="K570" s="868">
        <f t="shared" si="54"/>
        <v>251</v>
      </c>
      <c r="L570" s="861"/>
      <c r="M570" s="671">
        <f t="shared" si="55"/>
        <v>568</v>
      </c>
      <c r="N570" s="671" t="str">
        <f t="shared" si="56"/>
        <v>N/A</v>
      </c>
      <c r="O570" s="671">
        <f t="shared" si="57"/>
        <v>708</v>
      </c>
      <c r="P570" s="861"/>
      <c r="Q570" s="861"/>
      <c r="R570" s="861"/>
      <c r="S570" s="861" t="s">
        <v>718</v>
      </c>
      <c r="T570" s="866" t="s">
        <v>3341</v>
      </c>
      <c r="U570" s="865"/>
    </row>
    <row r="571" spans="1:21" ht="15">
      <c r="A571" s="857"/>
      <c r="B571" s="861" t="s">
        <v>3342</v>
      </c>
      <c r="C571" s="861" t="s">
        <v>3343</v>
      </c>
      <c r="D571" s="861" t="s">
        <v>371</v>
      </c>
      <c r="E571" s="861"/>
      <c r="F571" s="862"/>
      <c r="G571" s="869">
        <v>1.511693889</v>
      </c>
      <c r="H571" s="874">
        <v>143691696</v>
      </c>
      <c r="I571" s="872" t="s">
        <v>3344</v>
      </c>
      <c r="J571" s="862">
        <v>0.19900000000000001</v>
      </c>
      <c r="K571" s="868">
        <f t="shared" si="54"/>
        <v>316</v>
      </c>
      <c r="L571" s="861"/>
      <c r="M571" s="671">
        <f t="shared" si="55"/>
        <v>569</v>
      </c>
      <c r="N571" s="671" t="str">
        <f t="shared" si="56"/>
        <v>N/A</v>
      </c>
      <c r="O571" s="671">
        <f t="shared" si="57"/>
        <v>254</v>
      </c>
      <c r="P571" s="861" t="s">
        <v>3345</v>
      </c>
      <c r="Q571" s="861" t="s">
        <v>3346</v>
      </c>
      <c r="R571" s="861" t="s">
        <v>1664</v>
      </c>
      <c r="S571" s="861" t="s">
        <v>3347</v>
      </c>
      <c r="T571" s="866" t="s">
        <v>3348</v>
      </c>
      <c r="U571" s="865"/>
    </row>
    <row r="572" spans="1:21" ht="15">
      <c r="A572" s="672"/>
      <c r="B572" s="861" t="s">
        <v>3349</v>
      </c>
      <c r="C572" s="861" t="s">
        <v>3350</v>
      </c>
      <c r="D572" s="861" t="s">
        <v>371</v>
      </c>
      <c r="E572" s="861"/>
      <c r="F572" s="862"/>
      <c r="G572" s="869">
        <v>5.3787060430000002</v>
      </c>
      <c r="H572" s="874">
        <v>143200070.59999999</v>
      </c>
      <c r="I572" s="871">
        <v>345.73</v>
      </c>
      <c r="J572" s="863" t="s">
        <v>3351</v>
      </c>
      <c r="K572" s="868">
        <f t="shared" si="54"/>
        <v>316</v>
      </c>
      <c r="L572" s="861"/>
      <c r="M572" s="671">
        <f t="shared" si="55"/>
        <v>570</v>
      </c>
      <c r="N572" s="671">
        <f t="shared" si="56"/>
        <v>1</v>
      </c>
      <c r="O572" s="671" t="str">
        <f t="shared" si="57"/>
        <v>N/A</v>
      </c>
      <c r="P572" s="861" t="s">
        <v>3352</v>
      </c>
      <c r="Q572" s="861"/>
      <c r="R572" s="861"/>
      <c r="S572" s="861" t="s">
        <v>392</v>
      </c>
      <c r="T572" s="866" t="s">
        <v>3353</v>
      </c>
      <c r="U572" s="865"/>
    </row>
    <row r="573" spans="1:21" ht="15">
      <c r="A573" s="857"/>
      <c r="B573" s="861" t="s">
        <v>3354</v>
      </c>
      <c r="C573" s="861" t="s">
        <v>3355</v>
      </c>
      <c r="D573" s="861" t="s">
        <v>371</v>
      </c>
      <c r="E573" s="861"/>
      <c r="F573" s="862">
        <v>-0.25</v>
      </c>
      <c r="G573" s="870" t="s">
        <v>3356</v>
      </c>
      <c r="H573" s="874">
        <v>142193470.11000001</v>
      </c>
      <c r="I573" s="872" t="s">
        <v>3357</v>
      </c>
      <c r="J573" s="862">
        <v>0.156</v>
      </c>
      <c r="K573" s="868">
        <f t="shared" si="54"/>
        <v>434</v>
      </c>
      <c r="L573" s="861"/>
      <c r="M573" s="671">
        <f t="shared" si="55"/>
        <v>571</v>
      </c>
      <c r="N573" s="671" t="str">
        <f t="shared" si="56"/>
        <v>N/A</v>
      </c>
      <c r="O573" s="671">
        <f t="shared" si="57"/>
        <v>326</v>
      </c>
      <c r="P573" s="861" t="s">
        <v>3358</v>
      </c>
      <c r="Q573" s="861"/>
      <c r="R573" s="861"/>
      <c r="S573" s="861" t="s">
        <v>1081</v>
      </c>
      <c r="T573" s="866" t="s">
        <v>3359</v>
      </c>
      <c r="U573" s="865"/>
    </row>
    <row r="574" spans="1:21" ht="15">
      <c r="A574" s="672"/>
      <c r="B574" s="861" t="s">
        <v>3360</v>
      </c>
      <c r="C574" s="861" t="s">
        <v>3361</v>
      </c>
      <c r="D574" s="861" t="s">
        <v>371</v>
      </c>
      <c r="E574" s="861"/>
      <c r="F574" s="862">
        <v>0.19700000000000001</v>
      </c>
      <c r="G574" s="870" t="s">
        <v>3362</v>
      </c>
      <c r="H574" s="874">
        <v>140494637.63</v>
      </c>
      <c r="I574" s="871"/>
      <c r="J574" s="861"/>
      <c r="K574" s="868">
        <f t="shared" si="54"/>
        <v>96</v>
      </c>
      <c r="L574" s="861"/>
      <c r="M574" s="671">
        <f t="shared" si="55"/>
        <v>572</v>
      </c>
      <c r="N574" s="671" t="str">
        <f t="shared" si="56"/>
        <v>N/A</v>
      </c>
      <c r="O574" s="671">
        <f t="shared" si="57"/>
        <v>708</v>
      </c>
      <c r="P574" s="861" t="s">
        <v>2436</v>
      </c>
      <c r="Q574" s="861" t="s">
        <v>3363</v>
      </c>
      <c r="R574" s="861"/>
      <c r="S574" s="861" t="s">
        <v>3364</v>
      </c>
      <c r="T574" s="866" t="s">
        <v>3365</v>
      </c>
      <c r="U574" s="865"/>
    </row>
    <row r="575" spans="1:21" ht="15">
      <c r="A575" s="857"/>
      <c r="B575" s="861" t="s">
        <v>3366</v>
      </c>
      <c r="C575" s="861" t="s">
        <v>3367</v>
      </c>
      <c r="D575" s="861" t="s">
        <v>371</v>
      </c>
      <c r="E575" s="861"/>
      <c r="F575" s="862"/>
      <c r="G575" s="869">
        <v>9.1072693030000007</v>
      </c>
      <c r="H575" s="874">
        <v>140258260.50999999</v>
      </c>
      <c r="I575" s="872" t="s">
        <v>3368</v>
      </c>
      <c r="J575" s="862">
        <v>0.13</v>
      </c>
      <c r="K575" s="868">
        <f t="shared" si="54"/>
        <v>316</v>
      </c>
      <c r="L575" s="861"/>
      <c r="M575" s="671">
        <f t="shared" si="55"/>
        <v>573</v>
      </c>
      <c r="N575" s="671" t="str">
        <f t="shared" si="56"/>
        <v>N/A</v>
      </c>
      <c r="O575" s="671">
        <f t="shared" si="57"/>
        <v>398</v>
      </c>
      <c r="P575" s="861" t="s">
        <v>3369</v>
      </c>
      <c r="Q575" s="861"/>
      <c r="R575" s="861"/>
      <c r="S575" s="861" t="s">
        <v>3370</v>
      </c>
      <c r="T575" s="866" t="s">
        <v>3371</v>
      </c>
      <c r="U575" s="865"/>
    </row>
    <row r="576" spans="1:21" ht="15">
      <c r="A576" s="672"/>
      <c r="B576" s="861" t="s">
        <v>3372</v>
      </c>
      <c r="C576" s="861" t="s">
        <v>3373</v>
      </c>
      <c r="D576" s="861" t="s">
        <v>371</v>
      </c>
      <c r="E576" s="861"/>
      <c r="F576" s="862">
        <v>0.22900000000000001</v>
      </c>
      <c r="G576" s="869">
        <v>1.937865846</v>
      </c>
      <c r="H576" s="874">
        <v>139132899.33000001</v>
      </c>
      <c r="I576" s="872" t="s">
        <v>3374</v>
      </c>
      <c r="J576" s="862">
        <v>0.218</v>
      </c>
      <c r="K576" s="868">
        <f t="shared" si="54"/>
        <v>79</v>
      </c>
      <c r="L576" s="863" t="s">
        <v>3375</v>
      </c>
      <c r="M576" s="671">
        <f t="shared" si="55"/>
        <v>574</v>
      </c>
      <c r="N576" s="671" t="str">
        <f t="shared" si="56"/>
        <v>N/A</v>
      </c>
      <c r="O576" s="671">
        <f t="shared" si="57"/>
        <v>223</v>
      </c>
      <c r="P576" s="861" t="s">
        <v>488</v>
      </c>
      <c r="Q576" s="861"/>
      <c r="R576" s="863" t="s">
        <v>3376</v>
      </c>
      <c r="S576" s="861" t="s">
        <v>3377</v>
      </c>
      <c r="T576" s="866" t="s">
        <v>3378</v>
      </c>
      <c r="U576" s="865"/>
    </row>
    <row r="577" spans="1:21" ht="15">
      <c r="A577" s="857"/>
      <c r="B577" s="861" t="s">
        <v>3379</v>
      </c>
      <c r="C577" s="861" t="s">
        <v>3380</v>
      </c>
      <c r="D577" s="861" t="s">
        <v>371</v>
      </c>
      <c r="E577" s="861"/>
      <c r="F577" s="862"/>
      <c r="G577" s="869">
        <v>0</v>
      </c>
      <c r="H577" s="874">
        <v>139047237.56999999</v>
      </c>
      <c r="I577" s="871"/>
      <c r="J577" s="863"/>
      <c r="K577" s="868">
        <f t="shared" si="54"/>
        <v>316</v>
      </c>
      <c r="L577" s="861"/>
      <c r="M577" s="671">
        <f t="shared" si="55"/>
        <v>575</v>
      </c>
      <c r="N577" s="671" t="str">
        <f t="shared" si="56"/>
        <v>N/A</v>
      </c>
      <c r="O577" s="671">
        <f t="shared" si="57"/>
        <v>708</v>
      </c>
      <c r="P577" s="861" t="s">
        <v>3381</v>
      </c>
      <c r="Q577" s="861"/>
      <c r="R577" s="861"/>
      <c r="S577" s="861" t="s">
        <v>2631</v>
      </c>
      <c r="T577" s="866" t="s">
        <v>3382</v>
      </c>
      <c r="U577" s="865"/>
    </row>
    <row r="578" spans="1:21" ht="15">
      <c r="A578" s="672"/>
      <c r="B578" s="861" t="s">
        <v>3383</v>
      </c>
      <c r="C578" s="861" t="s">
        <v>3384</v>
      </c>
      <c r="D578" s="861" t="s">
        <v>371</v>
      </c>
      <c r="E578" s="861"/>
      <c r="F578" s="862"/>
      <c r="G578" s="870" t="s">
        <v>3385</v>
      </c>
      <c r="H578" s="874">
        <v>137997420.19999999</v>
      </c>
      <c r="I578" s="871"/>
      <c r="J578" s="862">
        <v>0.17199999999999999</v>
      </c>
      <c r="K578" s="868">
        <f t="shared" si="54"/>
        <v>316</v>
      </c>
      <c r="L578" s="861"/>
      <c r="M578" s="671">
        <f t="shared" si="55"/>
        <v>576</v>
      </c>
      <c r="N578" s="671" t="str">
        <f t="shared" si="56"/>
        <v>N/A</v>
      </c>
      <c r="O578" s="671">
        <f t="shared" si="57"/>
        <v>302</v>
      </c>
      <c r="P578" s="861" t="s">
        <v>2146</v>
      </c>
      <c r="Q578" s="861" t="s">
        <v>3386</v>
      </c>
      <c r="R578" s="861"/>
      <c r="S578" s="861" t="s">
        <v>1230</v>
      </c>
      <c r="T578" s="866" t="s">
        <v>3387</v>
      </c>
      <c r="U578" s="865"/>
    </row>
    <row r="579" spans="1:21" ht="15">
      <c r="A579" s="857"/>
      <c r="B579" s="861" t="s">
        <v>3388</v>
      </c>
      <c r="C579" s="861" t="s">
        <v>3389</v>
      </c>
      <c r="D579" s="861" t="s">
        <v>371</v>
      </c>
      <c r="E579" s="861"/>
      <c r="F579" s="862">
        <v>0.159</v>
      </c>
      <c r="G579" s="869">
        <v>0</v>
      </c>
      <c r="H579" s="874">
        <v>136126408.24000001</v>
      </c>
      <c r="I579" s="871"/>
      <c r="J579" s="862">
        <v>4.3999999999999997E-2</v>
      </c>
      <c r="K579" s="868">
        <f t="shared" si="54"/>
        <v>128</v>
      </c>
      <c r="L579" s="861"/>
      <c r="M579" s="671">
        <f t="shared" si="55"/>
        <v>577</v>
      </c>
      <c r="N579" s="671" t="str">
        <f t="shared" si="56"/>
        <v>N/A</v>
      </c>
      <c r="O579" s="671">
        <f t="shared" si="57"/>
        <v>614</v>
      </c>
      <c r="P579" s="861" t="s">
        <v>1363</v>
      </c>
      <c r="Q579" s="861" t="s">
        <v>2569</v>
      </c>
      <c r="R579" s="861"/>
      <c r="S579" s="861" t="s">
        <v>994</v>
      </c>
      <c r="T579" s="866" t="s">
        <v>3390</v>
      </c>
      <c r="U579" s="865"/>
    </row>
    <row r="580" spans="1:21" ht="15">
      <c r="A580" s="672"/>
      <c r="B580" s="861" t="s">
        <v>3391</v>
      </c>
      <c r="C580" s="861" t="s">
        <v>3392</v>
      </c>
      <c r="D580" s="861" t="s">
        <v>371</v>
      </c>
      <c r="E580" s="861"/>
      <c r="F580" s="862"/>
      <c r="G580" s="869">
        <v>8.0466576940000003</v>
      </c>
      <c r="H580" s="874">
        <v>135081818.44999999</v>
      </c>
      <c r="I580" s="871"/>
      <c r="J580" s="862">
        <v>0.11600000000000001</v>
      </c>
      <c r="K580" s="868">
        <f t="shared" ref="K580:K643" si="58">IFERROR(_xlfn.RANK.EQ(F580,F$3:F$1770),"N/A")</f>
        <v>316</v>
      </c>
      <c r="L580" s="861"/>
      <c r="M580" s="671">
        <f t="shared" ref="M580:M643" si="59">IFERROR(_xlfn.RANK.EQ(H580,H$3:H$1770),"N/A")</f>
        <v>578</v>
      </c>
      <c r="N580" s="671" t="str">
        <f t="shared" ref="N580:N643" si="60">IFERROR(_xlfn.RANK.EQ(I580,I$3:I$1770),"N/A")</f>
        <v>N/A</v>
      </c>
      <c r="O580" s="671">
        <f t="shared" ref="O580:O643" si="61">IFERROR(_xlfn.RANK.EQ(J580,J$3:J$1770),"N/A")</f>
        <v>442</v>
      </c>
      <c r="P580" s="861" t="s">
        <v>3393</v>
      </c>
      <c r="Q580" s="861"/>
      <c r="R580" s="861"/>
      <c r="S580" s="861" t="s">
        <v>1725</v>
      </c>
      <c r="T580" s="866" t="s">
        <v>3394</v>
      </c>
      <c r="U580" s="865"/>
    </row>
    <row r="581" spans="1:21" ht="15">
      <c r="A581" s="857"/>
      <c r="B581" s="861" t="s">
        <v>3395</v>
      </c>
      <c r="C581" s="861" t="s">
        <v>3396</v>
      </c>
      <c r="D581" s="861" t="s">
        <v>371</v>
      </c>
      <c r="E581" s="861"/>
      <c r="F581" s="862"/>
      <c r="G581" s="869">
        <v>0.55433897899999995</v>
      </c>
      <c r="H581" s="874">
        <v>131701172.09</v>
      </c>
      <c r="I581" s="871">
        <v>31.67</v>
      </c>
      <c r="J581" s="862">
        <v>0.151</v>
      </c>
      <c r="K581" s="868">
        <f t="shared" si="58"/>
        <v>316</v>
      </c>
      <c r="L581" s="861"/>
      <c r="M581" s="671">
        <f t="shared" si="59"/>
        <v>579</v>
      </c>
      <c r="N581" s="671">
        <f t="shared" si="60"/>
        <v>138</v>
      </c>
      <c r="O581" s="671">
        <f t="shared" si="61"/>
        <v>337</v>
      </c>
      <c r="P581" s="863" t="s">
        <v>3397</v>
      </c>
      <c r="Q581" s="861"/>
      <c r="R581" s="861"/>
      <c r="S581" s="861" t="s">
        <v>1127</v>
      </c>
      <c r="T581" s="866" t="s">
        <v>3398</v>
      </c>
      <c r="U581" s="865"/>
    </row>
    <row r="582" spans="1:21" ht="15">
      <c r="A582" s="672"/>
      <c r="B582" s="861" t="s">
        <v>3399</v>
      </c>
      <c r="C582" s="861" t="s">
        <v>3400</v>
      </c>
      <c r="D582" s="861" t="s">
        <v>371</v>
      </c>
      <c r="E582" s="861"/>
      <c r="F582" s="862">
        <v>-0.19400000000000001</v>
      </c>
      <c r="G582" s="870" t="s">
        <v>3401</v>
      </c>
      <c r="H582" s="874">
        <v>131375014</v>
      </c>
      <c r="I582" s="871"/>
      <c r="J582" s="863" t="s">
        <v>1846</v>
      </c>
      <c r="K582" s="868">
        <f t="shared" si="58"/>
        <v>412</v>
      </c>
      <c r="L582" s="861"/>
      <c r="M582" s="671">
        <f t="shared" si="59"/>
        <v>580</v>
      </c>
      <c r="N582" s="671" t="str">
        <f t="shared" si="60"/>
        <v>N/A</v>
      </c>
      <c r="O582" s="671" t="str">
        <f t="shared" si="61"/>
        <v>N/A</v>
      </c>
      <c r="P582" s="861" t="s">
        <v>3402</v>
      </c>
      <c r="Q582" s="861"/>
      <c r="R582" s="861"/>
      <c r="S582" s="861" t="s">
        <v>424</v>
      </c>
      <c r="T582" s="866" t="s">
        <v>3403</v>
      </c>
      <c r="U582" s="865"/>
    </row>
    <row r="583" spans="1:21" ht="15">
      <c r="A583" s="857"/>
      <c r="B583" s="861" t="s">
        <v>3404</v>
      </c>
      <c r="C583" s="861" t="s">
        <v>3405</v>
      </c>
      <c r="D583" s="861" t="s">
        <v>371</v>
      </c>
      <c r="E583" s="861"/>
      <c r="F583" s="862"/>
      <c r="G583" s="870" t="s">
        <v>3406</v>
      </c>
      <c r="H583" s="874">
        <v>130691354.02</v>
      </c>
      <c r="I583" s="871"/>
      <c r="J583" s="863"/>
      <c r="K583" s="868">
        <f t="shared" si="58"/>
        <v>316</v>
      </c>
      <c r="L583" s="861"/>
      <c r="M583" s="671">
        <f t="shared" si="59"/>
        <v>581</v>
      </c>
      <c r="N583" s="671" t="str">
        <f t="shared" si="60"/>
        <v>N/A</v>
      </c>
      <c r="O583" s="671">
        <f t="shared" si="61"/>
        <v>708</v>
      </c>
      <c r="P583" s="861"/>
      <c r="Q583" s="861"/>
      <c r="R583" s="861"/>
      <c r="S583" s="861" t="s">
        <v>424</v>
      </c>
      <c r="T583" s="866" t="s">
        <v>3407</v>
      </c>
      <c r="U583" s="865"/>
    </row>
    <row r="584" spans="1:21" ht="15">
      <c r="A584" s="672"/>
      <c r="B584" s="861" t="s">
        <v>3408</v>
      </c>
      <c r="C584" s="861" t="s">
        <v>3409</v>
      </c>
      <c r="D584" s="861" t="s">
        <v>371</v>
      </c>
      <c r="E584" s="861"/>
      <c r="F584" s="862"/>
      <c r="G584" s="869">
        <v>5.8254166439999997</v>
      </c>
      <c r="H584" s="874">
        <v>129880260.7</v>
      </c>
      <c r="I584" s="871"/>
      <c r="J584" s="863" t="s">
        <v>3410</v>
      </c>
      <c r="K584" s="868">
        <f t="shared" si="58"/>
        <v>316</v>
      </c>
      <c r="L584" s="861"/>
      <c r="M584" s="671">
        <f t="shared" si="59"/>
        <v>582</v>
      </c>
      <c r="N584" s="671" t="str">
        <f t="shared" si="60"/>
        <v>N/A</v>
      </c>
      <c r="O584" s="671" t="str">
        <f t="shared" si="61"/>
        <v>N/A</v>
      </c>
      <c r="P584" s="861" t="s">
        <v>3411</v>
      </c>
      <c r="Q584" s="861"/>
      <c r="R584" s="861"/>
      <c r="S584" s="861" t="s">
        <v>2376</v>
      </c>
      <c r="T584" s="866" t="s">
        <v>3412</v>
      </c>
      <c r="U584" s="865"/>
    </row>
    <row r="585" spans="1:21" ht="15">
      <c r="A585" s="857"/>
      <c r="B585" s="861" t="s">
        <v>3413</v>
      </c>
      <c r="C585" s="861" t="s">
        <v>3414</v>
      </c>
      <c r="D585" s="861" t="s">
        <v>371</v>
      </c>
      <c r="E585" s="861"/>
      <c r="F585" s="862">
        <v>-3.5000000000000003E-2</v>
      </c>
      <c r="G585" s="870" t="s">
        <v>3415</v>
      </c>
      <c r="H585" s="874">
        <v>129672023.87</v>
      </c>
      <c r="I585" s="872" t="s">
        <v>3416</v>
      </c>
      <c r="J585" s="862">
        <v>0.246</v>
      </c>
      <c r="K585" s="868">
        <f t="shared" si="58"/>
        <v>337</v>
      </c>
      <c r="L585" s="863" t="s">
        <v>3417</v>
      </c>
      <c r="M585" s="671">
        <f t="shared" si="59"/>
        <v>583</v>
      </c>
      <c r="N585" s="671" t="str">
        <f t="shared" si="60"/>
        <v>N/A</v>
      </c>
      <c r="O585" s="671">
        <f t="shared" si="61"/>
        <v>185</v>
      </c>
      <c r="P585" s="861" t="s">
        <v>3418</v>
      </c>
      <c r="Q585" s="861"/>
      <c r="R585" s="863" t="s">
        <v>3419</v>
      </c>
      <c r="S585" s="861" t="s">
        <v>3420</v>
      </c>
      <c r="T585" s="866" t="s">
        <v>3421</v>
      </c>
      <c r="U585" s="865"/>
    </row>
    <row r="586" spans="1:21" ht="15">
      <c r="A586" s="672"/>
      <c r="B586" s="861" t="s">
        <v>3422</v>
      </c>
      <c r="C586" s="861" t="s">
        <v>3423</v>
      </c>
      <c r="D586" s="861" t="s">
        <v>371</v>
      </c>
      <c r="E586" s="861"/>
      <c r="F586" s="862"/>
      <c r="G586" s="869">
        <v>0.20646579500000001</v>
      </c>
      <c r="H586" s="874">
        <v>129394444.55</v>
      </c>
      <c r="I586" s="872" t="s">
        <v>3424</v>
      </c>
      <c r="J586" s="862">
        <v>0.19700000000000001</v>
      </c>
      <c r="K586" s="868">
        <f t="shared" si="58"/>
        <v>316</v>
      </c>
      <c r="L586" s="861"/>
      <c r="M586" s="671">
        <f t="shared" si="59"/>
        <v>584</v>
      </c>
      <c r="N586" s="671" t="str">
        <f t="shared" si="60"/>
        <v>N/A</v>
      </c>
      <c r="O586" s="671">
        <f t="shared" si="61"/>
        <v>258</v>
      </c>
      <c r="P586" s="861" t="s">
        <v>3425</v>
      </c>
      <c r="Q586" s="861"/>
      <c r="R586" s="863" t="s">
        <v>3426</v>
      </c>
      <c r="S586" s="861" t="s">
        <v>1165</v>
      </c>
      <c r="T586" s="866" t="s">
        <v>3427</v>
      </c>
      <c r="U586" s="865"/>
    </row>
    <row r="587" spans="1:21" ht="15">
      <c r="A587" s="857"/>
      <c r="B587" s="861" t="s">
        <v>3428</v>
      </c>
      <c r="C587" s="861" t="s">
        <v>3429</v>
      </c>
      <c r="D587" s="861" t="s">
        <v>371</v>
      </c>
      <c r="E587" s="861"/>
      <c r="F587" s="862">
        <v>0.02</v>
      </c>
      <c r="G587" s="869">
        <v>1.381385584</v>
      </c>
      <c r="H587" s="874">
        <v>129332605.27</v>
      </c>
      <c r="I587" s="872" t="s">
        <v>3430</v>
      </c>
      <c r="J587" s="862">
        <v>0.28100000000000003</v>
      </c>
      <c r="K587" s="868">
        <f t="shared" si="58"/>
        <v>299</v>
      </c>
      <c r="L587" s="861"/>
      <c r="M587" s="671">
        <f t="shared" si="59"/>
        <v>585</v>
      </c>
      <c r="N587" s="671" t="str">
        <f t="shared" si="60"/>
        <v>N/A</v>
      </c>
      <c r="O587" s="671">
        <f t="shared" si="61"/>
        <v>148</v>
      </c>
      <c r="P587" s="861" t="s">
        <v>1609</v>
      </c>
      <c r="Q587" s="861"/>
      <c r="R587" s="861"/>
      <c r="S587" s="861" t="s">
        <v>3431</v>
      </c>
      <c r="T587" s="866" t="s">
        <v>3432</v>
      </c>
      <c r="U587" s="865"/>
    </row>
    <row r="588" spans="1:21" ht="15">
      <c r="A588" s="672"/>
      <c r="B588" s="861" t="s">
        <v>3433</v>
      </c>
      <c r="C588" s="861" t="s">
        <v>3434</v>
      </c>
      <c r="D588" s="861" t="s">
        <v>371</v>
      </c>
      <c r="E588" s="861"/>
      <c r="F588" s="862">
        <v>0.13500000000000001</v>
      </c>
      <c r="G588" s="869">
        <v>1.8811562E-2</v>
      </c>
      <c r="H588" s="874">
        <v>129053512.22</v>
      </c>
      <c r="I588" s="871">
        <v>244.55</v>
      </c>
      <c r="J588" s="863" t="s">
        <v>3333</v>
      </c>
      <c r="K588" s="868">
        <f t="shared" si="58"/>
        <v>158</v>
      </c>
      <c r="L588" s="861"/>
      <c r="M588" s="671">
        <f t="shared" si="59"/>
        <v>586</v>
      </c>
      <c r="N588" s="671">
        <f t="shared" si="60"/>
        <v>4</v>
      </c>
      <c r="O588" s="671" t="str">
        <f t="shared" si="61"/>
        <v>N/A</v>
      </c>
      <c r="P588" s="861"/>
      <c r="Q588" s="861"/>
      <c r="R588" s="861"/>
      <c r="S588" s="861" t="s">
        <v>616</v>
      </c>
      <c r="T588" s="866" t="s">
        <v>3435</v>
      </c>
      <c r="U588" s="865"/>
    </row>
    <row r="589" spans="1:21" ht="15">
      <c r="A589" s="857"/>
      <c r="B589" s="861" t="s">
        <v>3436</v>
      </c>
      <c r="C589" s="861" t="s">
        <v>3437</v>
      </c>
      <c r="D589" s="861" t="s">
        <v>371</v>
      </c>
      <c r="E589" s="861"/>
      <c r="F589" s="862">
        <v>-3.0150000000000001</v>
      </c>
      <c r="G589" s="869">
        <v>0</v>
      </c>
      <c r="H589" s="874">
        <v>125361034.76000001</v>
      </c>
      <c r="I589" s="871"/>
      <c r="J589" s="862">
        <v>0.24099999999999999</v>
      </c>
      <c r="K589" s="868">
        <f t="shared" si="58"/>
        <v>500</v>
      </c>
      <c r="L589" s="861"/>
      <c r="M589" s="671">
        <f t="shared" si="59"/>
        <v>587</v>
      </c>
      <c r="N589" s="671" t="str">
        <f t="shared" si="60"/>
        <v>N/A</v>
      </c>
      <c r="O589" s="671">
        <f t="shared" si="61"/>
        <v>196</v>
      </c>
      <c r="P589" s="861"/>
      <c r="Q589" s="861"/>
      <c r="R589" s="861"/>
      <c r="S589" s="861" t="s">
        <v>424</v>
      </c>
      <c r="T589" s="866" t="s">
        <v>3438</v>
      </c>
      <c r="U589" s="865"/>
    </row>
    <row r="590" spans="1:21" ht="15">
      <c r="A590" s="672"/>
      <c r="B590" s="861" t="s">
        <v>3439</v>
      </c>
      <c r="C590" s="861" t="s">
        <v>3440</v>
      </c>
      <c r="D590" s="861" t="s">
        <v>371</v>
      </c>
      <c r="E590" s="861"/>
      <c r="F590" s="862"/>
      <c r="G590" s="869">
        <v>1.3184644000000001E-2</v>
      </c>
      <c r="H590" s="874">
        <v>125324654.67</v>
      </c>
      <c r="I590" s="871"/>
      <c r="J590" s="861" t="s">
        <v>3441</v>
      </c>
      <c r="K590" s="868">
        <f t="shared" si="58"/>
        <v>316</v>
      </c>
      <c r="L590" s="861"/>
      <c r="M590" s="671">
        <f t="shared" si="59"/>
        <v>588</v>
      </c>
      <c r="N590" s="671" t="str">
        <f t="shared" si="60"/>
        <v>N/A</v>
      </c>
      <c r="O590" s="671" t="str">
        <f t="shared" si="61"/>
        <v>N/A</v>
      </c>
      <c r="P590" s="861" t="s">
        <v>2515</v>
      </c>
      <c r="Q590" s="861" t="s">
        <v>2182</v>
      </c>
      <c r="R590" s="861"/>
      <c r="S590" s="861" t="s">
        <v>409</v>
      </c>
      <c r="T590" s="866" t="s">
        <v>3442</v>
      </c>
      <c r="U590" s="865"/>
    </row>
    <row r="591" spans="1:21" ht="15">
      <c r="A591" s="857"/>
      <c r="B591" s="861" t="s">
        <v>3443</v>
      </c>
      <c r="C591" s="861" t="s">
        <v>3444</v>
      </c>
      <c r="D591" s="861" t="s">
        <v>371</v>
      </c>
      <c r="E591" s="861"/>
      <c r="F591" s="862"/>
      <c r="G591" s="870" t="s">
        <v>3445</v>
      </c>
      <c r="H591" s="874">
        <v>125023375</v>
      </c>
      <c r="I591" s="871"/>
      <c r="J591" s="863"/>
      <c r="K591" s="868">
        <f t="shared" si="58"/>
        <v>316</v>
      </c>
      <c r="L591" s="863" t="s">
        <v>3446</v>
      </c>
      <c r="M591" s="671">
        <f t="shared" si="59"/>
        <v>589</v>
      </c>
      <c r="N591" s="671" t="str">
        <f t="shared" si="60"/>
        <v>N/A</v>
      </c>
      <c r="O591" s="671">
        <f t="shared" si="61"/>
        <v>708</v>
      </c>
      <c r="P591" s="861" t="s">
        <v>3447</v>
      </c>
      <c r="Q591" s="861" t="s">
        <v>3448</v>
      </c>
      <c r="R591" s="863" t="s">
        <v>3449</v>
      </c>
      <c r="S591" s="861" t="s">
        <v>3450</v>
      </c>
      <c r="T591" s="866" t="s">
        <v>3451</v>
      </c>
      <c r="U591" s="865"/>
    </row>
    <row r="592" spans="1:21" ht="15">
      <c r="A592" s="672"/>
      <c r="B592" s="861" t="s">
        <v>3452</v>
      </c>
      <c r="C592" s="861" t="s">
        <v>3453</v>
      </c>
      <c r="D592" s="861" t="s">
        <v>371</v>
      </c>
      <c r="E592" s="861"/>
      <c r="F592" s="862"/>
      <c r="G592" s="869" t="e">
        <v>#DIV/0!</v>
      </c>
      <c r="H592" s="874">
        <v>124157566.23</v>
      </c>
      <c r="I592" s="871">
        <v>1.78</v>
      </c>
      <c r="J592" s="862">
        <v>4.1000000000000002E-2</v>
      </c>
      <c r="K592" s="868">
        <f t="shared" si="58"/>
        <v>316</v>
      </c>
      <c r="L592" s="861"/>
      <c r="M592" s="671">
        <f t="shared" si="59"/>
        <v>590</v>
      </c>
      <c r="N592" s="671">
        <f t="shared" si="60"/>
        <v>298</v>
      </c>
      <c r="O592" s="671">
        <f t="shared" si="61"/>
        <v>626</v>
      </c>
      <c r="P592" s="861"/>
      <c r="Q592" s="861"/>
      <c r="R592" s="861"/>
      <c r="S592" s="861" t="s">
        <v>424</v>
      </c>
      <c r="T592" s="866" t="s">
        <v>3454</v>
      </c>
      <c r="U592" s="865"/>
    </row>
    <row r="593" spans="1:21" ht="15">
      <c r="A593" s="857"/>
      <c r="B593" s="861" t="s">
        <v>3455</v>
      </c>
      <c r="C593" s="861" t="s">
        <v>3456</v>
      </c>
      <c r="D593" s="861" t="s">
        <v>371</v>
      </c>
      <c r="E593" s="861"/>
      <c r="F593" s="862"/>
      <c r="G593" s="870" t="s">
        <v>3457</v>
      </c>
      <c r="H593" s="874">
        <v>122879625.3</v>
      </c>
      <c r="I593" s="871"/>
      <c r="J593" s="862">
        <v>0.20399999999999999</v>
      </c>
      <c r="K593" s="868">
        <f t="shared" si="58"/>
        <v>316</v>
      </c>
      <c r="L593" s="861"/>
      <c r="M593" s="671">
        <f t="shared" si="59"/>
        <v>591</v>
      </c>
      <c r="N593" s="671" t="str">
        <f t="shared" si="60"/>
        <v>N/A</v>
      </c>
      <c r="O593" s="671">
        <f t="shared" si="61"/>
        <v>246</v>
      </c>
      <c r="P593" s="861" t="s">
        <v>1073</v>
      </c>
      <c r="Q593" s="861" t="s">
        <v>3458</v>
      </c>
      <c r="R593" s="861"/>
      <c r="S593" s="861" t="s">
        <v>1082</v>
      </c>
      <c r="T593" s="866" t="s">
        <v>3459</v>
      </c>
      <c r="U593" s="865"/>
    </row>
    <row r="594" spans="1:21" ht="15">
      <c r="A594" s="672"/>
      <c r="B594" s="861" t="s">
        <v>3460</v>
      </c>
      <c r="C594" s="861" t="s">
        <v>3461</v>
      </c>
      <c r="D594" s="861" t="s">
        <v>371</v>
      </c>
      <c r="E594" s="861"/>
      <c r="F594" s="862">
        <v>-2.9000000000000001E-2</v>
      </c>
      <c r="G594" s="869">
        <v>0.34834834799999997</v>
      </c>
      <c r="H594" s="874">
        <v>122718958.56999999</v>
      </c>
      <c r="I594" s="871"/>
      <c r="J594" s="862">
        <v>0.184</v>
      </c>
      <c r="K594" s="868">
        <f t="shared" si="58"/>
        <v>332</v>
      </c>
      <c r="L594" s="861" t="s">
        <v>3462</v>
      </c>
      <c r="M594" s="671">
        <f t="shared" si="59"/>
        <v>592</v>
      </c>
      <c r="N594" s="671" t="str">
        <f t="shared" si="60"/>
        <v>N/A</v>
      </c>
      <c r="O594" s="671">
        <f t="shared" si="61"/>
        <v>279</v>
      </c>
      <c r="P594" s="861" t="s">
        <v>3102</v>
      </c>
      <c r="Q594" s="861" t="s">
        <v>3463</v>
      </c>
      <c r="R594" s="861" t="s">
        <v>540</v>
      </c>
      <c r="S594" s="861" t="s">
        <v>3464</v>
      </c>
      <c r="T594" s="866" t="s">
        <v>3465</v>
      </c>
      <c r="U594" s="865"/>
    </row>
    <row r="595" spans="1:21" ht="15">
      <c r="A595" s="857"/>
      <c r="B595" s="861" t="s">
        <v>3466</v>
      </c>
      <c r="C595" s="861" t="s">
        <v>3467</v>
      </c>
      <c r="D595" s="861" t="s">
        <v>371</v>
      </c>
      <c r="E595" s="861"/>
      <c r="F595" s="862"/>
      <c r="G595" s="869">
        <v>0.26720257200000003</v>
      </c>
      <c r="H595" s="874">
        <v>122291095.16</v>
      </c>
      <c r="I595" s="871"/>
      <c r="J595" s="862">
        <v>0.14000000000000001</v>
      </c>
      <c r="K595" s="868">
        <f t="shared" si="58"/>
        <v>316</v>
      </c>
      <c r="L595" s="861"/>
      <c r="M595" s="671">
        <f t="shared" si="59"/>
        <v>593</v>
      </c>
      <c r="N595" s="671" t="str">
        <f t="shared" si="60"/>
        <v>N/A</v>
      </c>
      <c r="O595" s="671">
        <f t="shared" si="61"/>
        <v>369</v>
      </c>
      <c r="P595" s="861" t="s">
        <v>3468</v>
      </c>
      <c r="Q595" s="861"/>
      <c r="R595" s="861"/>
      <c r="S595" s="861" t="s">
        <v>424</v>
      </c>
      <c r="T595" s="866" t="s">
        <v>3469</v>
      </c>
      <c r="U595" s="865"/>
    </row>
    <row r="596" spans="1:21" ht="15">
      <c r="A596" s="672"/>
      <c r="B596" s="861" t="s">
        <v>3470</v>
      </c>
      <c r="C596" s="861" t="s">
        <v>3471</v>
      </c>
      <c r="D596" s="861" t="s">
        <v>371</v>
      </c>
      <c r="E596" s="861"/>
      <c r="F596" s="862"/>
      <c r="G596" s="869">
        <v>0.81297369600000002</v>
      </c>
      <c r="H596" s="874">
        <v>121751111.65000001</v>
      </c>
      <c r="I596" s="871"/>
      <c r="J596" s="862">
        <v>0.312</v>
      </c>
      <c r="K596" s="868">
        <f t="shared" si="58"/>
        <v>316</v>
      </c>
      <c r="L596" s="861" t="s">
        <v>2069</v>
      </c>
      <c r="M596" s="671">
        <f t="shared" si="59"/>
        <v>594</v>
      </c>
      <c r="N596" s="671" t="str">
        <f t="shared" si="60"/>
        <v>N/A</v>
      </c>
      <c r="O596" s="671">
        <f t="shared" si="61"/>
        <v>111</v>
      </c>
      <c r="P596" s="861" t="s">
        <v>2574</v>
      </c>
      <c r="Q596" s="861" t="s">
        <v>3472</v>
      </c>
      <c r="R596" s="861"/>
      <c r="S596" s="861" t="s">
        <v>996</v>
      </c>
      <c r="T596" s="866" t="s">
        <v>3473</v>
      </c>
      <c r="U596" s="865"/>
    </row>
    <row r="597" spans="1:21" ht="15">
      <c r="A597" s="857"/>
      <c r="B597" s="861" t="s">
        <v>3474</v>
      </c>
      <c r="C597" s="861" t="s">
        <v>3475</v>
      </c>
      <c r="D597" s="861" t="s">
        <v>371</v>
      </c>
      <c r="E597" s="861"/>
      <c r="F597" s="862"/>
      <c r="G597" s="869">
        <v>6.9310697000000004E-2</v>
      </c>
      <c r="H597" s="874">
        <v>120872779.34999999</v>
      </c>
      <c r="I597" s="871"/>
      <c r="J597" s="862">
        <v>6.2E-2</v>
      </c>
      <c r="K597" s="868">
        <f t="shared" si="58"/>
        <v>316</v>
      </c>
      <c r="L597" s="861"/>
      <c r="M597" s="671">
        <f t="shared" si="59"/>
        <v>595</v>
      </c>
      <c r="N597" s="671" t="str">
        <f t="shared" si="60"/>
        <v>N/A</v>
      </c>
      <c r="O597" s="671">
        <f t="shared" si="61"/>
        <v>578</v>
      </c>
      <c r="P597" s="861" t="s">
        <v>3476</v>
      </c>
      <c r="Q597" s="861" t="s">
        <v>3477</v>
      </c>
      <c r="R597" s="861"/>
      <c r="S597" s="861" t="s">
        <v>1474</v>
      </c>
      <c r="T597" s="866" t="s">
        <v>3478</v>
      </c>
      <c r="U597" s="865"/>
    </row>
    <row r="598" spans="1:21" ht="15">
      <c r="A598" s="672"/>
      <c r="B598" s="861" t="s">
        <v>3479</v>
      </c>
      <c r="C598" s="861" t="s">
        <v>3480</v>
      </c>
      <c r="D598" s="861" t="s">
        <v>371</v>
      </c>
      <c r="E598" s="861"/>
      <c r="F598" s="862"/>
      <c r="G598" s="869">
        <v>146.41168930000001</v>
      </c>
      <c r="H598" s="874">
        <v>120471140.61</v>
      </c>
      <c r="I598" s="871"/>
      <c r="J598" s="863" t="s">
        <v>1234</v>
      </c>
      <c r="K598" s="868">
        <f t="shared" si="58"/>
        <v>316</v>
      </c>
      <c r="L598" s="861"/>
      <c r="M598" s="671">
        <f t="shared" si="59"/>
        <v>596</v>
      </c>
      <c r="N598" s="671" t="str">
        <f t="shared" si="60"/>
        <v>N/A</v>
      </c>
      <c r="O598" s="671" t="str">
        <f t="shared" si="61"/>
        <v>N/A</v>
      </c>
      <c r="P598" s="861"/>
      <c r="Q598" s="861"/>
      <c r="R598" s="861"/>
      <c r="S598" s="861" t="s">
        <v>460</v>
      </c>
      <c r="T598" s="866" t="s">
        <v>3481</v>
      </c>
      <c r="U598" s="865"/>
    </row>
    <row r="599" spans="1:21" ht="15">
      <c r="A599" s="857"/>
      <c r="B599" s="861" t="s">
        <v>3482</v>
      </c>
      <c r="C599" s="861" t="s">
        <v>3483</v>
      </c>
      <c r="D599" s="861" t="s">
        <v>371</v>
      </c>
      <c r="E599" s="861"/>
      <c r="F599" s="862">
        <v>-0.371</v>
      </c>
      <c r="G599" s="870" t="s">
        <v>3484</v>
      </c>
      <c r="H599" s="874">
        <v>119780456.31</v>
      </c>
      <c r="I599" s="871"/>
      <c r="J599" s="863" t="s">
        <v>1325</v>
      </c>
      <c r="K599" s="868">
        <f t="shared" si="58"/>
        <v>457</v>
      </c>
      <c r="L599" s="861"/>
      <c r="M599" s="671">
        <f t="shared" si="59"/>
        <v>597</v>
      </c>
      <c r="N599" s="671" t="str">
        <f t="shared" si="60"/>
        <v>N/A</v>
      </c>
      <c r="O599" s="671" t="str">
        <f t="shared" si="61"/>
        <v>N/A</v>
      </c>
      <c r="P599" s="861" t="s">
        <v>2460</v>
      </c>
      <c r="Q599" s="861" t="s">
        <v>1798</v>
      </c>
      <c r="R599" s="861"/>
      <c r="S599" s="861" t="s">
        <v>761</v>
      </c>
      <c r="T599" s="866" t="s">
        <v>3485</v>
      </c>
      <c r="U599" s="865"/>
    </row>
    <row r="600" spans="1:21" ht="15">
      <c r="A600" s="672"/>
      <c r="B600" s="861" t="s">
        <v>3486</v>
      </c>
      <c r="C600" s="861" t="s">
        <v>3487</v>
      </c>
      <c r="D600" s="861" t="s">
        <v>371</v>
      </c>
      <c r="E600" s="861"/>
      <c r="F600" s="862">
        <v>-7.4999999999999997E-2</v>
      </c>
      <c r="G600" s="870" t="s">
        <v>3488</v>
      </c>
      <c r="H600" s="874">
        <v>119680944.23</v>
      </c>
      <c r="I600" s="871"/>
      <c r="J600" s="862">
        <v>0.19</v>
      </c>
      <c r="K600" s="868">
        <f t="shared" si="58"/>
        <v>367</v>
      </c>
      <c r="L600" s="861"/>
      <c r="M600" s="671">
        <f t="shared" si="59"/>
        <v>598</v>
      </c>
      <c r="N600" s="671" t="str">
        <f t="shared" si="60"/>
        <v>N/A</v>
      </c>
      <c r="O600" s="671">
        <f t="shared" si="61"/>
        <v>272</v>
      </c>
      <c r="P600" s="861" t="s">
        <v>2747</v>
      </c>
      <c r="Q600" s="861"/>
      <c r="R600" s="861"/>
      <c r="S600" s="861" t="s">
        <v>1640</v>
      </c>
      <c r="T600" s="866" t="s">
        <v>3489</v>
      </c>
      <c r="U600" s="865"/>
    </row>
    <row r="601" spans="1:21" ht="15">
      <c r="A601" s="857"/>
      <c r="B601" s="861" t="s">
        <v>3490</v>
      </c>
      <c r="C601" s="861" t="s">
        <v>3491</v>
      </c>
      <c r="D601" s="861" t="s">
        <v>371</v>
      </c>
      <c r="E601" s="861"/>
      <c r="F601" s="862"/>
      <c r="G601" s="869" t="e">
        <v>#DIV/0!</v>
      </c>
      <c r="H601" s="874">
        <v>117330283.08</v>
      </c>
      <c r="I601" s="871">
        <v>35.83</v>
      </c>
      <c r="J601" s="862">
        <v>0.26200000000000001</v>
      </c>
      <c r="K601" s="868">
        <f t="shared" si="58"/>
        <v>316</v>
      </c>
      <c r="L601" s="863" t="s">
        <v>3492</v>
      </c>
      <c r="M601" s="671">
        <f t="shared" si="59"/>
        <v>599</v>
      </c>
      <c r="N601" s="671">
        <f t="shared" si="60"/>
        <v>122</v>
      </c>
      <c r="O601" s="671">
        <f t="shared" si="61"/>
        <v>162</v>
      </c>
      <c r="P601" s="861" t="s">
        <v>882</v>
      </c>
      <c r="Q601" s="861"/>
      <c r="R601" s="863" t="s">
        <v>3493</v>
      </c>
      <c r="S601" s="861" t="s">
        <v>1440</v>
      </c>
      <c r="T601" s="866" t="s">
        <v>3494</v>
      </c>
      <c r="U601" s="865"/>
    </row>
    <row r="602" spans="1:21" ht="15">
      <c r="A602" s="672"/>
      <c r="B602" s="861" t="s">
        <v>3495</v>
      </c>
      <c r="C602" s="861" t="s">
        <v>3496</v>
      </c>
      <c r="D602" s="861" t="s">
        <v>371</v>
      </c>
      <c r="E602" s="861"/>
      <c r="F602" s="862"/>
      <c r="G602" s="869">
        <v>8.2046805E-2</v>
      </c>
      <c r="H602" s="874">
        <v>116729057.09</v>
      </c>
      <c r="I602" s="871">
        <v>36.729999999999997</v>
      </c>
      <c r="J602" s="862">
        <v>9.9000000000000005E-2</v>
      </c>
      <c r="K602" s="868">
        <f t="shared" si="58"/>
        <v>316</v>
      </c>
      <c r="L602" s="861" t="s">
        <v>820</v>
      </c>
      <c r="M602" s="671">
        <f t="shared" si="59"/>
        <v>600</v>
      </c>
      <c r="N602" s="671">
        <f t="shared" si="60"/>
        <v>119</v>
      </c>
      <c r="O602" s="671">
        <f t="shared" si="61"/>
        <v>499</v>
      </c>
      <c r="P602" s="861" t="s">
        <v>3497</v>
      </c>
      <c r="Q602" s="861" t="s">
        <v>3498</v>
      </c>
      <c r="R602" s="861" t="s">
        <v>3499</v>
      </c>
      <c r="S602" s="861" t="s">
        <v>3500</v>
      </c>
      <c r="T602" s="866" t="s">
        <v>3501</v>
      </c>
      <c r="U602" s="865"/>
    </row>
    <row r="603" spans="1:21" ht="15">
      <c r="A603" s="857"/>
      <c r="B603" s="861" t="s">
        <v>3502</v>
      </c>
      <c r="C603" s="861" t="s">
        <v>3503</v>
      </c>
      <c r="D603" s="861" t="s">
        <v>371</v>
      </c>
      <c r="E603" s="861"/>
      <c r="F603" s="862"/>
      <c r="G603" s="869">
        <v>5.2149869000000001E-2</v>
      </c>
      <c r="H603" s="874">
        <v>115482522.87</v>
      </c>
      <c r="I603" s="871"/>
      <c r="J603" s="863" t="s">
        <v>671</v>
      </c>
      <c r="K603" s="868">
        <f t="shared" si="58"/>
        <v>316</v>
      </c>
      <c r="L603" s="861" t="s">
        <v>557</v>
      </c>
      <c r="M603" s="671">
        <f t="shared" si="59"/>
        <v>601</v>
      </c>
      <c r="N603" s="671" t="str">
        <f t="shared" si="60"/>
        <v>N/A</v>
      </c>
      <c r="O603" s="671" t="str">
        <f t="shared" si="61"/>
        <v>N/A</v>
      </c>
      <c r="P603" s="861" t="s">
        <v>2675</v>
      </c>
      <c r="Q603" s="861"/>
      <c r="R603" s="861"/>
      <c r="S603" s="861" t="s">
        <v>408</v>
      </c>
      <c r="T603" s="866" t="s">
        <v>3504</v>
      </c>
      <c r="U603" s="865"/>
    </row>
    <row r="604" spans="1:21" ht="15">
      <c r="A604" s="672"/>
      <c r="B604" s="861" t="s">
        <v>3505</v>
      </c>
      <c r="C604" s="861" t="s">
        <v>3506</v>
      </c>
      <c r="D604" s="861" t="s">
        <v>371</v>
      </c>
      <c r="E604" s="861"/>
      <c r="F604" s="862"/>
      <c r="G604" s="870" t="s">
        <v>3507</v>
      </c>
      <c r="H604" s="874">
        <v>114714467.40000001</v>
      </c>
      <c r="I604" s="871">
        <v>44.77</v>
      </c>
      <c r="J604" s="862">
        <v>5.1999999999999998E-2</v>
      </c>
      <c r="K604" s="868">
        <f t="shared" si="58"/>
        <v>316</v>
      </c>
      <c r="L604" s="861"/>
      <c r="M604" s="671">
        <f t="shared" si="59"/>
        <v>602</v>
      </c>
      <c r="N604" s="671">
        <f t="shared" si="60"/>
        <v>97</v>
      </c>
      <c r="O604" s="671">
        <f t="shared" si="61"/>
        <v>596</v>
      </c>
      <c r="P604" s="863" t="s">
        <v>3508</v>
      </c>
      <c r="Q604" s="863" t="s">
        <v>3509</v>
      </c>
      <c r="R604" s="861"/>
      <c r="S604" s="861" t="s">
        <v>1427</v>
      </c>
      <c r="T604" s="866" t="s">
        <v>3510</v>
      </c>
      <c r="U604" s="865"/>
    </row>
    <row r="605" spans="1:21" ht="15">
      <c r="A605" s="857"/>
      <c r="B605" s="861" t="s">
        <v>3511</v>
      </c>
      <c r="C605" s="861" t="s">
        <v>3512</v>
      </c>
      <c r="D605" s="861" t="s">
        <v>371</v>
      </c>
      <c r="E605" s="861"/>
      <c r="F605" s="862">
        <v>0.218</v>
      </c>
      <c r="G605" s="869">
        <v>0</v>
      </c>
      <c r="H605" s="874">
        <v>114266062.16</v>
      </c>
      <c r="I605" s="871"/>
      <c r="J605" s="862">
        <v>7.9000000000000001E-2</v>
      </c>
      <c r="K605" s="868">
        <f t="shared" si="58"/>
        <v>89</v>
      </c>
      <c r="L605" s="861"/>
      <c r="M605" s="671">
        <f t="shared" si="59"/>
        <v>603</v>
      </c>
      <c r="N605" s="671" t="str">
        <f t="shared" si="60"/>
        <v>N/A</v>
      </c>
      <c r="O605" s="671">
        <f t="shared" si="61"/>
        <v>544</v>
      </c>
      <c r="P605" s="861" t="s">
        <v>708</v>
      </c>
      <c r="Q605" s="861" t="s">
        <v>3513</v>
      </c>
      <c r="R605" s="861"/>
      <c r="S605" s="861" t="s">
        <v>1425</v>
      </c>
      <c r="T605" s="866" t="s">
        <v>3514</v>
      </c>
      <c r="U605" s="865"/>
    </row>
    <row r="606" spans="1:21" ht="15">
      <c r="A606" s="672"/>
      <c r="B606" s="861" t="s">
        <v>3515</v>
      </c>
      <c r="C606" s="861" t="s">
        <v>3516</v>
      </c>
      <c r="D606" s="861" t="s">
        <v>371</v>
      </c>
      <c r="E606" s="861"/>
      <c r="F606" s="862"/>
      <c r="G606" s="869">
        <v>8.0292887030000006</v>
      </c>
      <c r="H606" s="874">
        <v>114123340.78</v>
      </c>
      <c r="I606" s="871"/>
      <c r="J606" s="862">
        <v>0.24399999999999999</v>
      </c>
      <c r="K606" s="868">
        <f t="shared" si="58"/>
        <v>316</v>
      </c>
      <c r="L606" s="861"/>
      <c r="M606" s="671">
        <f t="shared" si="59"/>
        <v>604</v>
      </c>
      <c r="N606" s="671" t="str">
        <f t="shared" si="60"/>
        <v>N/A</v>
      </c>
      <c r="O606" s="671">
        <f t="shared" si="61"/>
        <v>189</v>
      </c>
      <c r="P606" s="861"/>
      <c r="Q606" s="861"/>
      <c r="R606" s="861"/>
      <c r="S606" s="861" t="s">
        <v>424</v>
      </c>
      <c r="T606" s="866" t="s">
        <v>3517</v>
      </c>
      <c r="U606" s="865"/>
    </row>
    <row r="607" spans="1:21" ht="15">
      <c r="A607" s="857"/>
      <c r="B607" s="861" t="s">
        <v>3518</v>
      </c>
      <c r="C607" s="861" t="s">
        <v>3519</v>
      </c>
      <c r="D607" s="861" t="s">
        <v>371</v>
      </c>
      <c r="E607" s="861"/>
      <c r="F607" s="862"/>
      <c r="G607" s="869">
        <v>1.8544811409999999</v>
      </c>
      <c r="H607" s="874">
        <v>113512228.91</v>
      </c>
      <c r="I607" s="871"/>
      <c r="J607" s="862">
        <v>0.46899999999999997</v>
      </c>
      <c r="K607" s="868">
        <f t="shared" si="58"/>
        <v>316</v>
      </c>
      <c r="L607" s="861"/>
      <c r="M607" s="671">
        <f t="shared" si="59"/>
        <v>605</v>
      </c>
      <c r="N607" s="671" t="str">
        <f t="shared" si="60"/>
        <v>N/A</v>
      </c>
      <c r="O607" s="671">
        <f t="shared" si="61"/>
        <v>32</v>
      </c>
      <c r="P607" s="861"/>
      <c r="Q607" s="861"/>
      <c r="R607" s="861"/>
      <c r="S607" s="861" t="s">
        <v>3520</v>
      </c>
      <c r="T607" s="866" t="s">
        <v>3521</v>
      </c>
      <c r="U607" s="865"/>
    </row>
    <row r="608" spans="1:21" ht="15">
      <c r="A608" s="672"/>
      <c r="B608" s="861" t="s">
        <v>3522</v>
      </c>
      <c r="C608" s="861" t="s">
        <v>3523</v>
      </c>
      <c r="D608" s="861" t="s">
        <v>371</v>
      </c>
      <c r="E608" s="861"/>
      <c r="F608" s="862">
        <v>-0.112</v>
      </c>
      <c r="G608" s="869">
        <v>8.1556508999999999E-2</v>
      </c>
      <c r="H608" s="874">
        <v>113465549.29000001</v>
      </c>
      <c r="I608" s="871">
        <v>89.88</v>
      </c>
      <c r="J608" s="862">
        <v>0.32200000000000001</v>
      </c>
      <c r="K608" s="868">
        <f t="shared" si="58"/>
        <v>385</v>
      </c>
      <c r="L608" s="861" t="s">
        <v>1816</v>
      </c>
      <c r="M608" s="671">
        <f t="shared" si="59"/>
        <v>606</v>
      </c>
      <c r="N608" s="671">
        <f t="shared" si="60"/>
        <v>40</v>
      </c>
      <c r="O608" s="671">
        <f t="shared" si="61"/>
        <v>100</v>
      </c>
      <c r="P608" s="861" t="s">
        <v>1246</v>
      </c>
      <c r="Q608" s="861" t="s">
        <v>3524</v>
      </c>
      <c r="R608" s="861" t="s">
        <v>531</v>
      </c>
      <c r="S608" s="861" t="s">
        <v>3525</v>
      </c>
      <c r="T608" s="866" t="s">
        <v>3526</v>
      </c>
      <c r="U608" s="865"/>
    </row>
    <row r="609" spans="1:21" ht="15">
      <c r="A609" s="857"/>
      <c r="B609" s="861" t="s">
        <v>3527</v>
      </c>
      <c r="C609" s="861" t="s">
        <v>3528</v>
      </c>
      <c r="D609" s="861" t="s">
        <v>371</v>
      </c>
      <c r="E609" s="861"/>
      <c r="F609" s="862">
        <v>0.22600000000000001</v>
      </c>
      <c r="G609" s="869">
        <v>0.442417165</v>
      </c>
      <c r="H609" s="874">
        <v>113036119.33</v>
      </c>
      <c r="I609" s="871"/>
      <c r="J609" s="863" t="s">
        <v>3529</v>
      </c>
      <c r="K609" s="868">
        <f t="shared" si="58"/>
        <v>83</v>
      </c>
      <c r="L609" s="861"/>
      <c r="M609" s="671">
        <f t="shared" si="59"/>
        <v>607</v>
      </c>
      <c r="N609" s="671" t="str">
        <f t="shared" si="60"/>
        <v>N/A</v>
      </c>
      <c r="O609" s="671" t="str">
        <f t="shared" si="61"/>
        <v>N/A</v>
      </c>
      <c r="P609" s="861" t="s">
        <v>3530</v>
      </c>
      <c r="Q609" s="861" t="s">
        <v>3531</v>
      </c>
      <c r="R609" s="861"/>
      <c r="S609" s="861" t="s">
        <v>2401</v>
      </c>
      <c r="T609" s="866" t="s">
        <v>3532</v>
      </c>
      <c r="U609" s="865"/>
    </row>
    <row r="610" spans="1:21" ht="15">
      <c r="A610" s="672"/>
      <c r="B610" s="861" t="s">
        <v>3533</v>
      </c>
      <c r="C610" s="861" t="s">
        <v>3534</v>
      </c>
      <c r="D610" s="861" t="s">
        <v>371</v>
      </c>
      <c r="E610" s="861"/>
      <c r="F610" s="862">
        <v>-0.10199999999999999</v>
      </c>
      <c r="G610" s="869">
        <v>0</v>
      </c>
      <c r="H610" s="874">
        <v>113016963.95</v>
      </c>
      <c r="I610" s="871"/>
      <c r="J610" s="862">
        <v>8.4000000000000005E-2</v>
      </c>
      <c r="K610" s="868">
        <f t="shared" si="58"/>
        <v>383</v>
      </c>
      <c r="L610" s="861"/>
      <c r="M610" s="671">
        <f t="shared" si="59"/>
        <v>608</v>
      </c>
      <c r="N610" s="671" t="str">
        <f t="shared" si="60"/>
        <v>N/A</v>
      </c>
      <c r="O610" s="671">
        <f t="shared" si="61"/>
        <v>534</v>
      </c>
      <c r="P610" s="861" t="s">
        <v>3535</v>
      </c>
      <c r="Q610" s="861" t="s">
        <v>3536</v>
      </c>
      <c r="R610" s="861"/>
      <c r="S610" s="861" t="s">
        <v>2110</v>
      </c>
      <c r="T610" s="866" t="s">
        <v>3537</v>
      </c>
      <c r="U610" s="865"/>
    </row>
    <row r="611" spans="1:21" ht="15">
      <c r="A611" s="857"/>
      <c r="B611" s="861" t="s">
        <v>3538</v>
      </c>
      <c r="C611" s="861" t="s">
        <v>3539</v>
      </c>
      <c r="D611" s="861" t="s">
        <v>371</v>
      </c>
      <c r="E611" s="861"/>
      <c r="F611" s="862">
        <v>0.154</v>
      </c>
      <c r="G611" s="869">
        <v>5.304534973</v>
      </c>
      <c r="H611" s="874">
        <v>112221282.38</v>
      </c>
      <c r="I611" s="871"/>
      <c r="J611" s="863" t="s">
        <v>3540</v>
      </c>
      <c r="K611" s="868">
        <f t="shared" si="58"/>
        <v>137</v>
      </c>
      <c r="L611" s="861"/>
      <c r="M611" s="671">
        <f t="shared" si="59"/>
        <v>609</v>
      </c>
      <c r="N611" s="671" t="str">
        <f t="shared" si="60"/>
        <v>N/A</v>
      </c>
      <c r="O611" s="671" t="str">
        <f t="shared" si="61"/>
        <v>N/A</v>
      </c>
      <c r="P611" s="861" t="s">
        <v>3013</v>
      </c>
      <c r="Q611" s="861" t="s">
        <v>3541</v>
      </c>
      <c r="R611" s="861"/>
      <c r="S611" s="861" t="s">
        <v>3542</v>
      </c>
      <c r="T611" s="866" t="s">
        <v>3543</v>
      </c>
      <c r="U611" s="865"/>
    </row>
    <row r="612" spans="1:21" ht="15">
      <c r="A612" s="672"/>
      <c r="B612" s="861" t="s">
        <v>3544</v>
      </c>
      <c r="C612" s="861" t="s">
        <v>3545</v>
      </c>
      <c r="D612" s="861" t="s">
        <v>371</v>
      </c>
      <c r="E612" s="861"/>
      <c r="F612" s="862"/>
      <c r="G612" s="870" t="s">
        <v>3546</v>
      </c>
      <c r="H612" s="874">
        <v>111236252.58</v>
      </c>
      <c r="I612" s="871"/>
      <c r="J612" s="863" t="s">
        <v>715</v>
      </c>
      <c r="K612" s="868">
        <f t="shared" si="58"/>
        <v>316</v>
      </c>
      <c r="L612" s="861"/>
      <c r="M612" s="671">
        <f t="shared" si="59"/>
        <v>610</v>
      </c>
      <c r="N612" s="671" t="str">
        <f t="shared" si="60"/>
        <v>N/A</v>
      </c>
      <c r="O612" s="671" t="str">
        <f t="shared" si="61"/>
        <v>N/A</v>
      </c>
      <c r="P612" s="861" t="s">
        <v>3547</v>
      </c>
      <c r="Q612" s="861"/>
      <c r="R612" s="861"/>
      <c r="S612" s="861" t="s">
        <v>959</v>
      </c>
      <c r="T612" s="866" t="s">
        <v>3548</v>
      </c>
      <c r="U612" s="865"/>
    </row>
    <row r="613" spans="1:21" ht="15">
      <c r="A613" s="857"/>
      <c r="B613" s="861" t="s">
        <v>3549</v>
      </c>
      <c r="C613" s="861" t="s">
        <v>3550</v>
      </c>
      <c r="D613" s="861" t="s">
        <v>371</v>
      </c>
      <c r="E613" s="861"/>
      <c r="F613" s="862">
        <v>-0.106</v>
      </c>
      <c r="G613" s="869">
        <v>0</v>
      </c>
      <c r="H613" s="874">
        <v>110985573.23999999</v>
      </c>
      <c r="I613" s="871"/>
      <c r="J613" s="863" t="s">
        <v>3551</v>
      </c>
      <c r="K613" s="868">
        <f t="shared" si="58"/>
        <v>384</v>
      </c>
      <c r="L613" s="861"/>
      <c r="M613" s="671">
        <f t="shared" si="59"/>
        <v>611</v>
      </c>
      <c r="N613" s="671" t="str">
        <f t="shared" si="60"/>
        <v>N/A</v>
      </c>
      <c r="O613" s="671" t="str">
        <f t="shared" si="61"/>
        <v>N/A</v>
      </c>
      <c r="P613" s="861" t="s">
        <v>3552</v>
      </c>
      <c r="Q613" s="861" t="s">
        <v>3553</v>
      </c>
      <c r="R613" s="861"/>
      <c r="S613" s="861" t="s">
        <v>2455</v>
      </c>
      <c r="T613" s="866" t="s">
        <v>3554</v>
      </c>
      <c r="U613" s="865"/>
    </row>
    <row r="614" spans="1:21" ht="15">
      <c r="A614" s="672"/>
      <c r="B614" s="861" t="s">
        <v>3555</v>
      </c>
      <c r="C614" s="861" t="s">
        <v>3556</v>
      </c>
      <c r="D614" s="861" t="s">
        <v>371</v>
      </c>
      <c r="E614" s="861"/>
      <c r="F614" s="862"/>
      <c r="G614" s="870" t="s">
        <v>3557</v>
      </c>
      <c r="H614" s="874">
        <v>110392557.69</v>
      </c>
      <c r="I614" s="871"/>
      <c r="J614" s="863"/>
      <c r="K614" s="868">
        <f t="shared" si="58"/>
        <v>316</v>
      </c>
      <c r="L614" s="861"/>
      <c r="M614" s="671">
        <f t="shared" si="59"/>
        <v>612</v>
      </c>
      <c r="N614" s="671" t="str">
        <f t="shared" si="60"/>
        <v>N/A</v>
      </c>
      <c r="O614" s="671">
        <f t="shared" si="61"/>
        <v>708</v>
      </c>
      <c r="P614" s="861" t="s">
        <v>3047</v>
      </c>
      <c r="Q614" s="861"/>
      <c r="R614" s="861"/>
      <c r="S614" s="861" t="s">
        <v>959</v>
      </c>
      <c r="T614" s="866" t="s">
        <v>3558</v>
      </c>
      <c r="U614" s="865"/>
    </row>
    <row r="615" spans="1:21" ht="15">
      <c r="A615" s="857"/>
      <c r="B615" s="861" t="s">
        <v>3559</v>
      </c>
      <c r="C615" s="861" t="s">
        <v>3560</v>
      </c>
      <c r="D615" s="861" t="s">
        <v>371</v>
      </c>
      <c r="E615" s="861"/>
      <c r="F615" s="862"/>
      <c r="G615" s="869">
        <v>11.050357350000001</v>
      </c>
      <c r="H615" s="874">
        <v>110174610.39</v>
      </c>
      <c r="I615" s="871"/>
      <c r="J615" s="862">
        <v>9.9000000000000005E-2</v>
      </c>
      <c r="K615" s="868">
        <f t="shared" si="58"/>
        <v>316</v>
      </c>
      <c r="L615" s="863" t="s">
        <v>448</v>
      </c>
      <c r="M615" s="671">
        <f t="shared" si="59"/>
        <v>613</v>
      </c>
      <c r="N615" s="671" t="str">
        <f t="shared" si="60"/>
        <v>N/A</v>
      </c>
      <c r="O615" s="671">
        <f t="shared" si="61"/>
        <v>499</v>
      </c>
      <c r="P615" s="861" t="s">
        <v>1411</v>
      </c>
      <c r="Q615" s="861"/>
      <c r="R615" s="863" t="s">
        <v>2330</v>
      </c>
      <c r="S615" s="861" t="s">
        <v>889</v>
      </c>
      <c r="T615" s="866" t="s">
        <v>3561</v>
      </c>
      <c r="U615" s="865"/>
    </row>
    <row r="616" spans="1:21" ht="15">
      <c r="A616" s="672"/>
      <c r="B616" s="861" t="s">
        <v>3562</v>
      </c>
      <c r="C616" s="861" t="s">
        <v>3563</v>
      </c>
      <c r="D616" s="861" t="s">
        <v>371</v>
      </c>
      <c r="E616" s="861"/>
      <c r="F616" s="862"/>
      <c r="G616" s="869">
        <v>0.22153250899999999</v>
      </c>
      <c r="H616" s="874">
        <v>107876576.5</v>
      </c>
      <c r="I616" s="871"/>
      <c r="J616" s="862">
        <v>0.06</v>
      </c>
      <c r="K616" s="868">
        <f t="shared" si="58"/>
        <v>316</v>
      </c>
      <c r="L616" s="861"/>
      <c r="M616" s="671">
        <f t="shared" si="59"/>
        <v>614</v>
      </c>
      <c r="N616" s="671" t="str">
        <f t="shared" si="60"/>
        <v>N/A</v>
      </c>
      <c r="O616" s="671">
        <f t="shared" si="61"/>
        <v>583</v>
      </c>
      <c r="P616" s="861" t="s">
        <v>3564</v>
      </c>
      <c r="Q616" s="861"/>
      <c r="R616" s="861"/>
      <c r="S616" s="861" t="s">
        <v>2161</v>
      </c>
      <c r="T616" s="866" t="s">
        <v>3565</v>
      </c>
      <c r="U616" s="865"/>
    </row>
    <row r="617" spans="1:21" ht="15">
      <c r="A617" s="857"/>
      <c r="B617" s="861" t="s">
        <v>3566</v>
      </c>
      <c r="C617" s="861" t="s">
        <v>3567</v>
      </c>
      <c r="D617" s="861" t="s">
        <v>371</v>
      </c>
      <c r="E617" s="861"/>
      <c r="F617" s="862"/>
      <c r="G617" s="869">
        <v>0</v>
      </c>
      <c r="H617" s="874">
        <v>107602836.59999999</v>
      </c>
      <c r="I617" s="871"/>
      <c r="J617" s="862">
        <v>2.3E-2</v>
      </c>
      <c r="K617" s="868">
        <f t="shared" si="58"/>
        <v>316</v>
      </c>
      <c r="L617" s="861" t="s">
        <v>460</v>
      </c>
      <c r="M617" s="671">
        <f t="shared" si="59"/>
        <v>615</v>
      </c>
      <c r="N617" s="671" t="str">
        <f t="shared" si="60"/>
        <v>N/A</v>
      </c>
      <c r="O617" s="671">
        <f t="shared" si="61"/>
        <v>663</v>
      </c>
      <c r="P617" s="861" t="s">
        <v>3185</v>
      </c>
      <c r="Q617" s="861" t="s">
        <v>3568</v>
      </c>
      <c r="R617" s="861" t="s">
        <v>557</v>
      </c>
      <c r="S617" s="861" t="s">
        <v>2401</v>
      </c>
      <c r="T617" s="866" t="s">
        <v>3569</v>
      </c>
      <c r="U617" s="865"/>
    </row>
    <row r="618" spans="1:21" ht="15">
      <c r="A618" s="672"/>
      <c r="B618" s="861" t="s">
        <v>3570</v>
      </c>
      <c r="C618" s="861" t="s">
        <v>3571</v>
      </c>
      <c r="D618" s="861" t="s">
        <v>371</v>
      </c>
      <c r="E618" s="861"/>
      <c r="F618" s="862"/>
      <c r="G618" s="869">
        <v>3.3382294E-2</v>
      </c>
      <c r="H618" s="874">
        <v>106787309.51000001</v>
      </c>
      <c r="I618" s="871"/>
      <c r="J618" s="863"/>
      <c r="K618" s="868">
        <f t="shared" si="58"/>
        <v>316</v>
      </c>
      <c r="L618" s="861"/>
      <c r="M618" s="671">
        <f t="shared" si="59"/>
        <v>616</v>
      </c>
      <c r="N618" s="671" t="str">
        <f t="shared" si="60"/>
        <v>N/A</v>
      </c>
      <c r="O618" s="671">
        <f t="shared" si="61"/>
        <v>708</v>
      </c>
      <c r="P618" s="861" t="s">
        <v>487</v>
      </c>
      <c r="Q618" s="861"/>
      <c r="R618" s="861"/>
      <c r="S618" s="861" t="s">
        <v>1073</v>
      </c>
      <c r="T618" s="866" t="s">
        <v>3572</v>
      </c>
      <c r="U618" s="865"/>
    </row>
    <row r="619" spans="1:21" ht="15">
      <c r="A619" s="857"/>
      <c r="B619" s="861" t="s">
        <v>3573</v>
      </c>
      <c r="C619" s="861" t="s">
        <v>3574</v>
      </c>
      <c r="D619" s="861" t="s">
        <v>371</v>
      </c>
      <c r="E619" s="861"/>
      <c r="F619" s="862"/>
      <c r="G619" s="869">
        <v>0</v>
      </c>
      <c r="H619" s="874">
        <v>106249691.18000001</v>
      </c>
      <c r="I619" s="871"/>
      <c r="J619" s="862">
        <v>0.22900000000000001</v>
      </c>
      <c r="K619" s="868">
        <f t="shared" si="58"/>
        <v>316</v>
      </c>
      <c r="L619" s="861"/>
      <c r="M619" s="671">
        <f t="shared" si="59"/>
        <v>617</v>
      </c>
      <c r="N619" s="671" t="str">
        <f t="shared" si="60"/>
        <v>N/A</v>
      </c>
      <c r="O619" s="671">
        <f t="shared" si="61"/>
        <v>214</v>
      </c>
      <c r="P619" s="861"/>
      <c r="Q619" s="861"/>
      <c r="R619" s="861"/>
      <c r="S619" s="861" t="s">
        <v>424</v>
      </c>
      <c r="T619" s="866" t="s">
        <v>3575</v>
      </c>
      <c r="U619" s="865"/>
    </row>
    <row r="620" spans="1:21" ht="15">
      <c r="A620" s="672"/>
      <c r="B620" s="861" t="s">
        <v>3576</v>
      </c>
      <c r="C620" s="861" t="s">
        <v>3577</v>
      </c>
      <c r="D620" s="861" t="s">
        <v>371</v>
      </c>
      <c r="E620" s="861"/>
      <c r="F620" s="862">
        <v>-3.9E-2</v>
      </c>
      <c r="G620" s="870" t="s">
        <v>3578</v>
      </c>
      <c r="H620" s="874">
        <v>105838187.98999999</v>
      </c>
      <c r="I620" s="871"/>
      <c r="J620" s="862">
        <v>0.13900000000000001</v>
      </c>
      <c r="K620" s="868">
        <f t="shared" si="58"/>
        <v>340</v>
      </c>
      <c r="L620" s="861"/>
      <c r="M620" s="671">
        <f t="shared" si="59"/>
        <v>618</v>
      </c>
      <c r="N620" s="671" t="str">
        <f t="shared" si="60"/>
        <v>N/A</v>
      </c>
      <c r="O620" s="671">
        <f t="shared" si="61"/>
        <v>370</v>
      </c>
      <c r="P620" s="861" t="s">
        <v>3579</v>
      </c>
      <c r="Q620" s="861"/>
      <c r="R620" s="861"/>
      <c r="S620" s="861" t="s">
        <v>2376</v>
      </c>
      <c r="T620" s="866" t="s">
        <v>3580</v>
      </c>
      <c r="U620" s="865"/>
    </row>
    <row r="621" spans="1:21" ht="15">
      <c r="A621" s="857"/>
      <c r="B621" s="861" t="s">
        <v>3581</v>
      </c>
      <c r="C621" s="861" t="s">
        <v>3582</v>
      </c>
      <c r="D621" s="861" t="s">
        <v>371</v>
      </c>
      <c r="E621" s="861"/>
      <c r="F621" s="862"/>
      <c r="G621" s="869">
        <v>2.6957611940000001</v>
      </c>
      <c r="H621" s="874">
        <v>105180947.61</v>
      </c>
      <c r="I621" s="871"/>
      <c r="J621" s="863" t="s">
        <v>3583</v>
      </c>
      <c r="K621" s="868">
        <f t="shared" si="58"/>
        <v>316</v>
      </c>
      <c r="L621" s="861"/>
      <c r="M621" s="671">
        <f t="shared" si="59"/>
        <v>619</v>
      </c>
      <c r="N621" s="671" t="str">
        <f t="shared" si="60"/>
        <v>N/A</v>
      </c>
      <c r="O621" s="671" t="str">
        <f t="shared" si="61"/>
        <v>N/A</v>
      </c>
      <c r="P621" s="861" t="s">
        <v>3584</v>
      </c>
      <c r="Q621" s="861" t="s">
        <v>3585</v>
      </c>
      <c r="R621" s="861"/>
      <c r="S621" s="861" t="s">
        <v>3586</v>
      </c>
      <c r="T621" s="866" t="s">
        <v>3587</v>
      </c>
      <c r="U621" s="865"/>
    </row>
    <row r="622" spans="1:21" ht="15">
      <c r="A622" s="672"/>
      <c r="B622" s="861" t="s">
        <v>3588</v>
      </c>
      <c r="C622" s="861" t="s">
        <v>3589</v>
      </c>
      <c r="D622" s="861" t="s">
        <v>371</v>
      </c>
      <c r="E622" s="861"/>
      <c r="F622" s="862"/>
      <c r="G622" s="870" t="s">
        <v>3590</v>
      </c>
      <c r="H622" s="874">
        <v>105179892.73999999</v>
      </c>
      <c r="I622" s="871"/>
      <c r="J622" s="861"/>
      <c r="K622" s="868">
        <f t="shared" si="58"/>
        <v>316</v>
      </c>
      <c r="L622" s="861"/>
      <c r="M622" s="671">
        <f t="shared" si="59"/>
        <v>620</v>
      </c>
      <c r="N622" s="671" t="str">
        <f t="shared" si="60"/>
        <v>N/A</v>
      </c>
      <c r="O622" s="671">
        <f t="shared" si="61"/>
        <v>708</v>
      </c>
      <c r="P622" s="861" t="s">
        <v>1530</v>
      </c>
      <c r="Q622" s="861" t="s">
        <v>3591</v>
      </c>
      <c r="R622" s="861"/>
      <c r="S622" s="861" t="s">
        <v>644</v>
      </c>
      <c r="T622" s="866" t="s">
        <v>3592</v>
      </c>
      <c r="U622" s="865"/>
    </row>
    <row r="623" spans="1:21" ht="15">
      <c r="A623" s="857"/>
      <c r="B623" s="861" t="s">
        <v>3593</v>
      </c>
      <c r="C623" s="861" t="s">
        <v>3594</v>
      </c>
      <c r="D623" s="861" t="s">
        <v>371</v>
      </c>
      <c r="E623" s="861"/>
      <c r="F623" s="862"/>
      <c r="G623" s="869">
        <v>0</v>
      </c>
      <c r="H623" s="874">
        <v>104159214.93000001</v>
      </c>
      <c r="I623" s="871"/>
      <c r="J623" s="863" t="s">
        <v>3595</v>
      </c>
      <c r="K623" s="868">
        <f t="shared" si="58"/>
        <v>316</v>
      </c>
      <c r="L623" s="861"/>
      <c r="M623" s="671">
        <f t="shared" si="59"/>
        <v>621</v>
      </c>
      <c r="N623" s="671" t="str">
        <f t="shared" si="60"/>
        <v>N/A</v>
      </c>
      <c r="O623" s="671" t="str">
        <f t="shared" si="61"/>
        <v>N/A</v>
      </c>
      <c r="P623" s="861" t="s">
        <v>2736</v>
      </c>
      <c r="Q623" s="861"/>
      <c r="R623" s="861"/>
      <c r="S623" s="861" t="s">
        <v>3248</v>
      </c>
      <c r="T623" s="866" t="s">
        <v>3596</v>
      </c>
      <c r="U623" s="865"/>
    </row>
    <row r="624" spans="1:21" ht="15">
      <c r="A624" s="672"/>
      <c r="B624" s="861" t="s">
        <v>3597</v>
      </c>
      <c r="C624" s="861" t="s">
        <v>3598</v>
      </c>
      <c r="D624" s="861" t="s">
        <v>371</v>
      </c>
      <c r="E624" s="861"/>
      <c r="F624" s="862"/>
      <c r="G624" s="870" t="s">
        <v>3599</v>
      </c>
      <c r="H624" s="874">
        <v>103706832.64</v>
      </c>
      <c r="I624" s="871"/>
      <c r="J624" s="862">
        <v>0.34599999999999997</v>
      </c>
      <c r="K624" s="868">
        <f t="shared" si="58"/>
        <v>316</v>
      </c>
      <c r="L624" s="861" t="s">
        <v>547</v>
      </c>
      <c r="M624" s="671">
        <f t="shared" si="59"/>
        <v>622</v>
      </c>
      <c r="N624" s="671" t="str">
        <f t="shared" si="60"/>
        <v>N/A</v>
      </c>
      <c r="O624" s="671">
        <f t="shared" si="61"/>
        <v>81</v>
      </c>
      <c r="P624" s="861" t="s">
        <v>793</v>
      </c>
      <c r="Q624" s="861" t="s">
        <v>3600</v>
      </c>
      <c r="R624" s="861" t="s">
        <v>1150</v>
      </c>
      <c r="S624" s="861" t="s">
        <v>3601</v>
      </c>
      <c r="T624" s="866" t="s">
        <v>3602</v>
      </c>
      <c r="U624" s="865"/>
    </row>
    <row r="625" spans="1:21" ht="15">
      <c r="A625" s="857"/>
      <c r="B625" s="861" t="s">
        <v>3603</v>
      </c>
      <c r="C625" s="861" t="s">
        <v>3604</v>
      </c>
      <c r="D625" s="861" t="s">
        <v>371</v>
      </c>
      <c r="E625" s="861"/>
      <c r="F625" s="862">
        <v>-1.2E-2</v>
      </c>
      <c r="G625" s="869">
        <v>45.941176470000002</v>
      </c>
      <c r="H625" s="874">
        <v>103191784.62</v>
      </c>
      <c r="I625" s="871">
        <v>0.59</v>
      </c>
      <c r="J625" s="862">
        <v>0.126</v>
      </c>
      <c r="K625" s="868">
        <f t="shared" si="58"/>
        <v>324</v>
      </c>
      <c r="L625" s="861"/>
      <c r="M625" s="671">
        <f t="shared" si="59"/>
        <v>623</v>
      </c>
      <c r="N625" s="671">
        <f t="shared" si="60"/>
        <v>305</v>
      </c>
      <c r="O625" s="671">
        <f t="shared" si="61"/>
        <v>410</v>
      </c>
      <c r="P625" s="861" t="s">
        <v>1137</v>
      </c>
      <c r="Q625" s="861"/>
      <c r="R625" s="861"/>
      <c r="S625" s="861" t="s">
        <v>424</v>
      </c>
      <c r="T625" s="866" t="s">
        <v>3605</v>
      </c>
      <c r="U625" s="865"/>
    </row>
    <row r="626" spans="1:21" ht="15">
      <c r="A626" s="672"/>
      <c r="B626" s="861" t="s">
        <v>3606</v>
      </c>
      <c r="C626" s="861" t="s">
        <v>3607</v>
      </c>
      <c r="D626" s="861" t="s">
        <v>371</v>
      </c>
      <c r="E626" s="861"/>
      <c r="F626" s="862"/>
      <c r="G626" s="869">
        <v>2.2818200000000001E-4</v>
      </c>
      <c r="H626" s="874">
        <v>102977681.66</v>
      </c>
      <c r="I626" s="871">
        <v>27.55</v>
      </c>
      <c r="J626" s="862">
        <v>0.32700000000000001</v>
      </c>
      <c r="K626" s="868">
        <f t="shared" si="58"/>
        <v>316</v>
      </c>
      <c r="L626" s="861"/>
      <c r="M626" s="671">
        <f t="shared" si="59"/>
        <v>624</v>
      </c>
      <c r="N626" s="671">
        <f t="shared" si="60"/>
        <v>153</v>
      </c>
      <c r="O626" s="671">
        <f t="shared" si="61"/>
        <v>98</v>
      </c>
      <c r="P626" s="861" t="s">
        <v>1122</v>
      </c>
      <c r="Q626" s="861"/>
      <c r="R626" s="861"/>
      <c r="S626" s="861" t="s">
        <v>404</v>
      </c>
      <c r="T626" s="866" t="s">
        <v>3608</v>
      </c>
      <c r="U626" s="865"/>
    </row>
    <row r="627" spans="1:21" ht="15">
      <c r="A627" s="857"/>
      <c r="B627" s="861" t="s">
        <v>3609</v>
      </c>
      <c r="C627" s="861" t="s">
        <v>3610</v>
      </c>
      <c r="D627" s="861" t="s">
        <v>371</v>
      </c>
      <c r="E627" s="861"/>
      <c r="F627" s="862">
        <v>0.157</v>
      </c>
      <c r="G627" s="869">
        <v>0.25988030400000001</v>
      </c>
      <c r="H627" s="874">
        <v>102777152.94</v>
      </c>
      <c r="I627" s="871"/>
      <c r="J627" s="862">
        <v>0.14099999999999999</v>
      </c>
      <c r="K627" s="868">
        <f t="shared" si="58"/>
        <v>133</v>
      </c>
      <c r="L627" s="861"/>
      <c r="M627" s="671">
        <f t="shared" si="59"/>
        <v>625</v>
      </c>
      <c r="N627" s="671" t="str">
        <f t="shared" si="60"/>
        <v>N/A</v>
      </c>
      <c r="O627" s="671">
        <f t="shared" si="61"/>
        <v>363</v>
      </c>
      <c r="P627" s="861" t="s">
        <v>3611</v>
      </c>
      <c r="Q627" s="861"/>
      <c r="R627" s="861"/>
      <c r="S627" s="861" t="s">
        <v>1848</v>
      </c>
      <c r="T627" s="866" t="s">
        <v>3612</v>
      </c>
      <c r="U627" s="865"/>
    </row>
    <row r="628" spans="1:21" ht="15">
      <c r="A628" s="672"/>
      <c r="B628" s="861" t="s">
        <v>3613</v>
      </c>
      <c r="C628" s="861" t="s">
        <v>3614</v>
      </c>
      <c r="D628" s="861" t="s">
        <v>371</v>
      </c>
      <c r="E628" s="861"/>
      <c r="F628" s="862"/>
      <c r="G628" s="869">
        <v>5.2262718999999999E-2</v>
      </c>
      <c r="H628" s="874">
        <v>101450204.33</v>
      </c>
      <c r="I628" s="872" t="s">
        <v>3615</v>
      </c>
      <c r="J628" s="862">
        <v>0.23599999999999999</v>
      </c>
      <c r="K628" s="868">
        <f t="shared" si="58"/>
        <v>316</v>
      </c>
      <c r="L628" s="861"/>
      <c r="M628" s="671">
        <f t="shared" si="59"/>
        <v>626</v>
      </c>
      <c r="N628" s="671" t="str">
        <f t="shared" si="60"/>
        <v>N/A</v>
      </c>
      <c r="O628" s="671">
        <f t="shared" si="61"/>
        <v>204</v>
      </c>
      <c r="P628" s="861"/>
      <c r="Q628" s="861"/>
      <c r="R628" s="861"/>
      <c r="S628" s="861" t="s">
        <v>392</v>
      </c>
      <c r="T628" s="866" t="s">
        <v>3616</v>
      </c>
      <c r="U628" s="865"/>
    </row>
    <row r="629" spans="1:21" ht="15">
      <c r="A629" s="857"/>
      <c r="B629" s="861" t="s">
        <v>3617</v>
      </c>
      <c r="C629" s="861" t="s">
        <v>3618</v>
      </c>
      <c r="D629" s="861" t="s">
        <v>371</v>
      </c>
      <c r="E629" s="861"/>
      <c r="F629" s="862"/>
      <c r="G629" s="869">
        <v>2.50571E-4</v>
      </c>
      <c r="H629" s="874">
        <v>100830735.79000001</v>
      </c>
      <c r="I629" s="871"/>
      <c r="J629" s="863" t="s">
        <v>3619</v>
      </c>
      <c r="K629" s="868">
        <f t="shared" si="58"/>
        <v>316</v>
      </c>
      <c r="L629" s="861"/>
      <c r="M629" s="671">
        <f t="shared" si="59"/>
        <v>627</v>
      </c>
      <c r="N629" s="671" t="str">
        <f t="shared" si="60"/>
        <v>N/A</v>
      </c>
      <c r="O629" s="671" t="str">
        <f t="shared" si="61"/>
        <v>N/A</v>
      </c>
      <c r="P629" s="861" t="s">
        <v>3620</v>
      </c>
      <c r="Q629" s="861"/>
      <c r="R629" s="861"/>
      <c r="S629" s="861" t="s">
        <v>404</v>
      </c>
      <c r="T629" s="866" t="s">
        <v>3621</v>
      </c>
      <c r="U629" s="865"/>
    </row>
    <row r="630" spans="1:21" ht="15">
      <c r="A630" s="672"/>
      <c r="B630" s="861" t="s">
        <v>3622</v>
      </c>
      <c r="C630" s="861" t="s">
        <v>3623</v>
      </c>
      <c r="D630" s="861" t="s">
        <v>371</v>
      </c>
      <c r="E630" s="861"/>
      <c r="F630" s="862"/>
      <c r="G630" s="870" t="s">
        <v>3624</v>
      </c>
      <c r="H630" s="874">
        <v>100810304.33</v>
      </c>
      <c r="I630" s="872" t="s">
        <v>3625</v>
      </c>
      <c r="J630" s="862">
        <v>7.5999999999999998E-2</v>
      </c>
      <c r="K630" s="868">
        <f t="shared" si="58"/>
        <v>316</v>
      </c>
      <c r="L630" s="861"/>
      <c r="M630" s="671">
        <f t="shared" si="59"/>
        <v>628</v>
      </c>
      <c r="N630" s="671" t="str">
        <f t="shared" si="60"/>
        <v>N/A</v>
      </c>
      <c r="O630" s="671">
        <f t="shared" si="61"/>
        <v>549</v>
      </c>
      <c r="P630" s="861" t="s">
        <v>1906</v>
      </c>
      <c r="Q630" s="861" t="s">
        <v>3626</v>
      </c>
      <c r="R630" s="861"/>
      <c r="S630" s="861" t="s">
        <v>550</v>
      </c>
      <c r="T630" s="866" t="s">
        <v>3627</v>
      </c>
      <c r="U630" s="865"/>
    </row>
    <row r="631" spans="1:21" ht="15">
      <c r="A631" s="857"/>
      <c r="B631" s="861" t="s">
        <v>3628</v>
      </c>
      <c r="C631" s="861" t="s">
        <v>3629</v>
      </c>
      <c r="D631" s="861" t="s">
        <v>371</v>
      </c>
      <c r="E631" s="861"/>
      <c r="F631" s="862"/>
      <c r="G631" s="869">
        <v>1.9323883040000001</v>
      </c>
      <c r="H631" s="874">
        <v>99988983.959999993</v>
      </c>
      <c r="I631" s="871"/>
      <c r="J631" s="862">
        <v>6.3E-2</v>
      </c>
      <c r="K631" s="868">
        <f t="shared" si="58"/>
        <v>316</v>
      </c>
      <c r="L631" s="861"/>
      <c r="M631" s="671">
        <f t="shared" si="59"/>
        <v>629</v>
      </c>
      <c r="N631" s="671" t="str">
        <f t="shared" si="60"/>
        <v>N/A</v>
      </c>
      <c r="O631" s="671">
        <f t="shared" si="61"/>
        <v>573</v>
      </c>
      <c r="P631" s="861" t="s">
        <v>3630</v>
      </c>
      <c r="Q631" s="861"/>
      <c r="R631" s="863" t="s">
        <v>915</v>
      </c>
      <c r="S631" s="861" t="s">
        <v>424</v>
      </c>
      <c r="T631" s="866" t="s">
        <v>3631</v>
      </c>
      <c r="U631" s="865"/>
    </row>
    <row r="632" spans="1:21" ht="15">
      <c r="A632" s="672"/>
      <c r="B632" s="861" t="s">
        <v>3632</v>
      </c>
      <c r="C632" s="861" t="s">
        <v>3633</v>
      </c>
      <c r="D632" s="861" t="s">
        <v>371</v>
      </c>
      <c r="E632" s="861"/>
      <c r="F632" s="862"/>
      <c r="G632" s="870" t="s">
        <v>3634</v>
      </c>
      <c r="H632" s="874">
        <v>99962164.980000004</v>
      </c>
      <c r="I632" s="871">
        <v>152.53</v>
      </c>
      <c r="J632" s="862">
        <v>0.153</v>
      </c>
      <c r="K632" s="868">
        <f t="shared" si="58"/>
        <v>316</v>
      </c>
      <c r="L632" s="861"/>
      <c r="M632" s="671">
        <f t="shared" si="59"/>
        <v>630</v>
      </c>
      <c r="N632" s="671">
        <f t="shared" si="60"/>
        <v>13</v>
      </c>
      <c r="O632" s="671">
        <f t="shared" si="61"/>
        <v>330</v>
      </c>
      <c r="P632" s="861"/>
      <c r="Q632" s="861"/>
      <c r="R632" s="861"/>
      <c r="S632" s="861" t="s">
        <v>2069</v>
      </c>
      <c r="T632" s="866" t="s">
        <v>3635</v>
      </c>
      <c r="U632" s="865"/>
    </row>
    <row r="633" spans="1:21" ht="15">
      <c r="A633" s="857"/>
      <c r="B633" s="861" t="s">
        <v>3636</v>
      </c>
      <c r="C633" s="861" t="s">
        <v>3637</v>
      </c>
      <c r="D633" s="861" t="s">
        <v>371</v>
      </c>
      <c r="E633" s="861"/>
      <c r="F633" s="862">
        <v>0.16900000000000001</v>
      </c>
      <c r="G633" s="869">
        <v>0.30799612599999998</v>
      </c>
      <c r="H633" s="874">
        <v>99476071.620000005</v>
      </c>
      <c r="I633" s="871"/>
      <c r="J633" s="861"/>
      <c r="K633" s="868">
        <f t="shared" si="58"/>
        <v>121</v>
      </c>
      <c r="L633" s="861"/>
      <c r="M633" s="671">
        <f t="shared" si="59"/>
        <v>631</v>
      </c>
      <c r="N633" s="671" t="str">
        <f t="shared" si="60"/>
        <v>N/A</v>
      </c>
      <c r="O633" s="671">
        <f t="shared" si="61"/>
        <v>708</v>
      </c>
      <c r="P633" s="861" t="s">
        <v>2365</v>
      </c>
      <c r="Q633" s="861" t="s">
        <v>3638</v>
      </c>
      <c r="R633" s="861" t="s">
        <v>507</v>
      </c>
      <c r="S633" s="861" t="s">
        <v>3639</v>
      </c>
      <c r="T633" s="866" t="s">
        <v>3640</v>
      </c>
      <c r="U633" s="865"/>
    </row>
    <row r="634" spans="1:21" ht="15">
      <c r="A634" s="672"/>
      <c r="B634" s="861" t="s">
        <v>3641</v>
      </c>
      <c r="C634" s="861" t="s">
        <v>3642</v>
      </c>
      <c r="D634" s="861" t="s">
        <v>371</v>
      </c>
      <c r="E634" s="861"/>
      <c r="F634" s="862"/>
      <c r="G634" s="869">
        <v>0</v>
      </c>
      <c r="H634" s="874">
        <v>98403419.519999996</v>
      </c>
      <c r="I634" s="871"/>
      <c r="J634" s="863" t="s">
        <v>3643</v>
      </c>
      <c r="K634" s="868">
        <f t="shared" si="58"/>
        <v>316</v>
      </c>
      <c r="L634" s="861"/>
      <c r="M634" s="671">
        <f t="shared" si="59"/>
        <v>632</v>
      </c>
      <c r="N634" s="671" t="str">
        <f t="shared" si="60"/>
        <v>N/A</v>
      </c>
      <c r="O634" s="671" t="str">
        <f t="shared" si="61"/>
        <v>N/A</v>
      </c>
      <c r="P634" s="863" t="s">
        <v>3644</v>
      </c>
      <c r="Q634" s="861"/>
      <c r="R634" s="861" t="s">
        <v>1860</v>
      </c>
      <c r="S634" s="861" t="s">
        <v>569</v>
      </c>
      <c r="T634" s="866" t="s">
        <v>3645</v>
      </c>
      <c r="U634" s="865"/>
    </row>
    <row r="635" spans="1:21" ht="15">
      <c r="A635" s="857"/>
      <c r="B635" s="861" t="s">
        <v>3646</v>
      </c>
      <c r="C635" s="861" t="s">
        <v>3647</v>
      </c>
      <c r="D635" s="861" t="s">
        <v>371</v>
      </c>
      <c r="E635" s="861"/>
      <c r="F635" s="862"/>
      <c r="G635" s="870" t="s">
        <v>3648</v>
      </c>
      <c r="H635" s="874">
        <v>98008084.549999997</v>
      </c>
      <c r="I635" s="871"/>
      <c r="J635" s="863" t="s">
        <v>3649</v>
      </c>
      <c r="K635" s="868">
        <f t="shared" si="58"/>
        <v>316</v>
      </c>
      <c r="L635" s="861" t="s">
        <v>454</v>
      </c>
      <c r="M635" s="671">
        <f t="shared" si="59"/>
        <v>633</v>
      </c>
      <c r="N635" s="671" t="str">
        <f t="shared" si="60"/>
        <v>N/A</v>
      </c>
      <c r="O635" s="671" t="str">
        <f t="shared" si="61"/>
        <v>N/A</v>
      </c>
      <c r="P635" s="861" t="s">
        <v>3650</v>
      </c>
      <c r="Q635" s="861" t="s">
        <v>3651</v>
      </c>
      <c r="R635" s="861"/>
      <c r="S635" s="861" t="s">
        <v>1893</v>
      </c>
      <c r="T635" s="866" t="s">
        <v>3652</v>
      </c>
      <c r="U635" s="865"/>
    </row>
    <row r="636" spans="1:21" ht="15">
      <c r="A636" s="672"/>
      <c r="B636" s="861" t="s">
        <v>3653</v>
      </c>
      <c r="C636" s="861" t="s">
        <v>3654</v>
      </c>
      <c r="D636" s="861" t="s">
        <v>371</v>
      </c>
      <c r="E636" s="861"/>
      <c r="F636" s="862">
        <v>-0.316</v>
      </c>
      <c r="G636" s="870" t="s">
        <v>3655</v>
      </c>
      <c r="H636" s="874">
        <v>97005368.450000003</v>
      </c>
      <c r="I636" s="871">
        <v>2.11</v>
      </c>
      <c r="J636" s="863" t="s">
        <v>941</v>
      </c>
      <c r="K636" s="868">
        <f t="shared" si="58"/>
        <v>449</v>
      </c>
      <c r="L636" s="861" t="s">
        <v>734</v>
      </c>
      <c r="M636" s="671">
        <f t="shared" si="59"/>
        <v>634</v>
      </c>
      <c r="N636" s="671">
        <f t="shared" si="60"/>
        <v>293</v>
      </c>
      <c r="O636" s="671" t="str">
        <f t="shared" si="61"/>
        <v>N/A</v>
      </c>
      <c r="P636" s="861" t="s">
        <v>3656</v>
      </c>
      <c r="Q636" s="861"/>
      <c r="R636" s="861"/>
      <c r="S636" s="861" t="s">
        <v>3657</v>
      </c>
      <c r="T636" s="866" t="s">
        <v>3658</v>
      </c>
      <c r="U636" s="865"/>
    </row>
    <row r="637" spans="1:21" ht="15">
      <c r="A637" s="857"/>
      <c r="B637" s="861" t="s">
        <v>3659</v>
      </c>
      <c r="C637" s="861" t="s">
        <v>3660</v>
      </c>
      <c r="D637" s="861" t="s">
        <v>371</v>
      </c>
      <c r="E637" s="861"/>
      <c r="F637" s="862"/>
      <c r="G637" s="870" t="s">
        <v>3661</v>
      </c>
      <c r="H637" s="874">
        <v>96802371.930000007</v>
      </c>
      <c r="I637" s="871"/>
      <c r="J637" s="863" t="s">
        <v>3662</v>
      </c>
      <c r="K637" s="868">
        <f t="shared" si="58"/>
        <v>316</v>
      </c>
      <c r="L637" s="861"/>
      <c r="M637" s="671">
        <f t="shared" si="59"/>
        <v>635</v>
      </c>
      <c r="N637" s="671" t="str">
        <f t="shared" si="60"/>
        <v>N/A</v>
      </c>
      <c r="O637" s="671" t="str">
        <f t="shared" si="61"/>
        <v>N/A</v>
      </c>
      <c r="P637" s="861" t="s">
        <v>3663</v>
      </c>
      <c r="Q637" s="861" t="s">
        <v>3664</v>
      </c>
      <c r="R637" s="861"/>
      <c r="S637" s="861" t="s">
        <v>1475</v>
      </c>
      <c r="T637" s="866" t="s">
        <v>3665</v>
      </c>
      <c r="U637" s="865"/>
    </row>
    <row r="638" spans="1:21" ht="15">
      <c r="A638" s="672"/>
      <c r="B638" s="861" t="s">
        <v>3666</v>
      </c>
      <c r="C638" s="861" t="s">
        <v>3667</v>
      </c>
      <c r="D638" s="861" t="s">
        <v>371</v>
      </c>
      <c r="E638" s="861"/>
      <c r="F638" s="862"/>
      <c r="G638" s="870" t="s">
        <v>3668</v>
      </c>
      <c r="H638" s="874">
        <v>95991078.280000001</v>
      </c>
      <c r="I638" s="871"/>
      <c r="J638" s="863" t="s">
        <v>3669</v>
      </c>
      <c r="K638" s="868">
        <f t="shared" si="58"/>
        <v>316</v>
      </c>
      <c r="L638" s="863" t="s">
        <v>3670</v>
      </c>
      <c r="M638" s="671">
        <f t="shared" si="59"/>
        <v>636</v>
      </c>
      <c r="N638" s="671" t="str">
        <f t="shared" si="60"/>
        <v>N/A</v>
      </c>
      <c r="O638" s="671" t="str">
        <f t="shared" si="61"/>
        <v>N/A</v>
      </c>
      <c r="P638" s="861" t="s">
        <v>3671</v>
      </c>
      <c r="Q638" s="861" t="s">
        <v>3672</v>
      </c>
      <c r="R638" s="861" t="s">
        <v>1326</v>
      </c>
      <c r="S638" s="861" t="s">
        <v>3673</v>
      </c>
      <c r="T638" s="866" t="s">
        <v>3674</v>
      </c>
      <c r="U638" s="865"/>
    </row>
    <row r="639" spans="1:21" ht="15">
      <c r="A639" s="857"/>
      <c r="B639" s="861" t="s">
        <v>3675</v>
      </c>
      <c r="C639" s="861" t="s">
        <v>3676</v>
      </c>
      <c r="D639" s="861" t="s">
        <v>371</v>
      </c>
      <c r="E639" s="861"/>
      <c r="F639" s="862">
        <v>4.7E-2</v>
      </c>
      <c r="G639" s="870" t="s">
        <v>3677</v>
      </c>
      <c r="H639" s="874">
        <v>95924173.510000005</v>
      </c>
      <c r="I639" s="871"/>
      <c r="J639" s="862">
        <v>0.188</v>
      </c>
      <c r="K639" s="868">
        <f t="shared" si="58"/>
        <v>259</v>
      </c>
      <c r="L639" s="861"/>
      <c r="M639" s="671">
        <f t="shared" si="59"/>
        <v>637</v>
      </c>
      <c r="N639" s="671" t="str">
        <f t="shared" si="60"/>
        <v>N/A</v>
      </c>
      <c r="O639" s="671">
        <f t="shared" si="61"/>
        <v>275</v>
      </c>
      <c r="P639" s="861" t="s">
        <v>3678</v>
      </c>
      <c r="Q639" s="861" t="s">
        <v>3679</v>
      </c>
      <c r="R639" s="861"/>
      <c r="S639" s="861" t="s">
        <v>2146</v>
      </c>
      <c r="T639" s="866" t="s">
        <v>3680</v>
      </c>
      <c r="U639" s="865"/>
    </row>
    <row r="640" spans="1:21" ht="15">
      <c r="A640" s="672"/>
      <c r="B640" s="861" t="s">
        <v>3681</v>
      </c>
      <c r="C640" s="861" t="s">
        <v>3682</v>
      </c>
      <c r="D640" s="861" t="s">
        <v>371</v>
      </c>
      <c r="E640" s="861"/>
      <c r="F640" s="862"/>
      <c r="G640" s="869">
        <v>0.113265306</v>
      </c>
      <c r="H640" s="874">
        <v>95646418.840000004</v>
      </c>
      <c r="I640" s="871"/>
      <c r="J640" s="862">
        <v>0.114</v>
      </c>
      <c r="K640" s="868">
        <f t="shared" si="58"/>
        <v>316</v>
      </c>
      <c r="L640" s="861"/>
      <c r="M640" s="671">
        <f t="shared" si="59"/>
        <v>638</v>
      </c>
      <c r="N640" s="671" t="str">
        <f t="shared" si="60"/>
        <v>N/A</v>
      </c>
      <c r="O640" s="671">
        <f t="shared" si="61"/>
        <v>446</v>
      </c>
      <c r="P640" s="861" t="s">
        <v>3683</v>
      </c>
      <c r="Q640" s="861"/>
      <c r="R640" s="861"/>
      <c r="S640" s="861" t="s">
        <v>964</v>
      </c>
      <c r="T640" s="866" t="s">
        <v>3684</v>
      </c>
      <c r="U640" s="865"/>
    </row>
    <row r="641" spans="1:21" ht="15">
      <c r="A641" s="857"/>
      <c r="B641" s="861" t="s">
        <v>3685</v>
      </c>
      <c r="C641" s="861" t="s">
        <v>3686</v>
      </c>
      <c r="D641" s="861" t="s">
        <v>371</v>
      </c>
      <c r="E641" s="861"/>
      <c r="F641" s="862">
        <v>3.0000000000000001E-3</v>
      </c>
      <c r="G641" s="870" t="s">
        <v>3687</v>
      </c>
      <c r="H641" s="874">
        <v>95288070.989999995</v>
      </c>
      <c r="I641" s="871"/>
      <c r="J641" s="863" t="s">
        <v>3688</v>
      </c>
      <c r="K641" s="868">
        <f t="shared" si="58"/>
        <v>313</v>
      </c>
      <c r="L641" s="861"/>
      <c r="M641" s="671">
        <f t="shared" si="59"/>
        <v>639</v>
      </c>
      <c r="N641" s="671" t="str">
        <f t="shared" si="60"/>
        <v>N/A</v>
      </c>
      <c r="O641" s="671" t="str">
        <f t="shared" si="61"/>
        <v>N/A</v>
      </c>
      <c r="P641" s="861" t="s">
        <v>3689</v>
      </c>
      <c r="Q641" s="861"/>
      <c r="R641" s="861"/>
      <c r="S641" s="861" t="s">
        <v>424</v>
      </c>
      <c r="T641" s="866" t="s">
        <v>3690</v>
      </c>
      <c r="U641" s="865"/>
    </row>
    <row r="642" spans="1:21" ht="15">
      <c r="A642" s="672"/>
      <c r="B642" s="861" t="s">
        <v>3691</v>
      </c>
      <c r="C642" s="861" t="s">
        <v>3692</v>
      </c>
      <c r="D642" s="861" t="s">
        <v>371</v>
      </c>
      <c r="E642" s="861"/>
      <c r="F642" s="862"/>
      <c r="G642" s="869">
        <v>0</v>
      </c>
      <c r="H642" s="874">
        <v>93806553.420000002</v>
      </c>
      <c r="I642" s="871"/>
      <c r="J642" s="862">
        <v>0.13600000000000001</v>
      </c>
      <c r="K642" s="868">
        <f t="shared" si="58"/>
        <v>316</v>
      </c>
      <c r="L642" s="861"/>
      <c r="M642" s="671">
        <f t="shared" si="59"/>
        <v>640</v>
      </c>
      <c r="N642" s="671" t="str">
        <f t="shared" si="60"/>
        <v>N/A</v>
      </c>
      <c r="O642" s="671">
        <f t="shared" si="61"/>
        <v>382</v>
      </c>
      <c r="P642" s="861" t="s">
        <v>3693</v>
      </c>
      <c r="Q642" s="861" t="s">
        <v>1865</v>
      </c>
      <c r="R642" s="861"/>
      <c r="S642" s="861" t="s">
        <v>3694</v>
      </c>
      <c r="T642" s="866" t="s">
        <v>3695</v>
      </c>
      <c r="U642" s="865"/>
    </row>
    <row r="643" spans="1:21" ht="15">
      <c r="A643" s="857"/>
      <c r="B643" s="861" t="s">
        <v>3696</v>
      </c>
      <c r="C643" s="861" t="s">
        <v>3697</v>
      </c>
      <c r="D643" s="861" t="s">
        <v>371</v>
      </c>
      <c r="E643" s="861"/>
      <c r="F643" s="862">
        <v>0.14699999999999999</v>
      </c>
      <c r="G643" s="869">
        <v>2.0357401839999998</v>
      </c>
      <c r="H643" s="874">
        <v>92578482.170000002</v>
      </c>
      <c r="I643" s="871"/>
      <c r="J643" s="862">
        <v>8.5999999999999993E-2</v>
      </c>
      <c r="K643" s="868">
        <f t="shared" si="58"/>
        <v>144</v>
      </c>
      <c r="L643" s="861"/>
      <c r="M643" s="671">
        <f t="shared" si="59"/>
        <v>641</v>
      </c>
      <c r="N643" s="671" t="str">
        <f t="shared" si="60"/>
        <v>N/A</v>
      </c>
      <c r="O643" s="671">
        <f t="shared" si="61"/>
        <v>529</v>
      </c>
      <c r="P643" s="861" t="s">
        <v>1236</v>
      </c>
      <c r="Q643" s="861" t="s">
        <v>3698</v>
      </c>
      <c r="R643" s="861" t="s">
        <v>3239</v>
      </c>
      <c r="S643" s="861" t="s">
        <v>3699</v>
      </c>
      <c r="T643" s="866" t="s">
        <v>3700</v>
      </c>
      <c r="U643" s="865"/>
    </row>
    <row r="644" spans="1:21" ht="15">
      <c r="A644" s="672"/>
      <c r="B644" s="861" t="s">
        <v>3701</v>
      </c>
      <c r="C644" s="861" t="s">
        <v>3702</v>
      </c>
      <c r="D644" s="861" t="s">
        <v>371</v>
      </c>
      <c r="E644" s="861"/>
      <c r="F644" s="862"/>
      <c r="G644" s="869">
        <v>6.8839946999999999E-2</v>
      </c>
      <c r="H644" s="874">
        <v>91564783.650000006</v>
      </c>
      <c r="I644" s="871"/>
      <c r="J644" s="862">
        <v>0.23300000000000001</v>
      </c>
      <c r="K644" s="868">
        <f t="shared" ref="K644:K707" si="62">IFERROR(_xlfn.RANK.EQ(F644,F$3:F$1770),"N/A")</f>
        <v>316</v>
      </c>
      <c r="L644" s="863" t="s">
        <v>937</v>
      </c>
      <c r="M644" s="671">
        <f t="shared" ref="M644:M707" si="63">IFERROR(_xlfn.RANK.EQ(H644,H$3:H$1770),"N/A")</f>
        <v>642</v>
      </c>
      <c r="N644" s="671" t="str">
        <f t="shared" ref="N644:N707" si="64">IFERROR(_xlfn.RANK.EQ(I644,I$3:I$1770),"N/A")</f>
        <v>N/A</v>
      </c>
      <c r="O644" s="671">
        <f t="shared" ref="O644:O707" si="65">IFERROR(_xlfn.RANK.EQ(J644,J$3:J$1770),"N/A")</f>
        <v>208</v>
      </c>
      <c r="P644" s="861" t="s">
        <v>761</v>
      </c>
      <c r="Q644" s="861"/>
      <c r="R644" s="861"/>
      <c r="S644" s="861" t="s">
        <v>2110</v>
      </c>
      <c r="T644" s="866" t="s">
        <v>3703</v>
      </c>
      <c r="U644" s="865"/>
    </row>
    <row r="645" spans="1:21" ht="15">
      <c r="A645" s="857"/>
      <c r="B645" s="861" t="s">
        <v>3704</v>
      </c>
      <c r="C645" s="861" t="s">
        <v>3705</v>
      </c>
      <c r="D645" s="861" t="s">
        <v>371</v>
      </c>
      <c r="E645" s="861"/>
      <c r="F645" s="862">
        <v>-0.09</v>
      </c>
      <c r="G645" s="870" t="s">
        <v>3706</v>
      </c>
      <c r="H645" s="874">
        <v>91377400.579999998</v>
      </c>
      <c r="I645" s="871"/>
      <c r="J645" s="862">
        <v>2.1000000000000001E-2</v>
      </c>
      <c r="K645" s="868">
        <f t="shared" si="62"/>
        <v>375</v>
      </c>
      <c r="L645" s="861"/>
      <c r="M645" s="671">
        <f t="shared" si="63"/>
        <v>643</v>
      </c>
      <c r="N645" s="671" t="str">
        <f t="shared" si="64"/>
        <v>N/A</v>
      </c>
      <c r="O645" s="671">
        <f t="shared" si="65"/>
        <v>666</v>
      </c>
      <c r="P645" s="861"/>
      <c r="Q645" s="861"/>
      <c r="R645" s="861"/>
      <c r="S645" s="861" t="s">
        <v>487</v>
      </c>
      <c r="T645" s="866" t="s">
        <v>3707</v>
      </c>
      <c r="U645" s="865"/>
    </row>
    <row r="646" spans="1:21" ht="15">
      <c r="A646" s="672"/>
      <c r="B646" s="861" t="s">
        <v>3708</v>
      </c>
      <c r="C646" s="861" t="s">
        <v>3709</v>
      </c>
      <c r="D646" s="861" t="s">
        <v>371</v>
      </c>
      <c r="E646" s="861"/>
      <c r="F646" s="862"/>
      <c r="G646" s="869">
        <v>7.9192147190000002</v>
      </c>
      <c r="H646" s="874">
        <v>90269156.930000007</v>
      </c>
      <c r="I646" s="871"/>
      <c r="J646" s="861"/>
      <c r="K646" s="868">
        <f t="shared" si="62"/>
        <v>316</v>
      </c>
      <c r="L646" s="861"/>
      <c r="M646" s="671">
        <f t="shared" si="63"/>
        <v>644</v>
      </c>
      <c r="N646" s="671" t="str">
        <f t="shared" si="64"/>
        <v>N/A</v>
      </c>
      <c r="O646" s="671">
        <f t="shared" si="65"/>
        <v>708</v>
      </c>
      <c r="P646" s="861" t="s">
        <v>1150</v>
      </c>
      <c r="Q646" s="861" t="s">
        <v>2246</v>
      </c>
      <c r="R646" s="861"/>
      <c r="S646" s="861" t="s">
        <v>3710</v>
      </c>
      <c r="T646" s="866" t="s">
        <v>3711</v>
      </c>
      <c r="U646" s="865"/>
    </row>
    <row r="647" spans="1:21" ht="15">
      <c r="A647" s="857"/>
      <c r="B647" s="861" t="s">
        <v>3712</v>
      </c>
      <c r="C647" s="861" t="s">
        <v>3713</v>
      </c>
      <c r="D647" s="861" t="s">
        <v>371</v>
      </c>
      <c r="E647" s="861"/>
      <c r="F647" s="862"/>
      <c r="G647" s="869">
        <v>3.3245585000000001E-2</v>
      </c>
      <c r="H647" s="874">
        <v>89874536.25</v>
      </c>
      <c r="I647" s="871"/>
      <c r="J647" s="863" t="s">
        <v>3714</v>
      </c>
      <c r="K647" s="868">
        <f t="shared" si="62"/>
        <v>316</v>
      </c>
      <c r="L647" s="861" t="s">
        <v>473</v>
      </c>
      <c r="M647" s="671">
        <f t="shared" si="63"/>
        <v>645</v>
      </c>
      <c r="N647" s="671" t="str">
        <f t="shared" si="64"/>
        <v>N/A</v>
      </c>
      <c r="O647" s="671" t="str">
        <f t="shared" si="65"/>
        <v>N/A</v>
      </c>
      <c r="P647" s="861" t="s">
        <v>1236</v>
      </c>
      <c r="Q647" s="861" t="s">
        <v>3715</v>
      </c>
      <c r="R647" s="861"/>
      <c r="S647" s="861" t="s">
        <v>3716</v>
      </c>
      <c r="T647" s="866" t="s">
        <v>3717</v>
      </c>
      <c r="U647" s="865"/>
    </row>
    <row r="648" spans="1:21" ht="15">
      <c r="A648" s="672"/>
      <c r="B648" s="861" t="s">
        <v>3718</v>
      </c>
      <c r="C648" s="861" t="s">
        <v>3719</v>
      </c>
      <c r="D648" s="861" t="s">
        <v>371</v>
      </c>
      <c r="E648" s="861"/>
      <c r="F648" s="862"/>
      <c r="G648" s="870" t="s">
        <v>3720</v>
      </c>
      <c r="H648" s="874">
        <v>89724326.930000007</v>
      </c>
      <c r="I648" s="871">
        <v>104.62</v>
      </c>
      <c r="J648" s="862">
        <v>9.1999999999999998E-2</v>
      </c>
      <c r="K648" s="868">
        <f t="shared" si="62"/>
        <v>316</v>
      </c>
      <c r="L648" s="861" t="s">
        <v>424</v>
      </c>
      <c r="M648" s="671">
        <f t="shared" si="63"/>
        <v>646</v>
      </c>
      <c r="N648" s="671">
        <f t="shared" si="64"/>
        <v>29</v>
      </c>
      <c r="O648" s="671">
        <f t="shared" si="65"/>
        <v>519</v>
      </c>
      <c r="P648" s="861" t="s">
        <v>3721</v>
      </c>
      <c r="Q648" s="861"/>
      <c r="R648" s="861" t="s">
        <v>424</v>
      </c>
      <c r="S648" s="861" t="s">
        <v>2069</v>
      </c>
      <c r="T648" s="866" t="s">
        <v>3722</v>
      </c>
      <c r="U648" s="865"/>
    </row>
    <row r="649" spans="1:21" ht="15">
      <c r="A649" s="857"/>
      <c r="B649" s="861" t="s">
        <v>3723</v>
      </c>
      <c r="C649" s="861" t="s">
        <v>3724</v>
      </c>
      <c r="D649" s="861" t="s">
        <v>371</v>
      </c>
      <c r="E649" s="861"/>
      <c r="F649" s="862"/>
      <c r="G649" s="869">
        <v>2.4533917189999999</v>
      </c>
      <c r="H649" s="874">
        <v>89304918.980000004</v>
      </c>
      <c r="I649" s="871"/>
      <c r="J649" s="862">
        <v>1.6E-2</v>
      </c>
      <c r="K649" s="868">
        <f t="shared" si="62"/>
        <v>316</v>
      </c>
      <c r="L649" s="861"/>
      <c r="M649" s="671">
        <f t="shared" si="63"/>
        <v>647</v>
      </c>
      <c r="N649" s="671" t="str">
        <f t="shared" si="64"/>
        <v>N/A</v>
      </c>
      <c r="O649" s="671">
        <f t="shared" si="65"/>
        <v>674</v>
      </c>
      <c r="P649" s="861"/>
      <c r="Q649" s="861"/>
      <c r="R649" s="861"/>
      <c r="S649" s="861" t="s">
        <v>424</v>
      </c>
      <c r="T649" s="866" t="s">
        <v>3725</v>
      </c>
      <c r="U649" s="865"/>
    </row>
    <row r="650" spans="1:21" ht="15">
      <c r="A650" s="672"/>
      <c r="B650" s="861" t="s">
        <v>3726</v>
      </c>
      <c r="C650" s="861" t="s">
        <v>3727</v>
      </c>
      <c r="D650" s="861" t="s">
        <v>371</v>
      </c>
      <c r="E650" s="861"/>
      <c r="F650" s="862"/>
      <c r="G650" s="869">
        <v>10.16348309</v>
      </c>
      <c r="H650" s="874">
        <v>88207458.810000002</v>
      </c>
      <c r="I650" s="871"/>
      <c r="J650" s="862">
        <v>4.8000000000000001E-2</v>
      </c>
      <c r="K650" s="868">
        <f t="shared" si="62"/>
        <v>316</v>
      </c>
      <c r="L650" s="861" t="s">
        <v>2780</v>
      </c>
      <c r="M650" s="671">
        <f t="shared" si="63"/>
        <v>648</v>
      </c>
      <c r="N650" s="671" t="str">
        <f t="shared" si="64"/>
        <v>N/A</v>
      </c>
      <c r="O650" s="671">
        <f t="shared" si="65"/>
        <v>607</v>
      </c>
      <c r="P650" s="861" t="s">
        <v>838</v>
      </c>
      <c r="Q650" s="861"/>
      <c r="R650" s="861" t="s">
        <v>1574</v>
      </c>
      <c r="S650" s="861" t="s">
        <v>3728</v>
      </c>
      <c r="T650" s="866" t="s">
        <v>3729</v>
      </c>
      <c r="U650" s="865"/>
    </row>
    <row r="651" spans="1:21" ht="15">
      <c r="A651" s="857"/>
      <c r="B651" s="861" t="s">
        <v>3730</v>
      </c>
      <c r="C651" s="861" t="s">
        <v>3731</v>
      </c>
      <c r="D651" s="861" t="s">
        <v>371</v>
      </c>
      <c r="E651" s="861"/>
      <c r="F651" s="862"/>
      <c r="G651" s="870" t="s">
        <v>3732</v>
      </c>
      <c r="H651" s="874">
        <v>87517035.709999993</v>
      </c>
      <c r="I651" s="871"/>
      <c r="J651" s="862">
        <v>5.8999999999999997E-2</v>
      </c>
      <c r="K651" s="868">
        <f t="shared" si="62"/>
        <v>316</v>
      </c>
      <c r="L651" s="861"/>
      <c r="M651" s="671">
        <f t="shared" si="63"/>
        <v>649</v>
      </c>
      <c r="N651" s="671" t="str">
        <f t="shared" si="64"/>
        <v>N/A</v>
      </c>
      <c r="O651" s="671">
        <f t="shared" si="65"/>
        <v>585</v>
      </c>
      <c r="P651" s="861" t="s">
        <v>3733</v>
      </c>
      <c r="Q651" s="861"/>
      <c r="R651" s="861"/>
      <c r="S651" s="861" t="s">
        <v>392</v>
      </c>
      <c r="T651" s="866" t="s">
        <v>3734</v>
      </c>
      <c r="U651" s="865"/>
    </row>
    <row r="652" spans="1:21" ht="15">
      <c r="A652" s="672"/>
      <c r="B652" s="861" t="s">
        <v>3735</v>
      </c>
      <c r="C652" s="861" t="s">
        <v>3736</v>
      </c>
      <c r="D652" s="861" t="s">
        <v>371</v>
      </c>
      <c r="E652" s="861"/>
      <c r="F652" s="862"/>
      <c r="G652" s="870" t="s">
        <v>3737</v>
      </c>
      <c r="H652" s="874">
        <v>87257832.430000007</v>
      </c>
      <c r="I652" s="871"/>
      <c r="J652" s="862">
        <v>0.18099999999999999</v>
      </c>
      <c r="K652" s="868">
        <f t="shared" si="62"/>
        <v>316</v>
      </c>
      <c r="L652" s="861"/>
      <c r="M652" s="671">
        <f t="shared" si="63"/>
        <v>650</v>
      </c>
      <c r="N652" s="671" t="str">
        <f t="shared" si="64"/>
        <v>N/A</v>
      </c>
      <c r="O652" s="671">
        <f t="shared" si="65"/>
        <v>287</v>
      </c>
      <c r="P652" s="861" t="s">
        <v>3738</v>
      </c>
      <c r="Q652" s="861"/>
      <c r="R652" s="861"/>
      <c r="S652" s="861" t="s">
        <v>1369</v>
      </c>
      <c r="T652" s="866" t="s">
        <v>3739</v>
      </c>
      <c r="U652" s="865"/>
    </row>
    <row r="653" spans="1:21" ht="15">
      <c r="A653" s="857"/>
      <c r="B653" s="861" t="s">
        <v>3740</v>
      </c>
      <c r="C653" s="861" t="s">
        <v>3741</v>
      </c>
      <c r="D653" s="861" t="s">
        <v>371</v>
      </c>
      <c r="E653" s="861"/>
      <c r="F653" s="862"/>
      <c r="G653" s="869">
        <v>0.56843528200000004</v>
      </c>
      <c r="H653" s="874">
        <v>86828122.519999996</v>
      </c>
      <c r="I653" s="871"/>
      <c r="J653" s="862">
        <v>0.153</v>
      </c>
      <c r="K653" s="868">
        <f t="shared" si="62"/>
        <v>316</v>
      </c>
      <c r="L653" s="861"/>
      <c r="M653" s="671">
        <f t="shared" si="63"/>
        <v>651</v>
      </c>
      <c r="N653" s="671" t="str">
        <f t="shared" si="64"/>
        <v>N/A</v>
      </c>
      <c r="O653" s="671">
        <f t="shared" si="65"/>
        <v>330</v>
      </c>
      <c r="P653" s="861" t="s">
        <v>3742</v>
      </c>
      <c r="Q653" s="861" t="s">
        <v>3743</v>
      </c>
      <c r="R653" s="861"/>
      <c r="S653" s="861" t="s">
        <v>1177</v>
      </c>
      <c r="T653" s="866" t="s">
        <v>3744</v>
      </c>
      <c r="U653" s="865"/>
    </row>
    <row r="654" spans="1:21" ht="15">
      <c r="A654" s="672"/>
      <c r="B654" s="861" t="s">
        <v>3745</v>
      </c>
      <c r="C654" s="861" t="s">
        <v>3746</v>
      </c>
      <c r="D654" s="861" t="s">
        <v>371</v>
      </c>
      <c r="E654" s="861"/>
      <c r="F654" s="862"/>
      <c r="G654" s="869">
        <v>7.4652118000000003E-2</v>
      </c>
      <c r="H654" s="874">
        <v>86569113.189999998</v>
      </c>
      <c r="I654" s="871"/>
      <c r="J654" s="862">
        <v>0.10299999999999999</v>
      </c>
      <c r="K654" s="868">
        <f t="shared" si="62"/>
        <v>316</v>
      </c>
      <c r="L654" s="861"/>
      <c r="M654" s="671">
        <f t="shared" si="63"/>
        <v>652</v>
      </c>
      <c r="N654" s="671" t="str">
        <f t="shared" si="64"/>
        <v>N/A</v>
      </c>
      <c r="O654" s="671">
        <f t="shared" si="65"/>
        <v>482</v>
      </c>
      <c r="P654" s="861"/>
      <c r="Q654" s="861"/>
      <c r="R654" s="861"/>
      <c r="S654" s="861" t="s">
        <v>424</v>
      </c>
      <c r="T654" s="866" t="s">
        <v>3747</v>
      </c>
      <c r="U654" s="865"/>
    </row>
    <row r="655" spans="1:21" ht="15">
      <c r="A655" s="857"/>
      <c r="B655" s="861" t="s">
        <v>3748</v>
      </c>
      <c r="C655" s="861" t="s">
        <v>3749</v>
      </c>
      <c r="D655" s="861" t="s">
        <v>371</v>
      </c>
      <c r="E655" s="861"/>
      <c r="F655" s="862"/>
      <c r="G655" s="869">
        <v>3.9608401569999998</v>
      </c>
      <c r="H655" s="874">
        <v>86507166.739999995</v>
      </c>
      <c r="I655" s="871"/>
      <c r="J655" s="863"/>
      <c r="K655" s="868">
        <f t="shared" si="62"/>
        <v>316</v>
      </c>
      <c r="L655" s="861" t="s">
        <v>2069</v>
      </c>
      <c r="M655" s="671">
        <f t="shared" si="63"/>
        <v>653</v>
      </c>
      <c r="N655" s="671" t="str">
        <f t="shared" si="64"/>
        <v>N/A</v>
      </c>
      <c r="O655" s="671">
        <f t="shared" si="65"/>
        <v>708</v>
      </c>
      <c r="P655" s="861" t="s">
        <v>3750</v>
      </c>
      <c r="Q655" s="861" t="s">
        <v>3751</v>
      </c>
      <c r="R655" s="863" t="s">
        <v>1017</v>
      </c>
      <c r="S655" s="861" t="s">
        <v>2768</v>
      </c>
      <c r="T655" s="866" t="s">
        <v>3752</v>
      </c>
      <c r="U655" s="865"/>
    </row>
    <row r="656" spans="1:21" ht="15">
      <c r="A656" s="672"/>
      <c r="B656" s="861" t="s">
        <v>3753</v>
      </c>
      <c r="C656" s="861" t="s">
        <v>3754</v>
      </c>
      <c r="D656" s="861" t="s">
        <v>371</v>
      </c>
      <c r="E656" s="861"/>
      <c r="F656" s="862"/>
      <c r="G656" s="869">
        <v>1.5894212109999999</v>
      </c>
      <c r="H656" s="874">
        <v>84931813.140000001</v>
      </c>
      <c r="I656" s="871"/>
      <c r="J656" s="862">
        <v>0.11899999999999999</v>
      </c>
      <c r="K656" s="868">
        <f t="shared" si="62"/>
        <v>316</v>
      </c>
      <c r="L656" s="861"/>
      <c r="M656" s="671">
        <f t="shared" si="63"/>
        <v>654</v>
      </c>
      <c r="N656" s="671" t="str">
        <f t="shared" si="64"/>
        <v>N/A</v>
      </c>
      <c r="O656" s="671">
        <f t="shared" si="65"/>
        <v>432</v>
      </c>
      <c r="P656" s="861" t="s">
        <v>3755</v>
      </c>
      <c r="Q656" s="861"/>
      <c r="R656" s="861"/>
      <c r="S656" s="861" t="s">
        <v>1497</v>
      </c>
      <c r="T656" s="866" t="s">
        <v>3756</v>
      </c>
      <c r="U656" s="865"/>
    </row>
    <row r="657" spans="1:21" ht="15">
      <c r="A657" s="857"/>
      <c r="B657" s="861" t="s">
        <v>3757</v>
      </c>
      <c r="C657" s="861" t="s">
        <v>3758</v>
      </c>
      <c r="D657" s="861" t="s">
        <v>371</v>
      </c>
      <c r="E657" s="861"/>
      <c r="F657" s="862"/>
      <c r="G657" s="869">
        <v>0.34265145699999999</v>
      </c>
      <c r="H657" s="874">
        <v>83323060.209999993</v>
      </c>
      <c r="I657" s="871"/>
      <c r="J657" s="862">
        <v>0.47099999999999997</v>
      </c>
      <c r="K657" s="868">
        <f t="shared" si="62"/>
        <v>316</v>
      </c>
      <c r="L657" s="861"/>
      <c r="M657" s="671">
        <f t="shared" si="63"/>
        <v>655</v>
      </c>
      <c r="N657" s="671" t="str">
        <f t="shared" si="64"/>
        <v>N/A</v>
      </c>
      <c r="O657" s="671">
        <f t="shared" si="65"/>
        <v>31</v>
      </c>
      <c r="P657" s="861" t="s">
        <v>3584</v>
      </c>
      <c r="Q657" s="861" t="s">
        <v>3759</v>
      </c>
      <c r="R657" s="861"/>
      <c r="S657" s="861" t="s">
        <v>820</v>
      </c>
      <c r="T657" s="866" t="s">
        <v>3760</v>
      </c>
      <c r="U657" s="865"/>
    </row>
    <row r="658" spans="1:21" ht="15">
      <c r="A658" s="672"/>
      <c r="B658" s="861" t="s">
        <v>3761</v>
      </c>
      <c r="C658" s="861" t="s">
        <v>3762</v>
      </c>
      <c r="D658" s="861" t="s">
        <v>371</v>
      </c>
      <c r="E658" s="861"/>
      <c r="F658" s="862"/>
      <c r="G658" s="869">
        <v>0</v>
      </c>
      <c r="H658" s="874">
        <v>83193281.159999996</v>
      </c>
      <c r="I658" s="871"/>
      <c r="J658" s="862">
        <v>0.08</v>
      </c>
      <c r="K658" s="868">
        <f t="shared" si="62"/>
        <v>316</v>
      </c>
      <c r="L658" s="861"/>
      <c r="M658" s="671">
        <f t="shared" si="63"/>
        <v>656</v>
      </c>
      <c r="N658" s="671" t="str">
        <f t="shared" si="64"/>
        <v>N/A</v>
      </c>
      <c r="O658" s="671">
        <f t="shared" si="65"/>
        <v>543</v>
      </c>
      <c r="P658" s="861" t="s">
        <v>845</v>
      </c>
      <c r="Q658" s="861"/>
      <c r="R658" s="861"/>
      <c r="S658" s="861" t="s">
        <v>665</v>
      </c>
      <c r="T658" s="866" t="s">
        <v>3763</v>
      </c>
      <c r="U658" s="865"/>
    </row>
    <row r="659" spans="1:21" ht="15">
      <c r="A659" s="857"/>
      <c r="B659" s="861" t="s">
        <v>3764</v>
      </c>
      <c r="C659" s="861" t="s">
        <v>3765</v>
      </c>
      <c r="D659" s="861" t="s">
        <v>371</v>
      </c>
      <c r="E659" s="861"/>
      <c r="F659" s="862">
        <v>-8.1000000000000003E-2</v>
      </c>
      <c r="G659" s="870" t="s">
        <v>3766</v>
      </c>
      <c r="H659" s="874">
        <v>83185912.700000003</v>
      </c>
      <c r="I659" s="871"/>
      <c r="J659" s="863" t="s">
        <v>2919</v>
      </c>
      <c r="K659" s="868">
        <f t="shared" si="62"/>
        <v>369</v>
      </c>
      <c r="L659" s="861"/>
      <c r="M659" s="671">
        <f t="shared" si="63"/>
        <v>657</v>
      </c>
      <c r="N659" s="671" t="str">
        <f t="shared" si="64"/>
        <v>N/A</v>
      </c>
      <c r="O659" s="671" t="str">
        <f t="shared" si="65"/>
        <v>N/A</v>
      </c>
      <c r="P659" s="861" t="s">
        <v>3248</v>
      </c>
      <c r="Q659" s="861" t="s">
        <v>3767</v>
      </c>
      <c r="R659" s="861"/>
      <c r="S659" s="861" t="s">
        <v>1497</v>
      </c>
      <c r="T659" s="866" t="s">
        <v>3768</v>
      </c>
      <c r="U659" s="865"/>
    </row>
    <row r="660" spans="1:21" ht="15">
      <c r="A660" s="672"/>
      <c r="B660" s="861" t="s">
        <v>3769</v>
      </c>
      <c r="C660" s="861" t="s">
        <v>3770</v>
      </c>
      <c r="D660" s="861" t="s">
        <v>371</v>
      </c>
      <c r="E660" s="861"/>
      <c r="F660" s="862"/>
      <c r="G660" s="869">
        <v>0</v>
      </c>
      <c r="H660" s="874">
        <v>82335089.400000006</v>
      </c>
      <c r="I660" s="871"/>
      <c r="J660" s="863"/>
      <c r="K660" s="868">
        <f t="shared" si="62"/>
        <v>316</v>
      </c>
      <c r="L660" s="861"/>
      <c r="M660" s="671">
        <f t="shared" si="63"/>
        <v>658</v>
      </c>
      <c r="N660" s="671" t="str">
        <f t="shared" si="64"/>
        <v>N/A</v>
      </c>
      <c r="O660" s="671">
        <f t="shared" si="65"/>
        <v>708</v>
      </c>
      <c r="P660" s="861"/>
      <c r="Q660" s="861"/>
      <c r="R660" s="861"/>
      <c r="S660" s="861" t="s">
        <v>1475</v>
      </c>
      <c r="T660" s="866" t="s">
        <v>3771</v>
      </c>
      <c r="U660" s="865"/>
    </row>
    <row r="661" spans="1:21" ht="15">
      <c r="A661" s="857"/>
      <c r="B661" s="861" t="s">
        <v>3772</v>
      </c>
      <c r="C661" s="861" t="s">
        <v>3773</v>
      </c>
      <c r="D661" s="861" t="s">
        <v>371</v>
      </c>
      <c r="E661" s="861"/>
      <c r="F661" s="862"/>
      <c r="G661" s="869">
        <v>0</v>
      </c>
      <c r="H661" s="874">
        <v>82043732.200000003</v>
      </c>
      <c r="I661" s="871"/>
      <c r="J661" s="862">
        <v>0.126</v>
      </c>
      <c r="K661" s="868">
        <f t="shared" si="62"/>
        <v>316</v>
      </c>
      <c r="L661" s="861"/>
      <c r="M661" s="671">
        <f t="shared" si="63"/>
        <v>659</v>
      </c>
      <c r="N661" s="671" t="str">
        <f t="shared" si="64"/>
        <v>N/A</v>
      </c>
      <c r="O661" s="671">
        <f t="shared" si="65"/>
        <v>410</v>
      </c>
      <c r="P661" s="861" t="s">
        <v>3774</v>
      </c>
      <c r="Q661" s="861"/>
      <c r="R661" s="861"/>
      <c r="S661" s="861" t="s">
        <v>424</v>
      </c>
      <c r="T661" s="866" t="s">
        <v>3775</v>
      </c>
      <c r="U661" s="865"/>
    </row>
    <row r="662" spans="1:21" ht="15">
      <c r="A662" s="672"/>
      <c r="B662" s="861" t="s">
        <v>3776</v>
      </c>
      <c r="C662" s="861" t="s">
        <v>3777</v>
      </c>
      <c r="D662" s="861" t="s">
        <v>371</v>
      </c>
      <c r="E662" s="861"/>
      <c r="F662" s="862">
        <v>-7.0999999999999994E-2</v>
      </c>
      <c r="G662" s="869">
        <v>6.9965373999999997E-2</v>
      </c>
      <c r="H662" s="874">
        <v>81932454.920000002</v>
      </c>
      <c r="I662" s="871"/>
      <c r="J662" s="863" t="s">
        <v>3551</v>
      </c>
      <c r="K662" s="868">
        <f t="shared" si="62"/>
        <v>365</v>
      </c>
      <c r="L662" s="861"/>
      <c r="M662" s="671">
        <f t="shared" si="63"/>
        <v>660</v>
      </c>
      <c r="N662" s="671" t="str">
        <f t="shared" si="64"/>
        <v>N/A</v>
      </c>
      <c r="O662" s="671" t="str">
        <f t="shared" si="65"/>
        <v>N/A</v>
      </c>
      <c r="P662" s="861" t="s">
        <v>3778</v>
      </c>
      <c r="Q662" s="861"/>
      <c r="R662" s="861"/>
      <c r="S662" s="861" t="s">
        <v>487</v>
      </c>
      <c r="T662" s="866" t="s">
        <v>3779</v>
      </c>
      <c r="U662" s="865"/>
    </row>
    <row r="663" spans="1:21" ht="15">
      <c r="A663" s="857"/>
      <c r="B663" s="861" t="s">
        <v>3780</v>
      </c>
      <c r="C663" s="861" t="s">
        <v>3781</v>
      </c>
      <c r="D663" s="861" t="s">
        <v>371</v>
      </c>
      <c r="E663" s="861"/>
      <c r="F663" s="862"/>
      <c r="G663" s="870" t="s">
        <v>3782</v>
      </c>
      <c r="H663" s="874">
        <v>81810342.709999993</v>
      </c>
      <c r="I663" s="871"/>
      <c r="J663" s="863" t="s">
        <v>3783</v>
      </c>
      <c r="K663" s="868">
        <f t="shared" si="62"/>
        <v>316</v>
      </c>
      <c r="L663" s="861" t="s">
        <v>1127</v>
      </c>
      <c r="M663" s="671">
        <f t="shared" si="63"/>
        <v>661</v>
      </c>
      <c r="N663" s="671" t="str">
        <f t="shared" si="64"/>
        <v>N/A</v>
      </c>
      <c r="O663" s="671" t="str">
        <f t="shared" si="65"/>
        <v>N/A</v>
      </c>
      <c r="P663" s="861" t="s">
        <v>526</v>
      </c>
      <c r="Q663" s="861" t="s">
        <v>690</v>
      </c>
      <c r="R663" s="861" t="s">
        <v>1127</v>
      </c>
      <c r="S663" s="861" t="s">
        <v>569</v>
      </c>
      <c r="T663" s="866" t="s">
        <v>3784</v>
      </c>
      <c r="U663" s="865"/>
    </row>
    <row r="664" spans="1:21" ht="15">
      <c r="A664" s="672"/>
      <c r="B664" s="861" t="s">
        <v>3785</v>
      </c>
      <c r="C664" s="861" t="s">
        <v>3786</v>
      </c>
      <c r="D664" s="861" t="s">
        <v>371</v>
      </c>
      <c r="E664" s="861"/>
      <c r="F664" s="862"/>
      <c r="G664" s="870" t="s">
        <v>3787</v>
      </c>
      <c r="H664" s="874">
        <v>81530021.329999998</v>
      </c>
      <c r="I664" s="871"/>
      <c r="J664" s="862">
        <v>0.45100000000000001</v>
      </c>
      <c r="K664" s="868">
        <f t="shared" si="62"/>
        <v>316</v>
      </c>
      <c r="L664" s="861"/>
      <c r="M664" s="671">
        <f t="shared" si="63"/>
        <v>662</v>
      </c>
      <c r="N664" s="671" t="str">
        <f t="shared" si="64"/>
        <v>N/A</v>
      </c>
      <c r="O664" s="671">
        <f t="shared" si="65"/>
        <v>40</v>
      </c>
      <c r="P664" s="861"/>
      <c r="Q664" s="861"/>
      <c r="R664" s="861"/>
      <c r="S664" s="861" t="s">
        <v>424</v>
      </c>
      <c r="T664" s="866" t="s">
        <v>3788</v>
      </c>
      <c r="U664" s="865"/>
    </row>
    <row r="665" spans="1:21" ht="15">
      <c r="A665" s="857"/>
      <c r="B665" s="861" t="s">
        <v>3789</v>
      </c>
      <c r="C665" s="861" t="s">
        <v>3790</v>
      </c>
      <c r="D665" s="861" t="s">
        <v>371</v>
      </c>
      <c r="E665" s="861"/>
      <c r="F665" s="862"/>
      <c r="G665" s="869">
        <v>0</v>
      </c>
      <c r="H665" s="874">
        <v>81447603.950000003</v>
      </c>
      <c r="I665" s="871"/>
      <c r="J665" s="862">
        <v>0.20899999999999999</v>
      </c>
      <c r="K665" s="868">
        <f t="shared" si="62"/>
        <v>316</v>
      </c>
      <c r="L665" s="861"/>
      <c r="M665" s="671">
        <f t="shared" si="63"/>
        <v>663</v>
      </c>
      <c r="N665" s="671" t="str">
        <f t="shared" si="64"/>
        <v>N/A</v>
      </c>
      <c r="O665" s="671">
        <f t="shared" si="65"/>
        <v>240</v>
      </c>
      <c r="P665" s="861"/>
      <c r="Q665" s="861"/>
      <c r="R665" s="861"/>
      <c r="S665" s="861" t="s">
        <v>2613</v>
      </c>
      <c r="T665" s="866" t="s">
        <v>3791</v>
      </c>
      <c r="U665" s="865"/>
    </row>
    <row r="666" spans="1:21" ht="15">
      <c r="A666" s="672"/>
      <c r="B666" s="861" t="s">
        <v>3792</v>
      </c>
      <c r="C666" s="861" t="s">
        <v>3793</v>
      </c>
      <c r="D666" s="861" t="s">
        <v>371</v>
      </c>
      <c r="E666" s="861"/>
      <c r="F666" s="862"/>
      <c r="G666" s="869">
        <v>0.29101335699999997</v>
      </c>
      <c r="H666" s="874">
        <v>81076206.640000001</v>
      </c>
      <c r="I666" s="871"/>
      <c r="J666" s="862">
        <v>0.127</v>
      </c>
      <c r="K666" s="868">
        <f t="shared" si="62"/>
        <v>316</v>
      </c>
      <c r="L666" s="861"/>
      <c r="M666" s="671">
        <f t="shared" si="63"/>
        <v>664</v>
      </c>
      <c r="N666" s="671" t="str">
        <f t="shared" si="64"/>
        <v>N/A</v>
      </c>
      <c r="O666" s="671">
        <f t="shared" si="65"/>
        <v>408</v>
      </c>
      <c r="P666" s="861" t="s">
        <v>3794</v>
      </c>
      <c r="Q666" s="861"/>
      <c r="R666" s="861"/>
      <c r="S666" s="861" t="s">
        <v>454</v>
      </c>
      <c r="T666" s="866" t="s">
        <v>3795</v>
      </c>
      <c r="U666" s="865"/>
    </row>
    <row r="667" spans="1:21" ht="15">
      <c r="A667" s="857"/>
      <c r="B667" s="861" t="s">
        <v>3796</v>
      </c>
      <c r="C667" s="861" t="s">
        <v>3797</v>
      </c>
      <c r="D667" s="861" t="s">
        <v>371</v>
      </c>
      <c r="E667" s="861"/>
      <c r="F667" s="862"/>
      <c r="G667" s="869">
        <v>0.42569688100000003</v>
      </c>
      <c r="H667" s="874">
        <v>81056625.560000002</v>
      </c>
      <c r="I667" s="871"/>
      <c r="J667" s="862">
        <v>0.249</v>
      </c>
      <c r="K667" s="868">
        <f t="shared" si="62"/>
        <v>316</v>
      </c>
      <c r="L667" s="861" t="s">
        <v>2269</v>
      </c>
      <c r="M667" s="671">
        <f t="shared" si="63"/>
        <v>665</v>
      </c>
      <c r="N667" s="671" t="str">
        <f t="shared" si="64"/>
        <v>N/A</v>
      </c>
      <c r="O667" s="671">
        <f t="shared" si="65"/>
        <v>180</v>
      </c>
      <c r="P667" s="861" t="s">
        <v>3798</v>
      </c>
      <c r="Q667" s="861"/>
      <c r="R667" s="863" t="s">
        <v>3167</v>
      </c>
      <c r="S667" s="861" t="s">
        <v>3799</v>
      </c>
      <c r="T667" s="866" t="s">
        <v>3800</v>
      </c>
      <c r="U667" s="865"/>
    </row>
    <row r="668" spans="1:21" ht="15">
      <c r="A668" s="672"/>
      <c r="B668" s="861" t="s">
        <v>3801</v>
      </c>
      <c r="C668" s="861" t="s">
        <v>3802</v>
      </c>
      <c r="D668" s="861" t="s">
        <v>371</v>
      </c>
      <c r="E668" s="861"/>
      <c r="F668" s="862"/>
      <c r="G668" s="869">
        <v>3.960426929</v>
      </c>
      <c r="H668" s="874">
        <v>80862872.040000007</v>
      </c>
      <c r="I668" s="871"/>
      <c r="J668" s="862">
        <v>5.7000000000000002E-2</v>
      </c>
      <c r="K668" s="868">
        <f t="shared" si="62"/>
        <v>316</v>
      </c>
      <c r="L668" s="863" t="s">
        <v>945</v>
      </c>
      <c r="M668" s="671">
        <f t="shared" si="63"/>
        <v>666</v>
      </c>
      <c r="N668" s="671" t="str">
        <f t="shared" si="64"/>
        <v>N/A</v>
      </c>
      <c r="O668" s="671">
        <f t="shared" si="65"/>
        <v>587</v>
      </c>
      <c r="P668" s="861" t="s">
        <v>573</v>
      </c>
      <c r="Q668" s="861"/>
      <c r="R668" s="861"/>
      <c r="S668" s="861" t="s">
        <v>1574</v>
      </c>
      <c r="T668" s="866" t="s">
        <v>3803</v>
      </c>
      <c r="U668" s="865"/>
    </row>
    <row r="669" spans="1:21" ht="15">
      <c r="A669" s="857"/>
      <c r="B669" s="861" t="s">
        <v>3804</v>
      </c>
      <c r="C669" s="861" t="s">
        <v>3805</v>
      </c>
      <c r="D669" s="861" t="s">
        <v>371</v>
      </c>
      <c r="E669" s="861"/>
      <c r="F669" s="862">
        <v>-5.7000000000000002E-2</v>
      </c>
      <c r="G669" s="870" t="s">
        <v>3806</v>
      </c>
      <c r="H669" s="874">
        <v>80124207.599999994</v>
      </c>
      <c r="I669" s="871"/>
      <c r="J669" s="863"/>
      <c r="K669" s="868">
        <f t="shared" si="62"/>
        <v>348</v>
      </c>
      <c r="L669" s="861"/>
      <c r="M669" s="671">
        <f t="shared" si="63"/>
        <v>667</v>
      </c>
      <c r="N669" s="671" t="str">
        <f t="shared" si="64"/>
        <v>N/A</v>
      </c>
      <c r="O669" s="671">
        <f t="shared" si="65"/>
        <v>708</v>
      </c>
      <c r="P669" s="861" t="s">
        <v>3807</v>
      </c>
      <c r="Q669" s="861"/>
      <c r="R669" s="863" t="s">
        <v>1017</v>
      </c>
      <c r="S669" s="861" t="s">
        <v>533</v>
      </c>
      <c r="T669" s="866" t="s">
        <v>3808</v>
      </c>
      <c r="U669" s="865"/>
    </row>
    <row r="670" spans="1:21" ht="15">
      <c r="A670" s="672"/>
      <c r="B670" s="861" t="s">
        <v>3809</v>
      </c>
      <c r="C670" s="861" t="s">
        <v>3810</v>
      </c>
      <c r="D670" s="861" t="s">
        <v>371</v>
      </c>
      <c r="E670" s="861"/>
      <c r="F670" s="862"/>
      <c r="G670" s="869">
        <v>1.599078931</v>
      </c>
      <c r="H670" s="874">
        <v>79780535.390000001</v>
      </c>
      <c r="I670" s="871"/>
      <c r="J670" s="863" t="s">
        <v>1496</v>
      </c>
      <c r="K670" s="868">
        <f t="shared" si="62"/>
        <v>316</v>
      </c>
      <c r="L670" s="861"/>
      <c r="M670" s="671">
        <f t="shared" si="63"/>
        <v>668</v>
      </c>
      <c r="N670" s="671" t="str">
        <f t="shared" si="64"/>
        <v>N/A</v>
      </c>
      <c r="O670" s="671" t="str">
        <f t="shared" si="65"/>
        <v>N/A</v>
      </c>
      <c r="P670" s="861" t="s">
        <v>1039</v>
      </c>
      <c r="Q670" s="861"/>
      <c r="R670" s="861"/>
      <c r="S670" s="861" t="s">
        <v>424</v>
      </c>
      <c r="T670" s="866" t="s">
        <v>3811</v>
      </c>
      <c r="U670" s="865"/>
    </row>
    <row r="671" spans="1:21" ht="15">
      <c r="A671" s="857"/>
      <c r="B671" s="861" t="s">
        <v>3812</v>
      </c>
      <c r="C671" s="861" t="s">
        <v>3813</v>
      </c>
      <c r="D671" s="861" t="s">
        <v>371</v>
      </c>
      <c r="E671" s="861"/>
      <c r="F671" s="862">
        <v>-0.40300000000000002</v>
      </c>
      <c r="G671" s="869">
        <v>0.93668225400000005</v>
      </c>
      <c r="H671" s="874">
        <v>79738683.390000001</v>
      </c>
      <c r="I671" s="871"/>
      <c r="J671" s="861" t="s">
        <v>3441</v>
      </c>
      <c r="K671" s="868">
        <f t="shared" si="62"/>
        <v>467</v>
      </c>
      <c r="L671" s="861"/>
      <c r="M671" s="671">
        <f t="shared" si="63"/>
        <v>669</v>
      </c>
      <c r="N671" s="671" t="str">
        <f t="shared" si="64"/>
        <v>N/A</v>
      </c>
      <c r="O671" s="671" t="str">
        <f t="shared" si="65"/>
        <v>N/A</v>
      </c>
      <c r="P671" s="861"/>
      <c r="Q671" s="861"/>
      <c r="R671" s="861"/>
      <c r="S671" s="861" t="s">
        <v>718</v>
      </c>
      <c r="T671" s="866" t="s">
        <v>3814</v>
      </c>
      <c r="U671" s="865"/>
    </row>
    <row r="672" spans="1:21" ht="15">
      <c r="A672" s="672"/>
      <c r="B672" s="861" t="s">
        <v>3815</v>
      </c>
      <c r="C672" s="861" t="s">
        <v>3816</v>
      </c>
      <c r="D672" s="861" t="s">
        <v>371</v>
      </c>
      <c r="E672" s="861"/>
      <c r="F672" s="862"/>
      <c r="G672" s="870" t="s">
        <v>3817</v>
      </c>
      <c r="H672" s="874">
        <v>79498354.439999998</v>
      </c>
      <c r="I672" s="871"/>
      <c r="J672" s="862">
        <v>5.2999999999999999E-2</v>
      </c>
      <c r="K672" s="868">
        <f t="shared" si="62"/>
        <v>316</v>
      </c>
      <c r="L672" s="861"/>
      <c r="M672" s="671">
        <f t="shared" si="63"/>
        <v>670</v>
      </c>
      <c r="N672" s="671" t="str">
        <f t="shared" si="64"/>
        <v>N/A</v>
      </c>
      <c r="O672" s="671">
        <f t="shared" si="65"/>
        <v>595</v>
      </c>
      <c r="P672" s="861"/>
      <c r="Q672" s="861"/>
      <c r="R672" s="861"/>
      <c r="S672" s="861" t="s">
        <v>734</v>
      </c>
      <c r="T672" s="866" t="s">
        <v>3818</v>
      </c>
      <c r="U672" s="865"/>
    </row>
    <row r="673" spans="1:21" ht="15">
      <c r="A673" s="857"/>
      <c r="B673" s="861" t="s">
        <v>3819</v>
      </c>
      <c r="C673" s="861" t="s">
        <v>3820</v>
      </c>
      <c r="D673" s="861" t="s">
        <v>371</v>
      </c>
      <c r="E673" s="861"/>
      <c r="F673" s="862"/>
      <c r="G673" s="869">
        <v>0.83600817800000005</v>
      </c>
      <c r="H673" s="874">
        <v>78574928.569999993</v>
      </c>
      <c r="I673" s="871"/>
      <c r="J673" s="863"/>
      <c r="K673" s="868">
        <f t="shared" si="62"/>
        <v>316</v>
      </c>
      <c r="L673" s="861"/>
      <c r="M673" s="671">
        <f t="shared" si="63"/>
        <v>671</v>
      </c>
      <c r="N673" s="671" t="str">
        <f t="shared" si="64"/>
        <v>N/A</v>
      </c>
      <c r="O673" s="671">
        <f t="shared" si="65"/>
        <v>708</v>
      </c>
      <c r="P673" s="861" t="s">
        <v>793</v>
      </c>
      <c r="Q673" s="861"/>
      <c r="R673" s="861"/>
      <c r="S673" s="861" t="s">
        <v>404</v>
      </c>
      <c r="T673" s="866" t="s">
        <v>3821</v>
      </c>
      <c r="U673" s="865"/>
    </row>
    <row r="674" spans="1:21" ht="15">
      <c r="A674" s="672"/>
      <c r="B674" s="861" t="s">
        <v>3822</v>
      </c>
      <c r="C674" s="861" t="s">
        <v>3823</v>
      </c>
      <c r="D674" s="861" t="s">
        <v>371</v>
      </c>
      <c r="E674" s="861"/>
      <c r="F674" s="862"/>
      <c r="G674" s="870" t="s">
        <v>3824</v>
      </c>
      <c r="H674" s="874">
        <v>78529101.120000005</v>
      </c>
      <c r="I674" s="871"/>
      <c r="J674" s="863" t="s">
        <v>3825</v>
      </c>
      <c r="K674" s="868">
        <f t="shared" si="62"/>
        <v>316</v>
      </c>
      <c r="L674" s="861" t="s">
        <v>2062</v>
      </c>
      <c r="M674" s="671">
        <f t="shared" si="63"/>
        <v>672</v>
      </c>
      <c r="N674" s="671" t="str">
        <f t="shared" si="64"/>
        <v>N/A</v>
      </c>
      <c r="O674" s="671" t="str">
        <f t="shared" si="65"/>
        <v>N/A</v>
      </c>
      <c r="P674" s="861" t="s">
        <v>2140</v>
      </c>
      <c r="Q674" s="861" t="s">
        <v>3358</v>
      </c>
      <c r="R674" s="861"/>
      <c r="S674" s="861" t="s">
        <v>625</v>
      </c>
      <c r="T674" s="866" t="s">
        <v>3826</v>
      </c>
      <c r="U674" s="865"/>
    </row>
    <row r="675" spans="1:21" ht="15">
      <c r="A675" s="857"/>
      <c r="B675" s="861" t="s">
        <v>3827</v>
      </c>
      <c r="C675" s="861" t="s">
        <v>3828</v>
      </c>
      <c r="D675" s="861" t="s">
        <v>371</v>
      </c>
      <c r="E675" s="861"/>
      <c r="F675" s="862"/>
      <c r="G675" s="870" t="s">
        <v>3829</v>
      </c>
      <c r="H675" s="874">
        <v>78250761.489999995</v>
      </c>
      <c r="I675" s="871"/>
      <c r="J675" s="863" t="s">
        <v>671</v>
      </c>
      <c r="K675" s="868">
        <f t="shared" si="62"/>
        <v>316</v>
      </c>
      <c r="L675" s="861"/>
      <c r="M675" s="671">
        <f t="shared" si="63"/>
        <v>673</v>
      </c>
      <c r="N675" s="671" t="str">
        <f t="shared" si="64"/>
        <v>N/A</v>
      </c>
      <c r="O675" s="671" t="str">
        <f t="shared" si="65"/>
        <v>N/A</v>
      </c>
      <c r="P675" s="861" t="s">
        <v>478</v>
      </c>
      <c r="Q675" s="861" t="s">
        <v>2276</v>
      </c>
      <c r="R675" s="861"/>
      <c r="S675" s="861" t="s">
        <v>734</v>
      </c>
      <c r="T675" s="866" t="s">
        <v>3830</v>
      </c>
      <c r="U675" s="865"/>
    </row>
    <row r="676" spans="1:21" ht="15">
      <c r="A676" s="672"/>
      <c r="B676" s="861" t="s">
        <v>3831</v>
      </c>
      <c r="C676" s="861" t="s">
        <v>3832</v>
      </c>
      <c r="D676" s="861" t="s">
        <v>371</v>
      </c>
      <c r="E676" s="861"/>
      <c r="F676" s="862"/>
      <c r="G676" s="870" t="s">
        <v>3833</v>
      </c>
      <c r="H676" s="874">
        <v>77996300.799999997</v>
      </c>
      <c r="I676" s="871"/>
      <c r="J676" s="863"/>
      <c r="K676" s="868">
        <f t="shared" si="62"/>
        <v>316</v>
      </c>
      <c r="L676" s="861"/>
      <c r="M676" s="671">
        <f t="shared" si="63"/>
        <v>674</v>
      </c>
      <c r="N676" s="671" t="str">
        <f t="shared" si="64"/>
        <v>N/A</v>
      </c>
      <c r="O676" s="671">
        <f t="shared" si="65"/>
        <v>708</v>
      </c>
      <c r="P676" s="861"/>
      <c r="Q676" s="861"/>
      <c r="R676" s="861"/>
      <c r="S676" s="861" t="s">
        <v>2069</v>
      </c>
      <c r="T676" s="866" t="s">
        <v>3834</v>
      </c>
      <c r="U676" s="865"/>
    </row>
    <row r="677" spans="1:21" ht="15">
      <c r="A677" s="857"/>
      <c r="B677" s="861" t="s">
        <v>3835</v>
      </c>
      <c r="C677" s="861" t="s">
        <v>3836</v>
      </c>
      <c r="D677" s="861" t="s">
        <v>371</v>
      </c>
      <c r="E677" s="861"/>
      <c r="F677" s="862"/>
      <c r="G677" s="869" t="e">
        <v>#DIV/0!</v>
      </c>
      <c r="H677" s="874">
        <v>77838213.260000005</v>
      </c>
      <c r="I677" s="872" t="s">
        <v>2867</v>
      </c>
      <c r="J677" s="862">
        <v>0.14499999999999999</v>
      </c>
      <c r="K677" s="868">
        <f t="shared" si="62"/>
        <v>316</v>
      </c>
      <c r="L677" s="861"/>
      <c r="M677" s="671">
        <f t="shared" si="63"/>
        <v>675</v>
      </c>
      <c r="N677" s="671" t="str">
        <f t="shared" si="64"/>
        <v>N/A</v>
      </c>
      <c r="O677" s="671">
        <f t="shared" si="65"/>
        <v>358</v>
      </c>
      <c r="P677" s="861" t="s">
        <v>1165</v>
      </c>
      <c r="Q677" s="861"/>
      <c r="R677" s="861"/>
      <c r="S677" s="861" t="s">
        <v>1647</v>
      </c>
      <c r="T677" s="866" t="s">
        <v>3837</v>
      </c>
      <c r="U677" s="865"/>
    </row>
    <row r="678" spans="1:21" ht="15">
      <c r="A678" s="672"/>
      <c r="B678" s="861" t="s">
        <v>3838</v>
      </c>
      <c r="C678" s="861" t="s">
        <v>3839</v>
      </c>
      <c r="D678" s="861" t="s">
        <v>371</v>
      </c>
      <c r="E678" s="861"/>
      <c r="F678" s="862">
        <v>0.27600000000000002</v>
      </c>
      <c r="G678" s="869">
        <v>1.1529067909999999</v>
      </c>
      <c r="H678" s="874">
        <v>77085675.469999999</v>
      </c>
      <c r="I678" s="871"/>
      <c r="J678" s="862">
        <v>0.13100000000000001</v>
      </c>
      <c r="K678" s="868">
        <f t="shared" si="62"/>
        <v>60</v>
      </c>
      <c r="L678" s="861"/>
      <c r="M678" s="671">
        <f t="shared" si="63"/>
        <v>676</v>
      </c>
      <c r="N678" s="671" t="str">
        <f t="shared" si="64"/>
        <v>N/A</v>
      </c>
      <c r="O678" s="671">
        <f t="shared" si="65"/>
        <v>395</v>
      </c>
      <c r="P678" s="861" t="s">
        <v>1469</v>
      </c>
      <c r="Q678" s="861"/>
      <c r="R678" s="861"/>
      <c r="S678" s="861" t="s">
        <v>404</v>
      </c>
      <c r="T678" s="866" t="s">
        <v>3840</v>
      </c>
      <c r="U678" s="865"/>
    </row>
    <row r="679" spans="1:21" ht="15">
      <c r="A679" s="857"/>
      <c r="B679" s="861" t="s">
        <v>3841</v>
      </c>
      <c r="C679" s="861" t="s">
        <v>3842</v>
      </c>
      <c r="D679" s="861" t="s">
        <v>371</v>
      </c>
      <c r="E679" s="861"/>
      <c r="F679" s="862"/>
      <c r="G679" s="869">
        <v>2.1945866180000002</v>
      </c>
      <c r="H679" s="874">
        <v>76865909.040000007</v>
      </c>
      <c r="I679" s="871"/>
      <c r="J679" s="863" t="s">
        <v>3843</v>
      </c>
      <c r="K679" s="868">
        <f t="shared" si="62"/>
        <v>316</v>
      </c>
      <c r="L679" s="861"/>
      <c r="M679" s="671">
        <f t="shared" si="63"/>
        <v>677</v>
      </c>
      <c r="N679" s="671" t="str">
        <f t="shared" si="64"/>
        <v>N/A</v>
      </c>
      <c r="O679" s="671" t="str">
        <f t="shared" si="65"/>
        <v>N/A</v>
      </c>
      <c r="P679" s="861" t="s">
        <v>3844</v>
      </c>
      <c r="Q679" s="861" t="s">
        <v>3845</v>
      </c>
      <c r="R679" s="861" t="s">
        <v>424</v>
      </c>
      <c r="S679" s="861" t="s">
        <v>557</v>
      </c>
      <c r="T679" s="866" t="s">
        <v>3846</v>
      </c>
      <c r="U679" s="865"/>
    </row>
    <row r="680" spans="1:21" ht="15">
      <c r="A680" s="672"/>
      <c r="B680" s="861" t="s">
        <v>3847</v>
      </c>
      <c r="C680" s="861" t="s">
        <v>3848</v>
      </c>
      <c r="D680" s="861" t="s">
        <v>371</v>
      </c>
      <c r="E680" s="861"/>
      <c r="F680" s="862"/>
      <c r="G680" s="870" t="s">
        <v>3849</v>
      </c>
      <c r="H680" s="874">
        <v>76370564.760000005</v>
      </c>
      <c r="I680" s="871"/>
      <c r="J680" s="863" t="s">
        <v>3850</v>
      </c>
      <c r="K680" s="868">
        <f t="shared" si="62"/>
        <v>316</v>
      </c>
      <c r="L680" s="861"/>
      <c r="M680" s="671">
        <f t="shared" si="63"/>
        <v>678</v>
      </c>
      <c r="N680" s="671" t="str">
        <f t="shared" si="64"/>
        <v>N/A</v>
      </c>
      <c r="O680" s="671" t="str">
        <f t="shared" si="65"/>
        <v>N/A</v>
      </c>
      <c r="P680" s="861"/>
      <c r="Q680" s="861"/>
      <c r="R680" s="861"/>
      <c r="S680" s="861" t="s">
        <v>460</v>
      </c>
      <c r="T680" s="866" t="s">
        <v>3851</v>
      </c>
      <c r="U680" s="865"/>
    </row>
    <row r="681" spans="1:21" ht="15">
      <c r="A681" s="857"/>
      <c r="B681" s="861" t="s">
        <v>3852</v>
      </c>
      <c r="C681" s="861" t="s">
        <v>3853</v>
      </c>
      <c r="D681" s="861" t="s">
        <v>371</v>
      </c>
      <c r="E681" s="861"/>
      <c r="F681" s="862"/>
      <c r="G681" s="870" t="s">
        <v>3854</v>
      </c>
      <c r="H681" s="874">
        <v>76344856.590000004</v>
      </c>
      <c r="I681" s="871"/>
      <c r="J681" s="862">
        <v>0.152</v>
      </c>
      <c r="K681" s="868">
        <f t="shared" si="62"/>
        <v>316</v>
      </c>
      <c r="L681" s="861"/>
      <c r="M681" s="671">
        <f t="shared" si="63"/>
        <v>679</v>
      </c>
      <c r="N681" s="671" t="str">
        <f t="shared" si="64"/>
        <v>N/A</v>
      </c>
      <c r="O681" s="671">
        <f t="shared" si="65"/>
        <v>333</v>
      </c>
      <c r="P681" s="861"/>
      <c r="Q681" s="861"/>
      <c r="R681" s="861"/>
      <c r="S681" s="861" t="s">
        <v>424</v>
      </c>
      <c r="T681" s="866" t="s">
        <v>3855</v>
      </c>
      <c r="U681" s="865"/>
    </row>
    <row r="682" spans="1:21" ht="15">
      <c r="A682" s="672"/>
      <c r="B682" s="861" t="s">
        <v>3856</v>
      </c>
      <c r="C682" s="861" t="s">
        <v>3857</v>
      </c>
      <c r="D682" s="861" t="s">
        <v>371</v>
      </c>
      <c r="E682" s="861"/>
      <c r="F682" s="862"/>
      <c r="G682" s="869">
        <v>1.2325821239999999</v>
      </c>
      <c r="H682" s="874">
        <v>76067829.150000006</v>
      </c>
      <c r="I682" s="871"/>
      <c r="J682" s="863"/>
      <c r="K682" s="868">
        <f t="shared" si="62"/>
        <v>316</v>
      </c>
      <c r="L682" s="861"/>
      <c r="M682" s="671">
        <f t="shared" si="63"/>
        <v>680</v>
      </c>
      <c r="N682" s="671" t="str">
        <f t="shared" si="64"/>
        <v>N/A</v>
      </c>
      <c r="O682" s="671">
        <f t="shared" si="65"/>
        <v>708</v>
      </c>
      <c r="P682" s="861" t="s">
        <v>3858</v>
      </c>
      <c r="Q682" s="861"/>
      <c r="R682" s="861"/>
      <c r="S682" s="861" t="s">
        <v>791</v>
      </c>
      <c r="T682" s="866" t="s">
        <v>3859</v>
      </c>
      <c r="U682" s="865"/>
    </row>
    <row r="683" spans="1:21" ht="15">
      <c r="A683" s="857"/>
      <c r="B683" s="861" t="s">
        <v>3860</v>
      </c>
      <c r="C683" s="861" t="s">
        <v>3861</v>
      </c>
      <c r="D683" s="861" t="s">
        <v>371</v>
      </c>
      <c r="E683" s="861"/>
      <c r="F683" s="862"/>
      <c r="G683" s="869">
        <v>1.2865517999999999E-2</v>
      </c>
      <c r="H683" s="874">
        <v>75832325.120000005</v>
      </c>
      <c r="I683" s="871">
        <v>34.479999999999997</v>
      </c>
      <c r="J683" s="862">
        <v>2.8000000000000001E-2</v>
      </c>
      <c r="K683" s="868">
        <f t="shared" si="62"/>
        <v>316</v>
      </c>
      <c r="L683" s="861"/>
      <c r="M683" s="671">
        <f t="shared" si="63"/>
        <v>681</v>
      </c>
      <c r="N683" s="671">
        <f t="shared" si="64"/>
        <v>129</v>
      </c>
      <c r="O683" s="671">
        <f t="shared" si="65"/>
        <v>655</v>
      </c>
      <c r="P683" s="861" t="s">
        <v>1235</v>
      </c>
      <c r="Q683" s="861" t="s">
        <v>3862</v>
      </c>
      <c r="R683" s="861"/>
      <c r="S683" s="861" t="s">
        <v>517</v>
      </c>
      <c r="T683" s="866" t="s">
        <v>3863</v>
      </c>
      <c r="U683" s="865"/>
    </row>
    <row r="684" spans="1:21" ht="15">
      <c r="A684" s="672"/>
      <c r="B684" s="861" t="s">
        <v>3864</v>
      </c>
      <c r="C684" s="861" t="s">
        <v>3865</v>
      </c>
      <c r="D684" s="861" t="s">
        <v>371</v>
      </c>
      <c r="E684" s="861"/>
      <c r="F684" s="862">
        <v>5.0000000000000001E-3</v>
      </c>
      <c r="G684" s="869">
        <v>3.010966415</v>
      </c>
      <c r="H684" s="874">
        <v>75680666.590000004</v>
      </c>
      <c r="I684" s="871">
        <v>35.4</v>
      </c>
      <c r="J684" s="862">
        <v>0.33200000000000002</v>
      </c>
      <c r="K684" s="868">
        <f t="shared" si="62"/>
        <v>312</v>
      </c>
      <c r="L684" s="861" t="s">
        <v>3866</v>
      </c>
      <c r="M684" s="671">
        <f t="shared" si="63"/>
        <v>682</v>
      </c>
      <c r="N684" s="671">
        <f t="shared" si="64"/>
        <v>124</v>
      </c>
      <c r="O684" s="671">
        <f t="shared" si="65"/>
        <v>94</v>
      </c>
      <c r="P684" s="861" t="s">
        <v>1790</v>
      </c>
      <c r="Q684" s="861" t="s">
        <v>3867</v>
      </c>
      <c r="R684" s="861" t="s">
        <v>2762</v>
      </c>
      <c r="S684" s="861" t="s">
        <v>3868</v>
      </c>
      <c r="T684" s="866" t="s">
        <v>3869</v>
      </c>
      <c r="U684" s="865"/>
    </row>
    <row r="685" spans="1:21" ht="15">
      <c r="A685" s="857"/>
      <c r="B685" s="861" t="s">
        <v>3870</v>
      </c>
      <c r="C685" s="861" t="s">
        <v>3871</v>
      </c>
      <c r="D685" s="861" t="s">
        <v>371</v>
      </c>
      <c r="E685" s="861"/>
      <c r="F685" s="862"/>
      <c r="G685" s="870" t="s">
        <v>3872</v>
      </c>
      <c r="H685" s="874">
        <v>75270491.730000004</v>
      </c>
      <c r="I685" s="871">
        <v>71.510000000000005</v>
      </c>
      <c r="J685" s="863" t="s">
        <v>3873</v>
      </c>
      <c r="K685" s="868">
        <f t="shared" si="62"/>
        <v>316</v>
      </c>
      <c r="L685" s="861"/>
      <c r="M685" s="671">
        <f t="shared" si="63"/>
        <v>683</v>
      </c>
      <c r="N685" s="671">
        <f t="shared" si="64"/>
        <v>54</v>
      </c>
      <c r="O685" s="671" t="str">
        <f t="shared" si="65"/>
        <v>N/A</v>
      </c>
      <c r="P685" s="861"/>
      <c r="Q685" s="861"/>
      <c r="R685" s="861"/>
      <c r="S685" s="861" t="s">
        <v>424</v>
      </c>
      <c r="T685" s="866" t="s">
        <v>3874</v>
      </c>
      <c r="U685" s="865"/>
    </row>
    <row r="686" spans="1:21" ht="15">
      <c r="A686" s="672"/>
      <c r="B686" s="861" t="s">
        <v>3875</v>
      </c>
      <c r="C686" s="861" t="s">
        <v>3876</v>
      </c>
      <c r="D686" s="861" t="s">
        <v>371</v>
      </c>
      <c r="E686" s="861"/>
      <c r="F686" s="862"/>
      <c r="G686" s="870" t="s">
        <v>3877</v>
      </c>
      <c r="H686" s="874">
        <v>75268424.549999997</v>
      </c>
      <c r="I686" s="871">
        <v>212.41</v>
      </c>
      <c r="J686" s="862">
        <v>2E-3</v>
      </c>
      <c r="K686" s="868">
        <f t="shared" si="62"/>
        <v>316</v>
      </c>
      <c r="L686" s="861"/>
      <c r="M686" s="671">
        <f t="shared" si="63"/>
        <v>684</v>
      </c>
      <c r="N686" s="671">
        <f t="shared" si="64"/>
        <v>5</v>
      </c>
      <c r="O686" s="671">
        <f t="shared" si="65"/>
        <v>701</v>
      </c>
      <c r="P686" s="861" t="s">
        <v>3878</v>
      </c>
      <c r="Q686" s="861"/>
      <c r="R686" s="861"/>
      <c r="S686" s="861" t="s">
        <v>454</v>
      </c>
      <c r="T686" s="866" t="s">
        <v>3879</v>
      </c>
      <c r="U686" s="865"/>
    </row>
    <row r="687" spans="1:21" ht="15">
      <c r="A687" s="857"/>
      <c r="B687" s="861" t="s">
        <v>3880</v>
      </c>
      <c r="C687" s="861" t="s">
        <v>3881</v>
      </c>
      <c r="D687" s="861" t="s">
        <v>371</v>
      </c>
      <c r="E687" s="861"/>
      <c r="F687" s="862"/>
      <c r="G687" s="870" t="s">
        <v>3882</v>
      </c>
      <c r="H687" s="874">
        <v>74015247.680000007</v>
      </c>
      <c r="I687" s="871">
        <v>13.11</v>
      </c>
      <c r="J687" s="862">
        <v>9.8000000000000004E-2</v>
      </c>
      <c r="K687" s="868">
        <f t="shared" si="62"/>
        <v>316</v>
      </c>
      <c r="L687" s="861"/>
      <c r="M687" s="671">
        <f t="shared" si="63"/>
        <v>685</v>
      </c>
      <c r="N687" s="671">
        <f t="shared" si="64"/>
        <v>204</v>
      </c>
      <c r="O687" s="671">
        <f t="shared" si="65"/>
        <v>504</v>
      </c>
      <c r="P687" s="861"/>
      <c r="Q687" s="861"/>
      <c r="R687" s="861"/>
      <c r="S687" s="861" t="s">
        <v>424</v>
      </c>
      <c r="T687" s="866" t="s">
        <v>3883</v>
      </c>
      <c r="U687" s="865"/>
    </row>
    <row r="688" spans="1:21" ht="15">
      <c r="A688" s="672"/>
      <c r="B688" s="861" t="s">
        <v>3884</v>
      </c>
      <c r="C688" s="861" t="s">
        <v>3885</v>
      </c>
      <c r="D688" s="861" t="s">
        <v>371</v>
      </c>
      <c r="E688" s="861"/>
      <c r="F688" s="862">
        <v>3.5000000000000003E-2</v>
      </c>
      <c r="G688" s="869">
        <v>2.723053E-3</v>
      </c>
      <c r="H688" s="874">
        <v>73621949.959999993</v>
      </c>
      <c r="I688" s="871"/>
      <c r="J688" s="863" t="s">
        <v>3886</v>
      </c>
      <c r="K688" s="868">
        <f t="shared" si="62"/>
        <v>272</v>
      </c>
      <c r="L688" s="861" t="s">
        <v>734</v>
      </c>
      <c r="M688" s="671">
        <f t="shared" si="63"/>
        <v>686</v>
      </c>
      <c r="N688" s="671" t="str">
        <f t="shared" si="64"/>
        <v>N/A</v>
      </c>
      <c r="O688" s="671" t="str">
        <f t="shared" si="65"/>
        <v>N/A</v>
      </c>
      <c r="P688" s="861" t="s">
        <v>3887</v>
      </c>
      <c r="Q688" s="861"/>
      <c r="R688" s="861" t="s">
        <v>454</v>
      </c>
      <c r="S688" s="861" t="s">
        <v>2984</v>
      </c>
      <c r="T688" s="866" t="s">
        <v>3888</v>
      </c>
      <c r="U688" s="865"/>
    </row>
    <row r="689" spans="1:21" ht="15">
      <c r="A689" s="857"/>
      <c r="B689" s="861" t="s">
        <v>3889</v>
      </c>
      <c r="C689" s="861" t="s">
        <v>3890</v>
      </c>
      <c r="D689" s="861" t="s">
        <v>371</v>
      </c>
      <c r="E689" s="861"/>
      <c r="F689" s="862"/>
      <c r="G689" s="870" t="s">
        <v>3891</v>
      </c>
      <c r="H689" s="874">
        <v>73142370.640000001</v>
      </c>
      <c r="I689" s="871"/>
      <c r="J689" s="863" t="s">
        <v>3892</v>
      </c>
      <c r="K689" s="868">
        <f t="shared" si="62"/>
        <v>316</v>
      </c>
      <c r="L689" s="861"/>
      <c r="M689" s="671">
        <f t="shared" si="63"/>
        <v>687</v>
      </c>
      <c r="N689" s="671" t="str">
        <f t="shared" si="64"/>
        <v>N/A</v>
      </c>
      <c r="O689" s="671" t="str">
        <f t="shared" si="65"/>
        <v>N/A</v>
      </c>
      <c r="P689" s="861" t="s">
        <v>3101</v>
      </c>
      <c r="Q689" s="861" t="s">
        <v>3893</v>
      </c>
      <c r="R689" s="861"/>
      <c r="S689" s="861" t="s">
        <v>3894</v>
      </c>
      <c r="T689" s="866" t="s">
        <v>3895</v>
      </c>
      <c r="U689" s="865"/>
    </row>
    <row r="690" spans="1:21" ht="15">
      <c r="A690" s="672"/>
      <c r="B690" s="861" t="s">
        <v>3896</v>
      </c>
      <c r="C690" s="861" t="s">
        <v>3897</v>
      </c>
      <c r="D690" s="861" t="s">
        <v>371</v>
      </c>
      <c r="E690" s="861"/>
      <c r="F690" s="862">
        <v>2.9000000000000001E-2</v>
      </c>
      <c r="G690" s="870" t="s">
        <v>3898</v>
      </c>
      <c r="H690" s="874">
        <v>71860020.5</v>
      </c>
      <c r="I690" s="871"/>
      <c r="J690" s="862">
        <v>7.4999999999999997E-2</v>
      </c>
      <c r="K690" s="868">
        <f t="shared" si="62"/>
        <v>284</v>
      </c>
      <c r="L690" s="861" t="s">
        <v>454</v>
      </c>
      <c r="M690" s="671">
        <f t="shared" si="63"/>
        <v>688</v>
      </c>
      <c r="N690" s="671" t="str">
        <f t="shared" si="64"/>
        <v>N/A</v>
      </c>
      <c r="O690" s="671">
        <f t="shared" si="65"/>
        <v>550</v>
      </c>
      <c r="P690" s="861" t="s">
        <v>3899</v>
      </c>
      <c r="Q690" s="861" t="s">
        <v>3900</v>
      </c>
      <c r="R690" s="861" t="s">
        <v>454</v>
      </c>
      <c r="S690" s="861" t="s">
        <v>3901</v>
      </c>
      <c r="T690" s="866" t="s">
        <v>3902</v>
      </c>
      <c r="U690" s="865"/>
    </row>
    <row r="691" spans="1:21" ht="15">
      <c r="A691" s="857"/>
      <c r="B691" s="861" t="s">
        <v>3903</v>
      </c>
      <c r="C691" s="861" t="s">
        <v>3904</v>
      </c>
      <c r="D691" s="861" t="s">
        <v>371</v>
      </c>
      <c r="E691" s="861"/>
      <c r="F691" s="862"/>
      <c r="G691" s="869">
        <v>4.134548734</v>
      </c>
      <c r="H691" s="874">
        <v>71698097.930000007</v>
      </c>
      <c r="I691" s="871">
        <v>6.43</v>
      </c>
      <c r="J691" s="863" t="s">
        <v>3905</v>
      </c>
      <c r="K691" s="868">
        <f t="shared" si="62"/>
        <v>316</v>
      </c>
      <c r="L691" s="861"/>
      <c r="M691" s="671">
        <f t="shared" si="63"/>
        <v>689</v>
      </c>
      <c r="N691" s="671">
        <f t="shared" si="64"/>
        <v>257</v>
      </c>
      <c r="O691" s="671" t="str">
        <f t="shared" si="65"/>
        <v>N/A</v>
      </c>
      <c r="P691" s="861" t="s">
        <v>3906</v>
      </c>
      <c r="Q691" s="861" t="s">
        <v>3907</v>
      </c>
      <c r="R691" s="861"/>
      <c r="S691" s="861" t="s">
        <v>718</v>
      </c>
      <c r="T691" s="866" t="s">
        <v>3908</v>
      </c>
      <c r="U691" s="865"/>
    </row>
    <row r="692" spans="1:21" ht="15">
      <c r="A692" s="672"/>
      <c r="B692" s="861" t="s">
        <v>3909</v>
      </c>
      <c r="C692" s="861" t="s">
        <v>3910</v>
      </c>
      <c r="D692" s="861" t="s">
        <v>371</v>
      </c>
      <c r="E692" s="861"/>
      <c r="F692" s="862"/>
      <c r="G692" s="870" t="s">
        <v>3911</v>
      </c>
      <c r="H692" s="874">
        <v>71615956.829999998</v>
      </c>
      <c r="I692" s="872" t="s">
        <v>3912</v>
      </c>
      <c r="J692" s="862">
        <v>0.55400000000000005</v>
      </c>
      <c r="K692" s="868">
        <f t="shared" si="62"/>
        <v>316</v>
      </c>
      <c r="L692" s="861"/>
      <c r="M692" s="671">
        <f t="shared" si="63"/>
        <v>690</v>
      </c>
      <c r="N692" s="671" t="str">
        <f t="shared" si="64"/>
        <v>N/A</v>
      </c>
      <c r="O692" s="671">
        <f t="shared" si="65"/>
        <v>15</v>
      </c>
      <c r="P692" s="861"/>
      <c r="Q692" s="861"/>
      <c r="R692" s="861"/>
      <c r="S692" s="861" t="s">
        <v>812</v>
      </c>
      <c r="T692" s="866" t="s">
        <v>3913</v>
      </c>
      <c r="U692" s="865"/>
    </row>
    <row r="693" spans="1:21" ht="15">
      <c r="A693" s="857"/>
      <c r="B693" s="861" t="s">
        <v>3914</v>
      </c>
      <c r="C693" s="861" t="s">
        <v>3915</v>
      </c>
      <c r="D693" s="861" t="s">
        <v>371</v>
      </c>
      <c r="E693" s="861"/>
      <c r="F693" s="862"/>
      <c r="G693" s="869">
        <v>0</v>
      </c>
      <c r="H693" s="874">
        <v>71390185.599999994</v>
      </c>
      <c r="I693" s="871"/>
      <c r="J693" s="862">
        <v>2.1999999999999999E-2</v>
      </c>
      <c r="K693" s="868">
        <f t="shared" si="62"/>
        <v>316</v>
      </c>
      <c r="L693" s="861" t="s">
        <v>3916</v>
      </c>
      <c r="M693" s="671">
        <f t="shared" si="63"/>
        <v>691</v>
      </c>
      <c r="N693" s="671" t="str">
        <f t="shared" si="64"/>
        <v>N/A</v>
      </c>
      <c r="O693" s="671">
        <f t="shared" si="65"/>
        <v>665</v>
      </c>
      <c r="P693" s="861" t="s">
        <v>3917</v>
      </c>
      <c r="Q693" s="861" t="s">
        <v>3918</v>
      </c>
      <c r="R693" s="861" t="s">
        <v>3919</v>
      </c>
      <c r="S693" s="861" t="s">
        <v>3920</v>
      </c>
      <c r="T693" s="866" t="s">
        <v>3921</v>
      </c>
      <c r="U693" s="865"/>
    </row>
    <row r="694" spans="1:21" ht="15">
      <c r="A694" s="672"/>
      <c r="B694" s="861" t="s">
        <v>3922</v>
      </c>
      <c r="C694" s="861" t="s">
        <v>3923</v>
      </c>
      <c r="D694" s="861" t="s">
        <v>371</v>
      </c>
      <c r="E694" s="861"/>
      <c r="F694" s="862"/>
      <c r="G694" s="869">
        <v>4.1244354660000004</v>
      </c>
      <c r="H694" s="874">
        <v>71333943.379999995</v>
      </c>
      <c r="I694" s="871">
        <v>8.57</v>
      </c>
      <c r="J694" s="862">
        <v>7.2999999999999995E-2</v>
      </c>
      <c r="K694" s="868">
        <f t="shared" si="62"/>
        <v>316</v>
      </c>
      <c r="L694" s="861" t="s">
        <v>734</v>
      </c>
      <c r="M694" s="671">
        <f t="shared" si="63"/>
        <v>692</v>
      </c>
      <c r="N694" s="671">
        <f t="shared" si="64"/>
        <v>238</v>
      </c>
      <c r="O694" s="671">
        <f t="shared" si="65"/>
        <v>554</v>
      </c>
      <c r="P694" s="861" t="s">
        <v>2559</v>
      </c>
      <c r="Q694" s="861"/>
      <c r="R694" s="861"/>
      <c r="S694" s="861" t="s">
        <v>519</v>
      </c>
      <c r="T694" s="866" t="s">
        <v>3924</v>
      </c>
      <c r="U694" s="865"/>
    </row>
    <row r="695" spans="1:21" ht="15">
      <c r="A695" s="857"/>
      <c r="B695" s="861" t="s">
        <v>3925</v>
      </c>
      <c r="C695" s="861" t="s">
        <v>3926</v>
      </c>
      <c r="D695" s="861" t="s">
        <v>371</v>
      </c>
      <c r="E695" s="861"/>
      <c r="F695" s="862"/>
      <c r="G695" s="869">
        <v>0.92962029999999995</v>
      </c>
      <c r="H695" s="874">
        <v>71253852.549999997</v>
      </c>
      <c r="I695" s="871"/>
      <c r="J695" s="862">
        <v>0.109</v>
      </c>
      <c r="K695" s="868">
        <f t="shared" si="62"/>
        <v>316</v>
      </c>
      <c r="L695" s="861" t="s">
        <v>3927</v>
      </c>
      <c r="M695" s="671">
        <f t="shared" si="63"/>
        <v>693</v>
      </c>
      <c r="N695" s="671" t="str">
        <f t="shared" si="64"/>
        <v>N/A</v>
      </c>
      <c r="O695" s="671">
        <f t="shared" si="65"/>
        <v>459</v>
      </c>
      <c r="P695" s="861" t="s">
        <v>1378</v>
      </c>
      <c r="Q695" s="861" t="s">
        <v>3928</v>
      </c>
      <c r="R695" s="861" t="s">
        <v>3929</v>
      </c>
      <c r="S695" s="861" t="s">
        <v>3930</v>
      </c>
      <c r="T695" s="866" t="s">
        <v>3931</v>
      </c>
      <c r="U695" s="865"/>
    </row>
    <row r="696" spans="1:21" ht="15">
      <c r="A696" s="672"/>
      <c r="B696" s="861" t="s">
        <v>3932</v>
      </c>
      <c r="C696" s="861" t="s">
        <v>3933</v>
      </c>
      <c r="D696" s="861" t="s">
        <v>371</v>
      </c>
      <c r="E696" s="861"/>
      <c r="F696" s="862"/>
      <c r="G696" s="869">
        <v>5.506689089</v>
      </c>
      <c r="H696" s="874">
        <v>71186187.629999995</v>
      </c>
      <c r="I696" s="871"/>
      <c r="J696" s="862">
        <v>9.4E-2</v>
      </c>
      <c r="K696" s="868">
        <f t="shared" si="62"/>
        <v>316</v>
      </c>
      <c r="L696" s="863" t="s">
        <v>3934</v>
      </c>
      <c r="M696" s="671">
        <f t="shared" si="63"/>
        <v>694</v>
      </c>
      <c r="N696" s="671" t="str">
        <f t="shared" si="64"/>
        <v>N/A</v>
      </c>
      <c r="O696" s="671">
        <f t="shared" si="65"/>
        <v>515</v>
      </c>
      <c r="P696" s="861" t="s">
        <v>488</v>
      </c>
      <c r="Q696" s="861"/>
      <c r="R696" s="863" t="s">
        <v>3935</v>
      </c>
      <c r="S696" s="861" t="s">
        <v>3936</v>
      </c>
      <c r="T696" s="866" t="s">
        <v>3937</v>
      </c>
      <c r="U696" s="865"/>
    </row>
    <row r="697" spans="1:21" ht="15">
      <c r="A697" s="857"/>
      <c r="B697" s="861" t="s">
        <v>3938</v>
      </c>
      <c r="C697" s="861" t="s">
        <v>3939</v>
      </c>
      <c r="D697" s="861" t="s">
        <v>371</v>
      </c>
      <c r="E697" s="861"/>
      <c r="F697" s="862"/>
      <c r="G697" s="869">
        <v>63.246085360000002</v>
      </c>
      <c r="H697" s="874">
        <v>71153514.950000003</v>
      </c>
      <c r="I697" s="871"/>
      <c r="J697" s="862">
        <v>0.48899999999999999</v>
      </c>
      <c r="K697" s="868">
        <f t="shared" si="62"/>
        <v>316</v>
      </c>
      <c r="L697" s="861"/>
      <c r="M697" s="671">
        <f t="shared" si="63"/>
        <v>695</v>
      </c>
      <c r="N697" s="671" t="str">
        <f t="shared" si="64"/>
        <v>N/A</v>
      </c>
      <c r="O697" s="671">
        <f t="shared" si="65"/>
        <v>25</v>
      </c>
      <c r="P697" s="861"/>
      <c r="Q697" s="861"/>
      <c r="R697" s="861"/>
      <c r="S697" s="861" t="s">
        <v>424</v>
      </c>
      <c r="T697" s="866" t="s">
        <v>3940</v>
      </c>
      <c r="U697" s="865"/>
    </row>
    <row r="698" spans="1:21" ht="15">
      <c r="A698" s="672"/>
      <c r="B698" s="861" t="s">
        <v>3941</v>
      </c>
      <c r="C698" s="861" t="s">
        <v>3942</v>
      </c>
      <c r="D698" s="861" t="s">
        <v>371</v>
      </c>
      <c r="E698" s="861"/>
      <c r="F698" s="862"/>
      <c r="G698" s="869">
        <v>36.021049509999997</v>
      </c>
      <c r="H698" s="874">
        <v>70988514.019999996</v>
      </c>
      <c r="I698" s="872" t="s">
        <v>3943</v>
      </c>
      <c r="J698" s="862">
        <v>6.8000000000000005E-2</v>
      </c>
      <c r="K698" s="868">
        <f t="shared" si="62"/>
        <v>316</v>
      </c>
      <c r="L698" s="861"/>
      <c r="M698" s="671">
        <f t="shared" si="63"/>
        <v>696</v>
      </c>
      <c r="N698" s="671" t="str">
        <f t="shared" si="64"/>
        <v>N/A</v>
      </c>
      <c r="O698" s="671">
        <f t="shared" si="65"/>
        <v>567</v>
      </c>
      <c r="P698" s="861" t="s">
        <v>3944</v>
      </c>
      <c r="Q698" s="861"/>
      <c r="R698" s="861"/>
      <c r="S698" s="861" t="s">
        <v>718</v>
      </c>
      <c r="T698" s="866" t="s">
        <v>3945</v>
      </c>
      <c r="U698" s="865"/>
    </row>
    <row r="699" spans="1:21" ht="15">
      <c r="A699" s="857"/>
      <c r="B699" s="861" t="s">
        <v>3946</v>
      </c>
      <c r="C699" s="861" t="s">
        <v>3947</v>
      </c>
      <c r="D699" s="861" t="s">
        <v>371</v>
      </c>
      <c r="E699" s="861"/>
      <c r="F699" s="862"/>
      <c r="G699" s="869">
        <v>6.2077E-3</v>
      </c>
      <c r="H699" s="874">
        <v>70786866.189999998</v>
      </c>
      <c r="I699" s="871"/>
      <c r="J699" s="863" t="s">
        <v>3948</v>
      </c>
      <c r="K699" s="868">
        <f t="shared" si="62"/>
        <v>316</v>
      </c>
      <c r="L699" s="861"/>
      <c r="M699" s="671">
        <f t="shared" si="63"/>
        <v>697</v>
      </c>
      <c r="N699" s="671" t="str">
        <f t="shared" si="64"/>
        <v>N/A</v>
      </c>
      <c r="O699" s="671" t="str">
        <f t="shared" si="65"/>
        <v>N/A</v>
      </c>
      <c r="P699" s="861" t="s">
        <v>660</v>
      </c>
      <c r="Q699" s="861"/>
      <c r="R699" s="861"/>
      <c r="S699" s="861" t="s">
        <v>424</v>
      </c>
      <c r="T699" s="866" t="s">
        <v>3949</v>
      </c>
      <c r="U699" s="865"/>
    </row>
    <row r="700" spans="1:21" ht="15">
      <c r="A700" s="672"/>
      <c r="B700" s="861" t="s">
        <v>3950</v>
      </c>
      <c r="C700" s="861" t="s">
        <v>3951</v>
      </c>
      <c r="D700" s="861" t="s">
        <v>371</v>
      </c>
      <c r="E700" s="861"/>
      <c r="F700" s="862">
        <v>0.32900000000000001</v>
      </c>
      <c r="G700" s="869">
        <v>1.030004919</v>
      </c>
      <c r="H700" s="874">
        <v>70405699.599999994</v>
      </c>
      <c r="I700" s="871"/>
      <c r="J700" s="862">
        <v>0.29599999999999999</v>
      </c>
      <c r="K700" s="868">
        <f t="shared" si="62"/>
        <v>45</v>
      </c>
      <c r="L700" s="861"/>
      <c r="M700" s="671">
        <f t="shared" si="63"/>
        <v>698</v>
      </c>
      <c r="N700" s="671" t="str">
        <f t="shared" si="64"/>
        <v>N/A</v>
      </c>
      <c r="O700" s="671">
        <f t="shared" si="65"/>
        <v>133</v>
      </c>
      <c r="P700" s="861" t="s">
        <v>3952</v>
      </c>
      <c r="Q700" s="861" t="s">
        <v>3953</v>
      </c>
      <c r="R700" s="861"/>
      <c r="S700" s="861" t="s">
        <v>696</v>
      </c>
      <c r="T700" s="866" t="s">
        <v>3954</v>
      </c>
      <c r="U700" s="865"/>
    </row>
    <row r="701" spans="1:21" ht="15">
      <c r="A701" s="857"/>
      <c r="B701" s="861" t="s">
        <v>3955</v>
      </c>
      <c r="C701" s="861" t="s">
        <v>3956</v>
      </c>
      <c r="D701" s="861" t="s">
        <v>371</v>
      </c>
      <c r="E701" s="861"/>
      <c r="F701" s="862"/>
      <c r="G701" s="869">
        <v>0</v>
      </c>
      <c r="H701" s="874">
        <v>70328449.430000007</v>
      </c>
      <c r="I701" s="871"/>
      <c r="J701" s="863" t="s">
        <v>3957</v>
      </c>
      <c r="K701" s="868">
        <f t="shared" si="62"/>
        <v>316</v>
      </c>
      <c r="L701" s="861" t="s">
        <v>557</v>
      </c>
      <c r="M701" s="671">
        <f t="shared" si="63"/>
        <v>699</v>
      </c>
      <c r="N701" s="671" t="str">
        <f t="shared" si="64"/>
        <v>N/A</v>
      </c>
      <c r="O701" s="671" t="str">
        <f t="shared" si="65"/>
        <v>N/A</v>
      </c>
      <c r="P701" s="861" t="s">
        <v>1691</v>
      </c>
      <c r="Q701" s="861" t="s">
        <v>3958</v>
      </c>
      <c r="R701" s="861"/>
      <c r="S701" s="861" t="s">
        <v>3959</v>
      </c>
      <c r="T701" s="866" t="s">
        <v>3960</v>
      </c>
      <c r="U701" s="865"/>
    </row>
    <row r="702" spans="1:21" ht="15">
      <c r="A702" s="672"/>
      <c r="B702" s="861" t="s">
        <v>3961</v>
      </c>
      <c r="C702" s="861" t="s">
        <v>3962</v>
      </c>
      <c r="D702" s="861" t="s">
        <v>371</v>
      </c>
      <c r="E702" s="861"/>
      <c r="F702" s="862"/>
      <c r="G702" s="869">
        <v>0</v>
      </c>
      <c r="H702" s="874">
        <v>69603421.359999999</v>
      </c>
      <c r="I702" s="871">
        <v>21.7</v>
      </c>
      <c r="J702" s="862">
        <v>0.29499999999999998</v>
      </c>
      <c r="K702" s="868">
        <f t="shared" si="62"/>
        <v>316</v>
      </c>
      <c r="L702" s="861"/>
      <c r="M702" s="671">
        <f t="shared" si="63"/>
        <v>700</v>
      </c>
      <c r="N702" s="671">
        <f t="shared" si="64"/>
        <v>170</v>
      </c>
      <c r="O702" s="671">
        <f t="shared" si="65"/>
        <v>134</v>
      </c>
      <c r="P702" s="861" t="s">
        <v>3963</v>
      </c>
      <c r="Q702" s="861"/>
      <c r="R702" s="861"/>
      <c r="S702" s="861" t="s">
        <v>3047</v>
      </c>
      <c r="T702" s="866" t="s">
        <v>3964</v>
      </c>
      <c r="U702" s="865"/>
    </row>
    <row r="703" spans="1:21" ht="15">
      <c r="A703" s="857"/>
      <c r="B703" s="861" t="s">
        <v>3965</v>
      </c>
      <c r="C703" s="861" t="s">
        <v>3966</v>
      </c>
      <c r="D703" s="861" t="s">
        <v>371</v>
      </c>
      <c r="E703" s="861"/>
      <c r="F703" s="862"/>
      <c r="G703" s="869">
        <v>6.3007021180000002</v>
      </c>
      <c r="H703" s="874">
        <v>69281573.049999997</v>
      </c>
      <c r="I703" s="871"/>
      <c r="J703" s="862">
        <v>0.104</v>
      </c>
      <c r="K703" s="868">
        <f t="shared" si="62"/>
        <v>316</v>
      </c>
      <c r="L703" s="861"/>
      <c r="M703" s="671">
        <f t="shared" si="63"/>
        <v>701</v>
      </c>
      <c r="N703" s="671" t="str">
        <f t="shared" si="64"/>
        <v>N/A</v>
      </c>
      <c r="O703" s="671">
        <f t="shared" si="65"/>
        <v>475</v>
      </c>
      <c r="P703" s="861" t="s">
        <v>2521</v>
      </c>
      <c r="Q703" s="861"/>
      <c r="R703" s="861"/>
      <c r="S703" s="861" t="s">
        <v>563</v>
      </c>
      <c r="T703" s="866" t="s">
        <v>3967</v>
      </c>
      <c r="U703" s="865"/>
    </row>
    <row r="704" spans="1:21" ht="15">
      <c r="A704" s="672"/>
      <c r="B704" s="861" t="s">
        <v>3968</v>
      </c>
      <c r="C704" s="861" t="s">
        <v>3969</v>
      </c>
      <c r="D704" s="861" t="s">
        <v>371</v>
      </c>
      <c r="E704" s="861"/>
      <c r="F704" s="862"/>
      <c r="G704" s="869">
        <v>0.81436077100000004</v>
      </c>
      <c r="H704" s="874">
        <v>68845233.150000006</v>
      </c>
      <c r="I704" s="871"/>
      <c r="J704" s="862">
        <v>0.17199999999999999</v>
      </c>
      <c r="K704" s="868">
        <f t="shared" si="62"/>
        <v>316</v>
      </c>
      <c r="L704" s="861"/>
      <c r="M704" s="671">
        <f t="shared" si="63"/>
        <v>702</v>
      </c>
      <c r="N704" s="671" t="str">
        <f t="shared" si="64"/>
        <v>N/A</v>
      </c>
      <c r="O704" s="671">
        <f t="shared" si="65"/>
        <v>302</v>
      </c>
      <c r="P704" s="861" t="s">
        <v>3970</v>
      </c>
      <c r="Q704" s="861"/>
      <c r="R704" s="861"/>
      <c r="S704" s="861" t="s">
        <v>424</v>
      </c>
      <c r="T704" s="866" t="s">
        <v>3971</v>
      </c>
      <c r="U704" s="865"/>
    </row>
    <row r="705" spans="1:21" ht="15">
      <c r="A705" s="857"/>
      <c r="B705" s="861" t="s">
        <v>3972</v>
      </c>
      <c r="C705" s="861" t="s">
        <v>3973</v>
      </c>
      <c r="D705" s="861" t="s">
        <v>371</v>
      </c>
      <c r="E705" s="861"/>
      <c r="F705" s="862"/>
      <c r="G705" s="869">
        <v>14.03762356</v>
      </c>
      <c r="H705" s="874">
        <v>68836353.739999995</v>
      </c>
      <c r="I705" s="871">
        <v>45.65</v>
      </c>
      <c r="J705" s="863" t="s">
        <v>3974</v>
      </c>
      <c r="K705" s="868">
        <f t="shared" si="62"/>
        <v>316</v>
      </c>
      <c r="L705" s="861" t="s">
        <v>3975</v>
      </c>
      <c r="M705" s="671">
        <f t="shared" si="63"/>
        <v>703</v>
      </c>
      <c r="N705" s="671">
        <f t="shared" si="64"/>
        <v>95</v>
      </c>
      <c r="O705" s="671" t="str">
        <f t="shared" si="65"/>
        <v>N/A</v>
      </c>
      <c r="P705" s="861" t="s">
        <v>3976</v>
      </c>
      <c r="Q705" s="861"/>
      <c r="R705" s="861" t="s">
        <v>1789</v>
      </c>
      <c r="S705" s="861" t="s">
        <v>3977</v>
      </c>
      <c r="T705" s="866" t="s">
        <v>3978</v>
      </c>
      <c r="U705" s="865"/>
    </row>
    <row r="706" spans="1:21" ht="15">
      <c r="A706" s="672"/>
      <c r="B706" s="861" t="s">
        <v>3979</v>
      </c>
      <c r="C706" s="861" t="s">
        <v>3980</v>
      </c>
      <c r="D706" s="861" t="s">
        <v>371</v>
      </c>
      <c r="E706" s="861"/>
      <c r="F706" s="862"/>
      <c r="G706" s="870" t="s">
        <v>3981</v>
      </c>
      <c r="H706" s="874">
        <v>68590988.870000005</v>
      </c>
      <c r="I706" s="871"/>
      <c r="J706" s="863" t="s">
        <v>3322</v>
      </c>
      <c r="K706" s="868">
        <f t="shared" si="62"/>
        <v>316</v>
      </c>
      <c r="L706" s="861"/>
      <c r="M706" s="671">
        <f t="shared" si="63"/>
        <v>704</v>
      </c>
      <c r="N706" s="671" t="str">
        <f t="shared" si="64"/>
        <v>N/A</v>
      </c>
      <c r="O706" s="671" t="str">
        <f t="shared" si="65"/>
        <v>N/A</v>
      </c>
      <c r="P706" s="861" t="s">
        <v>3959</v>
      </c>
      <c r="Q706" s="861" t="s">
        <v>3982</v>
      </c>
      <c r="R706" s="861"/>
      <c r="S706" s="861" t="s">
        <v>1369</v>
      </c>
      <c r="T706" s="866" t="s">
        <v>3983</v>
      </c>
      <c r="U706" s="865"/>
    </row>
    <row r="707" spans="1:21" ht="15">
      <c r="A707" s="857"/>
      <c r="B707" s="861" t="s">
        <v>3984</v>
      </c>
      <c r="C707" s="861" t="s">
        <v>3985</v>
      </c>
      <c r="D707" s="861" t="s">
        <v>371</v>
      </c>
      <c r="E707" s="861"/>
      <c r="F707" s="862"/>
      <c r="G707" s="870" t="s">
        <v>3986</v>
      </c>
      <c r="H707" s="874">
        <v>67988127.590000004</v>
      </c>
      <c r="I707" s="871"/>
      <c r="J707" s="863"/>
      <c r="K707" s="868">
        <f t="shared" si="62"/>
        <v>316</v>
      </c>
      <c r="L707" s="861"/>
      <c r="M707" s="671">
        <f t="shared" si="63"/>
        <v>705</v>
      </c>
      <c r="N707" s="671" t="str">
        <f t="shared" si="64"/>
        <v>N/A</v>
      </c>
      <c r="O707" s="671">
        <f t="shared" si="65"/>
        <v>708</v>
      </c>
      <c r="P707" s="861" t="s">
        <v>3987</v>
      </c>
      <c r="Q707" s="861"/>
      <c r="R707" s="861"/>
      <c r="S707" s="861" t="s">
        <v>718</v>
      </c>
      <c r="T707" s="866" t="s">
        <v>3988</v>
      </c>
      <c r="U707" s="865"/>
    </row>
    <row r="708" spans="1:21" ht="15">
      <c r="A708" s="672"/>
      <c r="B708" s="861" t="s">
        <v>3989</v>
      </c>
      <c r="C708" s="861" t="s">
        <v>3990</v>
      </c>
      <c r="D708" s="861" t="s">
        <v>371</v>
      </c>
      <c r="E708" s="861"/>
      <c r="F708" s="862"/>
      <c r="G708" s="869">
        <v>0</v>
      </c>
      <c r="H708" s="874">
        <v>67457958.859999999</v>
      </c>
      <c r="I708" s="872" t="s">
        <v>3991</v>
      </c>
      <c r="J708" s="862">
        <v>0.184</v>
      </c>
      <c r="K708" s="868">
        <f t="shared" ref="K708:K771" si="66">IFERROR(_xlfn.RANK.EQ(F708,F$3:F$1770),"N/A")</f>
        <v>316</v>
      </c>
      <c r="L708" s="861"/>
      <c r="M708" s="671">
        <f t="shared" ref="M708:M771" si="67">IFERROR(_xlfn.RANK.EQ(H708,H$3:H$1770),"N/A")</f>
        <v>706</v>
      </c>
      <c r="N708" s="671" t="str">
        <f t="shared" ref="N708:N771" si="68">IFERROR(_xlfn.RANK.EQ(I708,I$3:I$1770),"N/A")</f>
        <v>N/A</v>
      </c>
      <c r="O708" s="671">
        <f t="shared" ref="O708:O771" si="69">IFERROR(_xlfn.RANK.EQ(J708,J$3:J$1770),"N/A")</f>
        <v>279</v>
      </c>
      <c r="P708" s="861"/>
      <c r="Q708" s="861"/>
      <c r="R708" s="861"/>
      <c r="S708" s="861" t="s">
        <v>1311</v>
      </c>
      <c r="T708" s="866" t="s">
        <v>3992</v>
      </c>
      <c r="U708" s="865"/>
    </row>
    <row r="709" spans="1:21" ht="15">
      <c r="A709" s="857"/>
      <c r="B709" s="861" t="s">
        <v>3993</v>
      </c>
      <c r="C709" s="861" t="s">
        <v>3994</v>
      </c>
      <c r="D709" s="861" t="s">
        <v>371</v>
      </c>
      <c r="E709" s="861"/>
      <c r="F709" s="862"/>
      <c r="G709" s="869">
        <v>0.151577555</v>
      </c>
      <c r="H709" s="874">
        <v>67070945.619999997</v>
      </c>
      <c r="I709" s="871"/>
      <c r="J709" s="863" t="s">
        <v>3995</v>
      </c>
      <c r="K709" s="868">
        <f t="shared" si="66"/>
        <v>316</v>
      </c>
      <c r="L709" s="861"/>
      <c r="M709" s="671">
        <f t="shared" si="67"/>
        <v>707</v>
      </c>
      <c r="N709" s="671" t="str">
        <f t="shared" si="68"/>
        <v>N/A</v>
      </c>
      <c r="O709" s="671" t="str">
        <f t="shared" si="69"/>
        <v>N/A</v>
      </c>
      <c r="P709" s="861"/>
      <c r="Q709" s="861"/>
      <c r="R709" s="861"/>
      <c r="S709" s="861" t="s">
        <v>424</v>
      </c>
      <c r="T709" s="866" t="s">
        <v>3996</v>
      </c>
      <c r="U709" s="865"/>
    </row>
    <row r="710" spans="1:21" ht="15">
      <c r="A710" s="672"/>
      <c r="B710" s="861" t="s">
        <v>3997</v>
      </c>
      <c r="C710" s="861" t="s">
        <v>3998</v>
      </c>
      <c r="D710" s="861" t="s">
        <v>371</v>
      </c>
      <c r="E710" s="861"/>
      <c r="F710" s="862"/>
      <c r="G710" s="869">
        <v>0</v>
      </c>
      <c r="H710" s="874">
        <v>66677411.899999999</v>
      </c>
      <c r="I710" s="871"/>
      <c r="J710" s="863" t="s">
        <v>3999</v>
      </c>
      <c r="K710" s="868">
        <f t="shared" si="66"/>
        <v>316</v>
      </c>
      <c r="L710" s="861"/>
      <c r="M710" s="671">
        <f t="shared" si="67"/>
        <v>708</v>
      </c>
      <c r="N710" s="671" t="str">
        <f t="shared" si="68"/>
        <v>N/A</v>
      </c>
      <c r="O710" s="671" t="str">
        <f t="shared" si="69"/>
        <v>N/A</v>
      </c>
      <c r="P710" s="861" t="s">
        <v>672</v>
      </c>
      <c r="Q710" s="861" t="s">
        <v>4000</v>
      </c>
      <c r="R710" s="861"/>
      <c r="S710" s="861" t="s">
        <v>506</v>
      </c>
      <c r="T710" s="866" t="s">
        <v>4001</v>
      </c>
      <c r="U710" s="865"/>
    </row>
    <row r="711" spans="1:21" ht="15">
      <c r="A711" s="857"/>
      <c r="B711" s="861" t="s">
        <v>4002</v>
      </c>
      <c r="C711" s="861" t="s">
        <v>4003</v>
      </c>
      <c r="D711" s="861" t="s">
        <v>371</v>
      </c>
      <c r="E711" s="861"/>
      <c r="F711" s="862"/>
      <c r="G711" s="870" t="s">
        <v>4004</v>
      </c>
      <c r="H711" s="874">
        <v>66572111.810000002</v>
      </c>
      <c r="I711" s="871"/>
      <c r="J711" s="862">
        <v>0.18</v>
      </c>
      <c r="K711" s="868">
        <f t="shared" si="66"/>
        <v>316</v>
      </c>
      <c r="L711" s="861"/>
      <c r="M711" s="671">
        <f t="shared" si="67"/>
        <v>709</v>
      </c>
      <c r="N711" s="671" t="str">
        <f t="shared" si="68"/>
        <v>N/A</v>
      </c>
      <c r="O711" s="671">
        <f t="shared" si="69"/>
        <v>289</v>
      </c>
      <c r="P711" s="861" t="s">
        <v>1411</v>
      </c>
      <c r="Q711" s="861"/>
      <c r="R711" s="863" t="s">
        <v>4005</v>
      </c>
      <c r="S711" s="861" t="s">
        <v>4006</v>
      </c>
      <c r="T711" s="866" t="s">
        <v>4007</v>
      </c>
      <c r="U711" s="865"/>
    </row>
    <row r="712" spans="1:21" ht="15">
      <c r="A712" s="672"/>
      <c r="B712" s="861" t="s">
        <v>4008</v>
      </c>
      <c r="C712" s="861" t="s">
        <v>4009</v>
      </c>
      <c r="D712" s="861" t="s">
        <v>371</v>
      </c>
      <c r="E712" s="861"/>
      <c r="F712" s="862"/>
      <c r="G712" s="869">
        <v>2.0892806629999998</v>
      </c>
      <c r="H712" s="874">
        <v>66354036.920000002</v>
      </c>
      <c r="I712" s="871"/>
      <c r="J712" s="862">
        <v>0.04</v>
      </c>
      <c r="K712" s="868">
        <f t="shared" si="66"/>
        <v>316</v>
      </c>
      <c r="L712" s="861" t="s">
        <v>4010</v>
      </c>
      <c r="M712" s="671">
        <f t="shared" si="67"/>
        <v>710</v>
      </c>
      <c r="N712" s="671" t="str">
        <f t="shared" si="68"/>
        <v>N/A</v>
      </c>
      <c r="O712" s="671">
        <f t="shared" si="69"/>
        <v>628</v>
      </c>
      <c r="P712" s="861" t="s">
        <v>4011</v>
      </c>
      <c r="Q712" s="861" t="s">
        <v>4012</v>
      </c>
      <c r="R712" s="861" t="s">
        <v>4013</v>
      </c>
      <c r="S712" s="861" t="s">
        <v>4014</v>
      </c>
      <c r="T712" s="866" t="s">
        <v>4015</v>
      </c>
      <c r="U712" s="865"/>
    </row>
    <row r="713" spans="1:21" ht="15">
      <c r="A713" s="857"/>
      <c r="B713" s="861" t="s">
        <v>4016</v>
      </c>
      <c r="C713" s="861" t="s">
        <v>4017</v>
      </c>
      <c r="D713" s="861" t="s">
        <v>371</v>
      </c>
      <c r="E713" s="861"/>
      <c r="F713" s="862"/>
      <c r="G713" s="870" t="s">
        <v>4018</v>
      </c>
      <c r="H713" s="874">
        <v>65854361.640000001</v>
      </c>
      <c r="I713" s="871"/>
      <c r="J713" s="862">
        <v>0.11700000000000001</v>
      </c>
      <c r="K713" s="868">
        <f t="shared" si="66"/>
        <v>316</v>
      </c>
      <c r="L713" s="861" t="s">
        <v>404</v>
      </c>
      <c r="M713" s="671">
        <f t="shared" si="67"/>
        <v>711</v>
      </c>
      <c r="N713" s="671" t="str">
        <f t="shared" si="68"/>
        <v>N/A</v>
      </c>
      <c r="O713" s="671">
        <f t="shared" si="69"/>
        <v>439</v>
      </c>
      <c r="P713" s="861" t="s">
        <v>4019</v>
      </c>
      <c r="Q713" s="861" t="s">
        <v>4020</v>
      </c>
      <c r="R713" s="861"/>
      <c r="S713" s="861" t="s">
        <v>1127</v>
      </c>
      <c r="T713" s="866" t="s">
        <v>4021</v>
      </c>
      <c r="U713" s="865"/>
    </row>
    <row r="714" spans="1:21" ht="15">
      <c r="A714" s="672"/>
      <c r="B714" s="861" t="s">
        <v>4022</v>
      </c>
      <c r="C714" s="861" t="s">
        <v>4023</v>
      </c>
      <c r="D714" s="861" t="s">
        <v>371</v>
      </c>
      <c r="E714" s="861"/>
      <c r="F714" s="862"/>
      <c r="G714" s="869">
        <v>4.8409431349999998</v>
      </c>
      <c r="H714" s="874">
        <v>65637010.390000001</v>
      </c>
      <c r="I714" s="871">
        <v>6.96</v>
      </c>
      <c r="J714" s="862">
        <v>0.113</v>
      </c>
      <c r="K714" s="868">
        <f t="shared" si="66"/>
        <v>316</v>
      </c>
      <c r="L714" s="861"/>
      <c r="M714" s="671">
        <f t="shared" si="67"/>
        <v>712</v>
      </c>
      <c r="N714" s="671">
        <f t="shared" si="68"/>
        <v>253</v>
      </c>
      <c r="O714" s="671">
        <f t="shared" si="69"/>
        <v>448</v>
      </c>
      <c r="P714" s="861" t="s">
        <v>1425</v>
      </c>
      <c r="Q714" s="861" t="s">
        <v>4024</v>
      </c>
      <c r="R714" s="861"/>
      <c r="S714" s="861" t="s">
        <v>698</v>
      </c>
      <c r="T714" s="866" t="s">
        <v>4025</v>
      </c>
      <c r="U714" s="865"/>
    </row>
    <row r="715" spans="1:21" ht="15">
      <c r="A715" s="857"/>
      <c r="B715" s="861" t="s">
        <v>4026</v>
      </c>
      <c r="C715" s="861" t="s">
        <v>4027</v>
      </c>
      <c r="D715" s="861" t="s">
        <v>371</v>
      </c>
      <c r="E715" s="861"/>
      <c r="F715" s="862"/>
      <c r="G715" s="869">
        <v>1.132124261</v>
      </c>
      <c r="H715" s="874">
        <v>65383653.520000003</v>
      </c>
      <c r="I715" s="871"/>
      <c r="J715" s="862">
        <v>4.2999999999999997E-2</v>
      </c>
      <c r="K715" s="868">
        <f t="shared" si="66"/>
        <v>316</v>
      </c>
      <c r="L715" s="861"/>
      <c r="M715" s="671">
        <f t="shared" si="67"/>
        <v>713</v>
      </c>
      <c r="N715" s="671" t="str">
        <f t="shared" si="68"/>
        <v>N/A</v>
      </c>
      <c r="O715" s="671">
        <f t="shared" si="69"/>
        <v>617</v>
      </c>
      <c r="P715" s="861"/>
      <c r="Q715" s="861"/>
      <c r="R715" s="861"/>
      <c r="S715" s="861" t="s">
        <v>563</v>
      </c>
      <c r="T715" s="866" t="s">
        <v>4028</v>
      </c>
      <c r="U715" s="865"/>
    </row>
    <row r="716" spans="1:21" ht="15">
      <c r="A716" s="672"/>
      <c r="B716" s="861" t="s">
        <v>4029</v>
      </c>
      <c r="C716" s="861" t="s">
        <v>4030</v>
      </c>
      <c r="D716" s="861" t="s">
        <v>371</v>
      </c>
      <c r="E716" s="861"/>
      <c r="F716" s="862"/>
      <c r="G716" s="869">
        <v>1.173182935</v>
      </c>
      <c r="H716" s="874">
        <v>64912636.950000003</v>
      </c>
      <c r="I716" s="871"/>
      <c r="J716" s="862">
        <v>0.13200000000000001</v>
      </c>
      <c r="K716" s="868">
        <f t="shared" si="66"/>
        <v>316</v>
      </c>
      <c r="L716" s="861"/>
      <c r="M716" s="671">
        <f t="shared" si="67"/>
        <v>714</v>
      </c>
      <c r="N716" s="671" t="str">
        <f t="shared" si="68"/>
        <v>N/A</v>
      </c>
      <c r="O716" s="671">
        <f t="shared" si="69"/>
        <v>391</v>
      </c>
      <c r="P716" s="861"/>
      <c r="Q716" s="861" t="s">
        <v>4031</v>
      </c>
      <c r="R716" s="861"/>
      <c r="S716" s="861" t="s">
        <v>404</v>
      </c>
      <c r="T716" s="866" t="s">
        <v>4032</v>
      </c>
      <c r="U716" s="865"/>
    </row>
    <row r="717" spans="1:21" ht="15">
      <c r="A717" s="857"/>
      <c r="B717" s="861" t="s">
        <v>4033</v>
      </c>
      <c r="C717" s="861" t="s">
        <v>4034</v>
      </c>
      <c r="D717" s="861" t="s">
        <v>371</v>
      </c>
      <c r="E717" s="861"/>
      <c r="F717" s="862"/>
      <c r="G717" s="870" t="s">
        <v>4035</v>
      </c>
      <c r="H717" s="874">
        <v>64659572.719999999</v>
      </c>
      <c r="I717" s="871"/>
      <c r="J717" s="863" t="s">
        <v>4036</v>
      </c>
      <c r="K717" s="868">
        <f t="shared" si="66"/>
        <v>316</v>
      </c>
      <c r="L717" s="861"/>
      <c r="M717" s="671">
        <f t="shared" si="67"/>
        <v>715</v>
      </c>
      <c r="N717" s="671" t="str">
        <f t="shared" si="68"/>
        <v>N/A</v>
      </c>
      <c r="O717" s="671" t="str">
        <f t="shared" si="69"/>
        <v>N/A</v>
      </c>
      <c r="P717" s="861" t="s">
        <v>3013</v>
      </c>
      <c r="Q717" s="861"/>
      <c r="R717" s="861"/>
      <c r="S717" s="861" t="s">
        <v>1881</v>
      </c>
      <c r="T717" s="866" t="s">
        <v>4037</v>
      </c>
      <c r="U717" s="865"/>
    </row>
    <row r="718" spans="1:21" ht="15">
      <c r="A718" s="672"/>
      <c r="B718" s="861" t="s">
        <v>4038</v>
      </c>
      <c r="C718" s="861" t="s">
        <v>4039</v>
      </c>
      <c r="D718" s="861" t="s">
        <v>371</v>
      </c>
      <c r="E718" s="861"/>
      <c r="F718" s="862"/>
      <c r="G718" s="869">
        <v>0</v>
      </c>
      <c r="H718" s="874">
        <v>64541279.130000003</v>
      </c>
      <c r="I718" s="871"/>
      <c r="J718" s="863" t="s">
        <v>4040</v>
      </c>
      <c r="K718" s="868">
        <f t="shared" si="66"/>
        <v>316</v>
      </c>
      <c r="L718" s="861"/>
      <c r="M718" s="671">
        <f t="shared" si="67"/>
        <v>716</v>
      </c>
      <c r="N718" s="671" t="str">
        <f t="shared" si="68"/>
        <v>N/A</v>
      </c>
      <c r="O718" s="671" t="str">
        <f t="shared" si="69"/>
        <v>N/A</v>
      </c>
      <c r="P718" s="861" t="s">
        <v>746</v>
      </c>
      <c r="Q718" s="861"/>
      <c r="R718" s="861"/>
      <c r="S718" s="861" t="s">
        <v>1252</v>
      </c>
      <c r="T718" s="866" t="s">
        <v>4041</v>
      </c>
      <c r="U718" s="865"/>
    </row>
    <row r="719" spans="1:21" ht="15">
      <c r="A719" s="857"/>
      <c r="B719" s="861" t="s">
        <v>4042</v>
      </c>
      <c r="C719" s="861" t="s">
        <v>4043</v>
      </c>
      <c r="D719" s="861" t="s">
        <v>371</v>
      </c>
      <c r="E719" s="861"/>
      <c r="F719" s="862"/>
      <c r="G719" s="870" t="s">
        <v>4044</v>
      </c>
      <c r="H719" s="874">
        <v>64405072.350000001</v>
      </c>
      <c r="I719" s="871"/>
      <c r="J719" s="863" t="s">
        <v>4045</v>
      </c>
      <c r="K719" s="868">
        <f t="shared" si="66"/>
        <v>316</v>
      </c>
      <c r="L719" s="861"/>
      <c r="M719" s="671">
        <f t="shared" si="67"/>
        <v>717</v>
      </c>
      <c r="N719" s="671" t="str">
        <f t="shared" si="68"/>
        <v>N/A</v>
      </c>
      <c r="O719" s="671" t="str">
        <f t="shared" si="69"/>
        <v>N/A</v>
      </c>
      <c r="P719" s="861"/>
      <c r="Q719" s="861"/>
      <c r="R719" s="861"/>
      <c r="S719" s="861" t="s">
        <v>494</v>
      </c>
      <c r="T719" s="866" t="s">
        <v>4046</v>
      </c>
      <c r="U719" s="865"/>
    </row>
    <row r="720" spans="1:21" ht="15">
      <c r="A720" s="672"/>
      <c r="B720" s="861" t="s">
        <v>4047</v>
      </c>
      <c r="C720" s="861" t="s">
        <v>4048</v>
      </c>
      <c r="D720" s="861" t="s">
        <v>371</v>
      </c>
      <c r="E720" s="861"/>
      <c r="F720" s="862">
        <v>4.2000000000000003E-2</v>
      </c>
      <c r="G720" s="870" t="s">
        <v>4049</v>
      </c>
      <c r="H720" s="874">
        <v>64103810.049999997</v>
      </c>
      <c r="I720" s="871"/>
      <c r="J720" s="863" t="s">
        <v>2242</v>
      </c>
      <c r="K720" s="868">
        <f t="shared" si="66"/>
        <v>263</v>
      </c>
      <c r="L720" s="861"/>
      <c r="M720" s="671">
        <f t="shared" si="67"/>
        <v>718</v>
      </c>
      <c r="N720" s="671" t="str">
        <f t="shared" si="68"/>
        <v>N/A</v>
      </c>
      <c r="O720" s="671" t="str">
        <f t="shared" si="69"/>
        <v>N/A</v>
      </c>
      <c r="P720" s="861" t="s">
        <v>4050</v>
      </c>
      <c r="Q720" s="861"/>
      <c r="R720" s="861"/>
      <c r="S720" s="861" t="s">
        <v>809</v>
      </c>
      <c r="T720" s="866" t="s">
        <v>4051</v>
      </c>
      <c r="U720" s="865"/>
    </row>
    <row r="721" spans="1:21" ht="15">
      <c r="A721" s="857"/>
      <c r="B721" s="861" t="s">
        <v>4052</v>
      </c>
      <c r="C721" s="861" t="s">
        <v>4053</v>
      </c>
      <c r="D721" s="861" t="s">
        <v>371</v>
      </c>
      <c r="E721" s="861"/>
      <c r="F721" s="862">
        <v>-0.30099999999999999</v>
      </c>
      <c r="G721" s="870" t="s">
        <v>4054</v>
      </c>
      <c r="H721" s="874">
        <v>64000000</v>
      </c>
      <c r="I721" s="871"/>
      <c r="J721" s="863" t="s">
        <v>4055</v>
      </c>
      <c r="K721" s="868">
        <f t="shared" si="66"/>
        <v>447</v>
      </c>
      <c r="L721" s="861"/>
      <c r="M721" s="671">
        <f t="shared" si="67"/>
        <v>719</v>
      </c>
      <c r="N721" s="671" t="str">
        <f t="shared" si="68"/>
        <v>N/A</v>
      </c>
      <c r="O721" s="671" t="str">
        <f t="shared" si="69"/>
        <v>N/A</v>
      </c>
      <c r="P721" s="861" t="s">
        <v>2110</v>
      </c>
      <c r="Q721" s="861"/>
      <c r="R721" s="861"/>
      <c r="S721" s="861" t="s">
        <v>3013</v>
      </c>
      <c r="T721" s="866" t="s">
        <v>4056</v>
      </c>
      <c r="U721" s="865"/>
    </row>
    <row r="722" spans="1:21" ht="15">
      <c r="A722" s="672"/>
      <c r="B722" s="861" t="s">
        <v>4057</v>
      </c>
      <c r="C722" s="861" t="s">
        <v>4058</v>
      </c>
      <c r="D722" s="861" t="s">
        <v>371</v>
      </c>
      <c r="E722" s="861"/>
      <c r="F722" s="862"/>
      <c r="G722" s="869">
        <v>0</v>
      </c>
      <c r="H722" s="874">
        <v>63630436.100000001</v>
      </c>
      <c r="I722" s="871"/>
      <c r="J722" s="863" t="s">
        <v>1584</v>
      </c>
      <c r="K722" s="868">
        <f t="shared" si="66"/>
        <v>316</v>
      </c>
      <c r="L722" s="861"/>
      <c r="M722" s="671">
        <f t="shared" si="67"/>
        <v>720</v>
      </c>
      <c r="N722" s="671" t="str">
        <f t="shared" si="68"/>
        <v>N/A</v>
      </c>
      <c r="O722" s="671" t="str">
        <f t="shared" si="69"/>
        <v>N/A</v>
      </c>
      <c r="P722" s="863" t="s">
        <v>4059</v>
      </c>
      <c r="Q722" s="861"/>
      <c r="R722" s="861"/>
      <c r="S722" s="861" t="s">
        <v>1640</v>
      </c>
      <c r="T722" s="866" t="s">
        <v>4060</v>
      </c>
      <c r="U722" s="865"/>
    </row>
    <row r="723" spans="1:21" ht="15">
      <c r="A723" s="857"/>
      <c r="B723" s="861" t="s">
        <v>4061</v>
      </c>
      <c r="C723" s="861" t="s">
        <v>4062</v>
      </c>
      <c r="D723" s="861" t="s">
        <v>371</v>
      </c>
      <c r="E723" s="861"/>
      <c r="F723" s="862">
        <v>-6.3E-2</v>
      </c>
      <c r="G723" s="870" t="s">
        <v>4063</v>
      </c>
      <c r="H723" s="874">
        <v>63482854.75</v>
      </c>
      <c r="I723" s="871"/>
      <c r="J723" s="862">
        <v>6.0999999999999999E-2</v>
      </c>
      <c r="K723" s="868">
        <f t="shared" si="66"/>
        <v>353</v>
      </c>
      <c r="L723" s="861" t="s">
        <v>1214</v>
      </c>
      <c r="M723" s="671">
        <f t="shared" si="67"/>
        <v>721</v>
      </c>
      <c r="N723" s="671" t="str">
        <f t="shared" si="68"/>
        <v>N/A</v>
      </c>
      <c r="O723" s="671">
        <f t="shared" si="69"/>
        <v>580</v>
      </c>
      <c r="P723" s="861" t="s">
        <v>2407</v>
      </c>
      <c r="Q723" s="861" t="s">
        <v>4064</v>
      </c>
      <c r="R723" s="861" t="s">
        <v>2190</v>
      </c>
      <c r="S723" s="861" t="s">
        <v>4065</v>
      </c>
      <c r="T723" s="866" t="s">
        <v>4066</v>
      </c>
      <c r="U723" s="865"/>
    </row>
    <row r="724" spans="1:21" ht="15">
      <c r="A724" s="672"/>
      <c r="B724" s="861" t="s">
        <v>4067</v>
      </c>
      <c r="C724" s="861" t="s">
        <v>4068</v>
      </c>
      <c r="D724" s="861" t="s">
        <v>371</v>
      </c>
      <c r="E724" s="861"/>
      <c r="F724" s="862"/>
      <c r="G724" s="870" t="s">
        <v>4069</v>
      </c>
      <c r="H724" s="874">
        <v>63332338.450000003</v>
      </c>
      <c r="I724" s="871"/>
      <c r="J724" s="861"/>
      <c r="K724" s="868">
        <f t="shared" si="66"/>
        <v>316</v>
      </c>
      <c r="L724" s="861" t="s">
        <v>768</v>
      </c>
      <c r="M724" s="671">
        <f t="shared" si="67"/>
        <v>722</v>
      </c>
      <c r="N724" s="671" t="str">
        <f t="shared" si="68"/>
        <v>N/A</v>
      </c>
      <c r="O724" s="671">
        <f t="shared" si="69"/>
        <v>708</v>
      </c>
      <c r="P724" s="861" t="s">
        <v>4070</v>
      </c>
      <c r="Q724" s="861" t="s">
        <v>4071</v>
      </c>
      <c r="R724" s="861" t="s">
        <v>2420</v>
      </c>
      <c r="S724" s="861" t="s">
        <v>4072</v>
      </c>
      <c r="T724" s="866" t="s">
        <v>4073</v>
      </c>
      <c r="U724" s="865"/>
    </row>
    <row r="725" spans="1:21" ht="15">
      <c r="A725" s="857"/>
      <c r="B725" s="861" t="s">
        <v>4074</v>
      </c>
      <c r="C725" s="861" t="s">
        <v>4075</v>
      </c>
      <c r="D725" s="861" t="s">
        <v>371</v>
      </c>
      <c r="E725" s="861"/>
      <c r="F725" s="862"/>
      <c r="G725" s="869" t="e">
        <v>#DIV/0!</v>
      </c>
      <c r="H725" s="874">
        <v>63305075.420000002</v>
      </c>
      <c r="I725" s="871"/>
      <c r="J725" s="863"/>
      <c r="K725" s="868">
        <f t="shared" si="66"/>
        <v>316</v>
      </c>
      <c r="L725" s="863" t="s">
        <v>4076</v>
      </c>
      <c r="M725" s="671">
        <f t="shared" si="67"/>
        <v>723</v>
      </c>
      <c r="N725" s="671" t="str">
        <f t="shared" si="68"/>
        <v>N/A</v>
      </c>
      <c r="O725" s="671">
        <f t="shared" si="69"/>
        <v>708</v>
      </c>
      <c r="P725" s="861" t="s">
        <v>2984</v>
      </c>
      <c r="Q725" s="861" t="s">
        <v>4077</v>
      </c>
      <c r="R725" s="863" t="s">
        <v>4078</v>
      </c>
      <c r="S725" s="861" t="s">
        <v>2984</v>
      </c>
      <c r="T725" s="866" t="s">
        <v>4079</v>
      </c>
      <c r="U725" s="865"/>
    </row>
    <row r="726" spans="1:21" ht="15">
      <c r="A726" s="672"/>
      <c r="B726" s="861" t="s">
        <v>4080</v>
      </c>
      <c r="C726" s="861" t="s">
        <v>4081</v>
      </c>
      <c r="D726" s="861" t="s">
        <v>371</v>
      </c>
      <c r="E726" s="861"/>
      <c r="F726" s="862"/>
      <c r="G726" s="869">
        <v>7.1036466000000006E-2</v>
      </c>
      <c r="H726" s="874">
        <v>63231461.640000001</v>
      </c>
      <c r="I726" s="871"/>
      <c r="J726" s="863"/>
      <c r="K726" s="868">
        <f t="shared" si="66"/>
        <v>316</v>
      </c>
      <c r="L726" s="861"/>
      <c r="M726" s="671">
        <f t="shared" si="67"/>
        <v>724</v>
      </c>
      <c r="N726" s="671" t="str">
        <f t="shared" si="68"/>
        <v>N/A</v>
      </c>
      <c r="O726" s="671">
        <f t="shared" si="69"/>
        <v>708</v>
      </c>
      <c r="P726" s="861" t="s">
        <v>447</v>
      </c>
      <c r="Q726" s="861"/>
      <c r="R726" s="861"/>
      <c r="S726" s="861" t="s">
        <v>404</v>
      </c>
      <c r="T726" s="866" t="s">
        <v>4082</v>
      </c>
      <c r="U726" s="865"/>
    </row>
    <row r="727" spans="1:21" ht="15">
      <c r="A727" s="857"/>
      <c r="B727" s="861" t="s">
        <v>4083</v>
      </c>
      <c r="C727" s="861" t="s">
        <v>4084</v>
      </c>
      <c r="D727" s="861" t="s">
        <v>371</v>
      </c>
      <c r="E727" s="861"/>
      <c r="F727" s="862"/>
      <c r="G727" s="869">
        <v>1.5476976999999999E-2</v>
      </c>
      <c r="H727" s="874">
        <v>63105453.189999998</v>
      </c>
      <c r="I727" s="871"/>
      <c r="J727" s="862">
        <v>0.26300000000000001</v>
      </c>
      <c r="K727" s="868">
        <f t="shared" si="66"/>
        <v>316</v>
      </c>
      <c r="L727" s="863" t="s">
        <v>4085</v>
      </c>
      <c r="M727" s="671">
        <f t="shared" si="67"/>
        <v>725</v>
      </c>
      <c r="N727" s="671" t="str">
        <f t="shared" si="68"/>
        <v>N/A</v>
      </c>
      <c r="O727" s="671">
        <f t="shared" si="69"/>
        <v>161</v>
      </c>
      <c r="P727" s="861" t="s">
        <v>1386</v>
      </c>
      <c r="Q727" s="861"/>
      <c r="R727" s="861" t="s">
        <v>404</v>
      </c>
      <c r="S727" s="861" t="s">
        <v>1425</v>
      </c>
      <c r="T727" s="866" t="s">
        <v>4086</v>
      </c>
      <c r="U727" s="865"/>
    </row>
    <row r="728" spans="1:21" ht="15">
      <c r="A728" s="672"/>
      <c r="B728" s="861" t="s">
        <v>4087</v>
      </c>
      <c r="C728" s="861" t="s">
        <v>4088</v>
      </c>
      <c r="D728" s="861" t="s">
        <v>371</v>
      </c>
      <c r="E728" s="861"/>
      <c r="F728" s="862">
        <v>0.25900000000000001</v>
      </c>
      <c r="G728" s="869">
        <v>9.5103150999999997E-2</v>
      </c>
      <c r="H728" s="874">
        <v>62934183.030000001</v>
      </c>
      <c r="I728" s="871"/>
      <c r="J728" s="862">
        <v>0.108</v>
      </c>
      <c r="K728" s="868">
        <f t="shared" si="66"/>
        <v>67</v>
      </c>
      <c r="L728" s="861"/>
      <c r="M728" s="671">
        <f t="shared" si="67"/>
        <v>726</v>
      </c>
      <c r="N728" s="671" t="str">
        <f t="shared" si="68"/>
        <v>N/A</v>
      </c>
      <c r="O728" s="671">
        <f t="shared" si="69"/>
        <v>461</v>
      </c>
      <c r="P728" s="861" t="s">
        <v>542</v>
      </c>
      <c r="Q728" s="861" t="s">
        <v>4089</v>
      </c>
      <c r="R728" s="861"/>
      <c r="S728" s="861" t="s">
        <v>454</v>
      </c>
      <c r="T728" s="866" t="s">
        <v>4090</v>
      </c>
      <c r="U728" s="865"/>
    </row>
    <row r="729" spans="1:21" ht="15">
      <c r="A729" s="857"/>
      <c r="B729" s="861" t="s">
        <v>4091</v>
      </c>
      <c r="C729" s="861" t="s">
        <v>4092</v>
      </c>
      <c r="D729" s="861" t="s">
        <v>371</v>
      </c>
      <c r="E729" s="861"/>
      <c r="F729" s="862"/>
      <c r="G729" s="869">
        <v>0.990515586</v>
      </c>
      <c r="H729" s="874">
        <v>62287426.520000003</v>
      </c>
      <c r="I729" s="871"/>
      <c r="J729" s="862">
        <v>0.45</v>
      </c>
      <c r="K729" s="868">
        <f t="shared" si="66"/>
        <v>316</v>
      </c>
      <c r="L729" s="861" t="s">
        <v>506</v>
      </c>
      <c r="M729" s="671">
        <f t="shared" si="67"/>
        <v>727</v>
      </c>
      <c r="N729" s="671" t="str">
        <f t="shared" si="68"/>
        <v>N/A</v>
      </c>
      <c r="O729" s="671">
        <f t="shared" si="69"/>
        <v>41</v>
      </c>
      <c r="P729" s="861" t="s">
        <v>1384</v>
      </c>
      <c r="Q729" s="861" t="s">
        <v>4093</v>
      </c>
      <c r="R729" s="861"/>
      <c r="S729" s="861" t="s">
        <v>4094</v>
      </c>
      <c r="T729" s="866" t="s">
        <v>4095</v>
      </c>
      <c r="U729" s="865"/>
    </row>
    <row r="730" spans="1:21" ht="15">
      <c r="A730" s="672"/>
      <c r="B730" s="861" t="s">
        <v>4096</v>
      </c>
      <c r="C730" s="861" t="s">
        <v>4097</v>
      </c>
      <c r="D730" s="861" t="s">
        <v>371</v>
      </c>
      <c r="E730" s="861"/>
      <c r="F730" s="862">
        <v>-0.33900000000000002</v>
      </c>
      <c r="G730" s="870" t="s">
        <v>4098</v>
      </c>
      <c r="H730" s="874">
        <v>62075662.890000001</v>
      </c>
      <c r="I730" s="871"/>
      <c r="J730" s="862">
        <v>0.318</v>
      </c>
      <c r="K730" s="868">
        <f t="shared" si="66"/>
        <v>454</v>
      </c>
      <c r="L730" s="861"/>
      <c r="M730" s="671">
        <f t="shared" si="67"/>
        <v>728</v>
      </c>
      <c r="N730" s="671" t="str">
        <f t="shared" si="68"/>
        <v>N/A</v>
      </c>
      <c r="O730" s="671">
        <f t="shared" si="69"/>
        <v>103</v>
      </c>
      <c r="P730" s="861" t="s">
        <v>1230</v>
      </c>
      <c r="Q730" s="861" t="s">
        <v>1521</v>
      </c>
      <c r="R730" s="861"/>
      <c r="S730" s="861" t="s">
        <v>454</v>
      </c>
      <c r="T730" s="866" t="s">
        <v>4099</v>
      </c>
      <c r="U730" s="865"/>
    </row>
    <row r="731" spans="1:21" ht="15">
      <c r="A731" s="857"/>
      <c r="B731" s="861" t="s">
        <v>4100</v>
      </c>
      <c r="C731" s="861" t="s">
        <v>4101</v>
      </c>
      <c r="D731" s="861" t="s">
        <v>371</v>
      </c>
      <c r="E731" s="861"/>
      <c r="F731" s="862">
        <v>-0.19500000000000001</v>
      </c>
      <c r="G731" s="870" t="s">
        <v>4102</v>
      </c>
      <c r="H731" s="874">
        <v>61976036.93</v>
      </c>
      <c r="I731" s="872" t="s">
        <v>4103</v>
      </c>
      <c r="J731" s="862">
        <v>0.28100000000000003</v>
      </c>
      <c r="K731" s="868">
        <f t="shared" si="66"/>
        <v>413</v>
      </c>
      <c r="L731" s="861"/>
      <c r="M731" s="671">
        <f t="shared" si="67"/>
        <v>729</v>
      </c>
      <c r="N731" s="671" t="str">
        <f t="shared" si="68"/>
        <v>N/A</v>
      </c>
      <c r="O731" s="671">
        <f t="shared" si="69"/>
        <v>148</v>
      </c>
      <c r="P731" s="861" t="s">
        <v>3248</v>
      </c>
      <c r="Q731" s="861" t="s">
        <v>4104</v>
      </c>
      <c r="R731" s="861"/>
      <c r="S731" s="861" t="s">
        <v>506</v>
      </c>
      <c r="T731" s="866" t="s">
        <v>4105</v>
      </c>
      <c r="U731" s="865"/>
    </row>
    <row r="732" spans="1:21" ht="15">
      <c r="A732" s="672"/>
      <c r="B732" s="861" t="s">
        <v>4106</v>
      </c>
      <c r="C732" s="861" t="s">
        <v>4107</v>
      </c>
      <c r="D732" s="861" t="s">
        <v>371</v>
      </c>
      <c r="E732" s="861"/>
      <c r="F732" s="862"/>
      <c r="G732" s="869">
        <v>0.62572184799999997</v>
      </c>
      <c r="H732" s="874">
        <v>61879620.640000001</v>
      </c>
      <c r="I732" s="871"/>
      <c r="J732" s="862">
        <v>0.58799999999999997</v>
      </c>
      <c r="K732" s="868">
        <f t="shared" si="66"/>
        <v>316</v>
      </c>
      <c r="L732" s="863" t="s">
        <v>4108</v>
      </c>
      <c r="M732" s="671">
        <f t="shared" si="67"/>
        <v>730</v>
      </c>
      <c r="N732" s="671" t="str">
        <f t="shared" si="68"/>
        <v>N/A</v>
      </c>
      <c r="O732" s="671">
        <f t="shared" si="69"/>
        <v>13</v>
      </c>
      <c r="P732" s="861" t="s">
        <v>1640</v>
      </c>
      <c r="Q732" s="861" t="s">
        <v>4109</v>
      </c>
      <c r="R732" s="863" t="s">
        <v>3670</v>
      </c>
      <c r="S732" s="861" t="s">
        <v>3159</v>
      </c>
      <c r="T732" s="866" t="s">
        <v>4110</v>
      </c>
      <c r="U732" s="865"/>
    </row>
    <row r="733" spans="1:21" ht="15">
      <c r="A733" s="857"/>
      <c r="B733" s="861" t="s">
        <v>4111</v>
      </c>
      <c r="C733" s="861" t="s">
        <v>4112</v>
      </c>
      <c r="D733" s="861" t="s">
        <v>371</v>
      </c>
      <c r="E733" s="861"/>
      <c r="F733" s="862">
        <v>0.17199999999999999</v>
      </c>
      <c r="G733" s="869">
        <v>1.3289954340000001</v>
      </c>
      <c r="H733" s="874">
        <v>61876129.32</v>
      </c>
      <c r="I733" s="871"/>
      <c r="J733" s="863" t="s">
        <v>2628</v>
      </c>
      <c r="K733" s="868">
        <f t="shared" si="66"/>
        <v>116</v>
      </c>
      <c r="L733" s="861" t="s">
        <v>2062</v>
      </c>
      <c r="M733" s="671">
        <f t="shared" si="67"/>
        <v>731</v>
      </c>
      <c r="N733" s="671" t="str">
        <f t="shared" si="68"/>
        <v>N/A</v>
      </c>
      <c r="O733" s="671" t="str">
        <f t="shared" si="69"/>
        <v>N/A</v>
      </c>
      <c r="P733" s="861" t="s">
        <v>4113</v>
      </c>
      <c r="Q733" s="861"/>
      <c r="R733" s="861" t="s">
        <v>1252</v>
      </c>
      <c r="S733" s="861" t="s">
        <v>4114</v>
      </c>
      <c r="T733" s="866" t="s">
        <v>4115</v>
      </c>
      <c r="U733" s="865"/>
    </row>
    <row r="734" spans="1:21" ht="15">
      <c r="A734" s="672"/>
      <c r="B734" s="861" t="s">
        <v>4116</v>
      </c>
      <c r="C734" s="861" t="s">
        <v>4117</v>
      </c>
      <c r="D734" s="861" t="s">
        <v>371</v>
      </c>
      <c r="E734" s="861"/>
      <c r="F734" s="862"/>
      <c r="G734" s="870" t="s">
        <v>4118</v>
      </c>
      <c r="H734" s="874">
        <v>61712543.850000001</v>
      </c>
      <c r="I734" s="871">
        <v>12.6</v>
      </c>
      <c r="J734" s="862">
        <v>5.5E-2</v>
      </c>
      <c r="K734" s="868">
        <f t="shared" si="66"/>
        <v>316</v>
      </c>
      <c r="L734" s="861"/>
      <c r="M734" s="671">
        <f t="shared" si="67"/>
        <v>732</v>
      </c>
      <c r="N734" s="671">
        <f t="shared" si="68"/>
        <v>210</v>
      </c>
      <c r="O734" s="671">
        <f t="shared" si="69"/>
        <v>592</v>
      </c>
      <c r="P734" s="861"/>
      <c r="Q734" s="861"/>
      <c r="R734" s="861"/>
      <c r="S734" s="861" t="s">
        <v>424</v>
      </c>
      <c r="T734" s="866" t="s">
        <v>4119</v>
      </c>
      <c r="U734" s="865"/>
    </row>
    <row r="735" spans="1:21" ht="15">
      <c r="A735" s="857"/>
      <c r="B735" s="861" t="s">
        <v>4120</v>
      </c>
      <c r="C735" s="861" t="s">
        <v>4121</v>
      </c>
      <c r="D735" s="861" t="s">
        <v>371</v>
      </c>
      <c r="E735" s="861"/>
      <c r="F735" s="862">
        <v>2.9000000000000001E-2</v>
      </c>
      <c r="G735" s="869">
        <v>24.224482380000001</v>
      </c>
      <c r="H735" s="874">
        <v>61689031.289999999</v>
      </c>
      <c r="I735" s="871"/>
      <c r="J735" s="862">
        <v>0.153</v>
      </c>
      <c r="K735" s="868">
        <f t="shared" si="66"/>
        <v>284</v>
      </c>
      <c r="L735" s="861"/>
      <c r="M735" s="671">
        <f t="shared" si="67"/>
        <v>733</v>
      </c>
      <c r="N735" s="671" t="str">
        <f t="shared" si="68"/>
        <v>N/A</v>
      </c>
      <c r="O735" s="671">
        <f t="shared" si="69"/>
        <v>330</v>
      </c>
      <c r="P735" s="861" t="s">
        <v>4122</v>
      </c>
      <c r="Q735" s="861"/>
      <c r="R735" s="861"/>
      <c r="S735" s="861" t="s">
        <v>4123</v>
      </c>
      <c r="T735" s="866" t="s">
        <v>4124</v>
      </c>
      <c r="U735" s="865"/>
    </row>
    <row r="736" spans="1:21" ht="15">
      <c r="A736" s="672"/>
      <c r="B736" s="861" t="s">
        <v>4125</v>
      </c>
      <c r="C736" s="861" t="s">
        <v>4126</v>
      </c>
      <c r="D736" s="861" t="s">
        <v>371</v>
      </c>
      <c r="E736" s="861"/>
      <c r="F736" s="862"/>
      <c r="G736" s="869">
        <v>0.20777881000000001</v>
      </c>
      <c r="H736" s="874">
        <v>61520519.990000002</v>
      </c>
      <c r="I736" s="871">
        <v>37.51</v>
      </c>
      <c r="J736" s="862">
        <v>0.158</v>
      </c>
      <c r="K736" s="868">
        <f t="shared" si="66"/>
        <v>316</v>
      </c>
      <c r="L736" s="861"/>
      <c r="M736" s="671">
        <f t="shared" si="67"/>
        <v>734</v>
      </c>
      <c r="N736" s="671">
        <f t="shared" si="68"/>
        <v>116</v>
      </c>
      <c r="O736" s="671">
        <f t="shared" si="69"/>
        <v>321</v>
      </c>
      <c r="P736" s="861" t="s">
        <v>4127</v>
      </c>
      <c r="Q736" s="861"/>
      <c r="R736" s="861"/>
      <c r="S736" s="861" t="s">
        <v>1497</v>
      </c>
      <c r="T736" s="866" t="s">
        <v>4128</v>
      </c>
      <c r="U736" s="865"/>
    </row>
    <row r="737" spans="1:21" ht="15">
      <c r="A737" s="857"/>
      <c r="B737" s="861" t="s">
        <v>4129</v>
      </c>
      <c r="C737" s="861" t="s">
        <v>4130</v>
      </c>
      <c r="D737" s="861" t="s">
        <v>371</v>
      </c>
      <c r="E737" s="861"/>
      <c r="F737" s="862">
        <v>0.29099999999999998</v>
      </c>
      <c r="G737" s="869">
        <v>0.232363185</v>
      </c>
      <c r="H737" s="874">
        <v>61311981.090000004</v>
      </c>
      <c r="I737" s="871"/>
      <c r="J737" s="863" t="s">
        <v>941</v>
      </c>
      <c r="K737" s="868">
        <f t="shared" si="66"/>
        <v>54</v>
      </c>
      <c r="L737" s="861"/>
      <c r="M737" s="671">
        <f t="shared" si="67"/>
        <v>735</v>
      </c>
      <c r="N737" s="671" t="str">
        <f t="shared" si="68"/>
        <v>N/A</v>
      </c>
      <c r="O737" s="671" t="str">
        <f t="shared" si="69"/>
        <v>N/A</v>
      </c>
      <c r="P737" s="861"/>
      <c r="Q737" s="861"/>
      <c r="R737" s="861"/>
      <c r="S737" s="861" t="s">
        <v>404</v>
      </c>
      <c r="T737" s="866" t="s">
        <v>4131</v>
      </c>
      <c r="U737" s="865"/>
    </row>
    <row r="738" spans="1:21" ht="15">
      <c r="A738" s="672"/>
      <c r="B738" s="861" t="s">
        <v>4132</v>
      </c>
      <c r="C738" s="861" t="s">
        <v>4133</v>
      </c>
      <c r="D738" s="861" t="s">
        <v>371</v>
      </c>
      <c r="E738" s="861"/>
      <c r="F738" s="862">
        <v>-3.9E-2</v>
      </c>
      <c r="G738" s="870" t="s">
        <v>4134</v>
      </c>
      <c r="H738" s="874">
        <v>61094107.810000002</v>
      </c>
      <c r="I738" s="871"/>
      <c r="J738" s="863"/>
      <c r="K738" s="868">
        <f t="shared" si="66"/>
        <v>340</v>
      </c>
      <c r="L738" s="861" t="s">
        <v>4135</v>
      </c>
      <c r="M738" s="671">
        <f t="shared" si="67"/>
        <v>736</v>
      </c>
      <c r="N738" s="671" t="str">
        <f t="shared" si="68"/>
        <v>N/A</v>
      </c>
      <c r="O738" s="671">
        <f t="shared" si="69"/>
        <v>708</v>
      </c>
      <c r="P738" s="861" t="s">
        <v>1089</v>
      </c>
      <c r="Q738" s="861" t="s">
        <v>4136</v>
      </c>
      <c r="R738" s="861" t="s">
        <v>4137</v>
      </c>
      <c r="S738" s="861" t="s">
        <v>4138</v>
      </c>
      <c r="T738" s="866" t="s">
        <v>4139</v>
      </c>
      <c r="U738" s="865"/>
    </row>
    <row r="739" spans="1:21" ht="15">
      <c r="A739" s="857"/>
      <c r="B739" s="861" t="s">
        <v>4140</v>
      </c>
      <c r="C739" s="861" t="s">
        <v>4141</v>
      </c>
      <c r="D739" s="861" t="s">
        <v>371</v>
      </c>
      <c r="E739" s="861"/>
      <c r="F739" s="862"/>
      <c r="G739" s="870" t="s">
        <v>4142</v>
      </c>
      <c r="H739" s="874">
        <v>60872649.950000003</v>
      </c>
      <c r="I739" s="872" t="s">
        <v>4143</v>
      </c>
      <c r="J739" s="862">
        <v>0.10299999999999999</v>
      </c>
      <c r="K739" s="868">
        <f t="shared" si="66"/>
        <v>316</v>
      </c>
      <c r="L739" s="861"/>
      <c r="M739" s="671">
        <f t="shared" si="67"/>
        <v>737</v>
      </c>
      <c r="N739" s="671" t="str">
        <f t="shared" si="68"/>
        <v>N/A</v>
      </c>
      <c r="O739" s="671">
        <f t="shared" si="69"/>
        <v>482</v>
      </c>
      <c r="P739" s="861"/>
      <c r="Q739" s="861"/>
      <c r="R739" s="861"/>
      <c r="S739" s="861" t="s">
        <v>424</v>
      </c>
      <c r="T739" s="866" t="s">
        <v>4144</v>
      </c>
      <c r="U739" s="865"/>
    </row>
    <row r="740" spans="1:21" ht="15">
      <c r="A740" s="672"/>
      <c r="B740" s="861" t="s">
        <v>4145</v>
      </c>
      <c r="C740" s="861" t="s">
        <v>4146</v>
      </c>
      <c r="D740" s="861" t="s">
        <v>371</v>
      </c>
      <c r="E740" s="861"/>
      <c r="F740" s="862"/>
      <c r="G740" s="869">
        <v>0.29939326199999999</v>
      </c>
      <c r="H740" s="874">
        <v>60686957.899999999</v>
      </c>
      <c r="I740" s="871"/>
      <c r="J740" s="863" t="s">
        <v>4147</v>
      </c>
      <c r="K740" s="868">
        <f t="shared" si="66"/>
        <v>316</v>
      </c>
      <c r="L740" s="861"/>
      <c r="M740" s="671">
        <f t="shared" si="67"/>
        <v>738</v>
      </c>
      <c r="N740" s="671" t="str">
        <f t="shared" si="68"/>
        <v>N/A</v>
      </c>
      <c r="O740" s="671" t="str">
        <f t="shared" si="69"/>
        <v>N/A</v>
      </c>
      <c r="P740" s="861" t="s">
        <v>3086</v>
      </c>
      <c r="Q740" s="861" t="s">
        <v>4148</v>
      </c>
      <c r="R740" s="861" t="s">
        <v>819</v>
      </c>
      <c r="S740" s="861" t="s">
        <v>4149</v>
      </c>
      <c r="T740" s="866" t="s">
        <v>4150</v>
      </c>
      <c r="U740" s="865"/>
    </row>
    <row r="741" spans="1:21" ht="15">
      <c r="A741" s="857"/>
      <c r="B741" s="861" t="s">
        <v>4151</v>
      </c>
      <c r="C741" s="861" t="s">
        <v>4152</v>
      </c>
      <c r="D741" s="861" t="s">
        <v>371</v>
      </c>
      <c r="E741" s="861"/>
      <c r="F741" s="862"/>
      <c r="G741" s="870" t="s">
        <v>4153</v>
      </c>
      <c r="H741" s="874">
        <v>60611520.090000004</v>
      </c>
      <c r="I741" s="871"/>
      <c r="J741" s="863"/>
      <c r="K741" s="868">
        <f t="shared" si="66"/>
        <v>316</v>
      </c>
      <c r="L741" s="861"/>
      <c r="M741" s="671">
        <f t="shared" si="67"/>
        <v>739</v>
      </c>
      <c r="N741" s="671" t="str">
        <f t="shared" si="68"/>
        <v>N/A</v>
      </c>
      <c r="O741" s="671">
        <f t="shared" si="69"/>
        <v>708</v>
      </c>
      <c r="P741" s="861"/>
      <c r="Q741" s="861"/>
      <c r="R741" s="861"/>
      <c r="S741" s="861" t="s">
        <v>734</v>
      </c>
      <c r="T741" s="866" t="s">
        <v>4154</v>
      </c>
      <c r="U741" s="865"/>
    </row>
    <row r="742" spans="1:21" ht="15">
      <c r="A742" s="672"/>
      <c r="B742" s="861" t="s">
        <v>4155</v>
      </c>
      <c r="C742" s="861" t="s">
        <v>4156</v>
      </c>
      <c r="D742" s="861" t="s">
        <v>371</v>
      </c>
      <c r="E742" s="861"/>
      <c r="F742" s="862">
        <v>-0.09</v>
      </c>
      <c r="G742" s="870" t="s">
        <v>4157</v>
      </c>
      <c r="H742" s="874">
        <v>60373842.18</v>
      </c>
      <c r="I742" s="871"/>
      <c r="J742" s="863" t="s">
        <v>4158</v>
      </c>
      <c r="K742" s="868">
        <f t="shared" si="66"/>
        <v>375</v>
      </c>
      <c r="L742" s="861"/>
      <c r="M742" s="671">
        <f t="shared" si="67"/>
        <v>740</v>
      </c>
      <c r="N742" s="671" t="str">
        <f t="shared" si="68"/>
        <v>N/A</v>
      </c>
      <c r="O742" s="671" t="str">
        <f t="shared" si="69"/>
        <v>N/A</v>
      </c>
      <c r="P742" s="863" t="s">
        <v>3670</v>
      </c>
      <c r="Q742" s="861"/>
      <c r="R742" s="861"/>
      <c r="S742" s="861" t="s">
        <v>734</v>
      </c>
      <c r="T742" s="866" t="s">
        <v>4159</v>
      </c>
      <c r="U742" s="865"/>
    </row>
    <row r="743" spans="1:21" ht="15">
      <c r="A743" s="857"/>
      <c r="B743" s="861" t="s">
        <v>4160</v>
      </c>
      <c r="C743" s="861" t="s">
        <v>4161</v>
      </c>
      <c r="D743" s="861" t="s">
        <v>371</v>
      </c>
      <c r="E743" s="861"/>
      <c r="F743" s="862"/>
      <c r="G743" s="870" t="s">
        <v>4162</v>
      </c>
      <c r="H743" s="874">
        <v>59724842.130000003</v>
      </c>
      <c r="I743" s="871">
        <v>146.44999999999999</v>
      </c>
      <c r="J743" s="861" t="s">
        <v>3441</v>
      </c>
      <c r="K743" s="868">
        <f t="shared" si="66"/>
        <v>316</v>
      </c>
      <c r="L743" s="863" t="s">
        <v>4163</v>
      </c>
      <c r="M743" s="671">
        <f t="shared" si="67"/>
        <v>741</v>
      </c>
      <c r="N743" s="671">
        <f t="shared" si="68"/>
        <v>15</v>
      </c>
      <c r="O743" s="671" t="str">
        <f t="shared" si="69"/>
        <v>N/A</v>
      </c>
      <c r="P743" s="861" t="s">
        <v>1127</v>
      </c>
      <c r="Q743" s="861" t="s">
        <v>2762</v>
      </c>
      <c r="R743" s="863" t="s">
        <v>4164</v>
      </c>
      <c r="S743" s="861" t="s">
        <v>784</v>
      </c>
      <c r="T743" s="866" t="s">
        <v>4165</v>
      </c>
      <c r="U743" s="865"/>
    </row>
    <row r="744" spans="1:21" ht="15">
      <c r="A744" s="672"/>
      <c r="B744" s="861" t="s">
        <v>4166</v>
      </c>
      <c r="C744" s="861" t="s">
        <v>4167</v>
      </c>
      <c r="D744" s="861" t="s">
        <v>371</v>
      </c>
      <c r="E744" s="861"/>
      <c r="F744" s="862"/>
      <c r="G744" s="870" t="s">
        <v>4168</v>
      </c>
      <c r="H744" s="874">
        <v>59643088.219999999</v>
      </c>
      <c r="I744" s="871"/>
      <c r="J744" s="863" t="s">
        <v>1176</v>
      </c>
      <c r="K744" s="868">
        <f t="shared" si="66"/>
        <v>316</v>
      </c>
      <c r="L744" s="861"/>
      <c r="M744" s="671">
        <f t="shared" si="67"/>
        <v>742</v>
      </c>
      <c r="N744" s="671" t="str">
        <f t="shared" si="68"/>
        <v>N/A</v>
      </c>
      <c r="O744" s="671" t="str">
        <f t="shared" si="69"/>
        <v>N/A</v>
      </c>
      <c r="P744" s="861" t="s">
        <v>2117</v>
      </c>
      <c r="Q744" s="861" t="s">
        <v>4013</v>
      </c>
      <c r="R744" s="861"/>
      <c r="S744" s="861" t="s">
        <v>399</v>
      </c>
      <c r="T744" s="866" t="s">
        <v>4169</v>
      </c>
      <c r="U744" s="865"/>
    </row>
    <row r="745" spans="1:21" ht="15">
      <c r="A745" s="857"/>
      <c r="B745" s="861" t="s">
        <v>4170</v>
      </c>
      <c r="C745" s="861" t="s">
        <v>4171</v>
      </c>
      <c r="D745" s="861" t="s">
        <v>371</v>
      </c>
      <c r="E745" s="861"/>
      <c r="F745" s="862"/>
      <c r="G745" s="869">
        <v>0</v>
      </c>
      <c r="H745" s="874">
        <v>59627414.780000001</v>
      </c>
      <c r="I745" s="871"/>
      <c r="J745" s="862">
        <v>0.125</v>
      </c>
      <c r="K745" s="868">
        <f t="shared" si="66"/>
        <v>316</v>
      </c>
      <c r="L745" s="861"/>
      <c r="M745" s="671">
        <f t="shared" si="67"/>
        <v>743</v>
      </c>
      <c r="N745" s="671" t="str">
        <f t="shared" si="68"/>
        <v>N/A</v>
      </c>
      <c r="O745" s="671">
        <f t="shared" si="69"/>
        <v>416</v>
      </c>
      <c r="P745" s="861" t="s">
        <v>4172</v>
      </c>
      <c r="Q745" s="861" t="s">
        <v>4173</v>
      </c>
      <c r="R745" s="861" t="s">
        <v>1636</v>
      </c>
      <c r="S745" s="861" t="s">
        <v>3014</v>
      </c>
      <c r="T745" s="866" t="s">
        <v>4174</v>
      </c>
      <c r="U745" s="865"/>
    </row>
    <row r="746" spans="1:21" ht="15">
      <c r="A746" s="672"/>
      <c r="B746" s="861" t="s">
        <v>4175</v>
      </c>
      <c r="C746" s="861" t="s">
        <v>4176</v>
      </c>
      <c r="D746" s="861" t="s">
        <v>371</v>
      </c>
      <c r="E746" s="861"/>
      <c r="F746" s="862"/>
      <c r="G746" s="869">
        <v>12.18303242</v>
      </c>
      <c r="H746" s="874">
        <v>59522333.850000001</v>
      </c>
      <c r="I746" s="871">
        <v>170.02</v>
      </c>
      <c r="J746" s="862">
        <v>0.33500000000000002</v>
      </c>
      <c r="K746" s="868">
        <f t="shared" si="66"/>
        <v>316</v>
      </c>
      <c r="L746" s="861"/>
      <c r="M746" s="671">
        <f t="shared" si="67"/>
        <v>744</v>
      </c>
      <c r="N746" s="671">
        <f t="shared" si="68"/>
        <v>11</v>
      </c>
      <c r="O746" s="671">
        <f t="shared" si="69"/>
        <v>89</v>
      </c>
      <c r="P746" s="861" t="s">
        <v>3798</v>
      </c>
      <c r="Q746" s="861"/>
      <c r="R746" s="861"/>
      <c r="S746" s="861" t="s">
        <v>1061</v>
      </c>
      <c r="T746" s="866" t="s">
        <v>4177</v>
      </c>
      <c r="U746" s="865"/>
    </row>
    <row r="747" spans="1:21" ht="15">
      <c r="A747" s="857"/>
      <c r="B747" s="861" t="s">
        <v>4178</v>
      </c>
      <c r="C747" s="861" t="s">
        <v>4179</v>
      </c>
      <c r="D747" s="861" t="s">
        <v>371</v>
      </c>
      <c r="E747" s="861"/>
      <c r="F747" s="862"/>
      <c r="G747" s="869">
        <v>1.8877531999999999E-2</v>
      </c>
      <c r="H747" s="874">
        <v>59132974.920000002</v>
      </c>
      <c r="I747" s="871"/>
      <c r="J747" s="862">
        <v>0.24299999999999999</v>
      </c>
      <c r="K747" s="868">
        <f t="shared" si="66"/>
        <v>316</v>
      </c>
      <c r="L747" s="861"/>
      <c r="M747" s="671">
        <f t="shared" si="67"/>
        <v>745</v>
      </c>
      <c r="N747" s="671" t="str">
        <f t="shared" si="68"/>
        <v>N/A</v>
      </c>
      <c r="O747" s="671">
        <f t="shared" si="69"/>
        <v>192</v>
      </c>
      <c r="P747" s="861" t="s">
        <v>494</v>
      </c>
      <c r="Q747" s="861"/>
      <c r="R747" s="861"/>
      <c r="S747" s="861" t="s">
        <v>404</v>
      </c>
      <c r="T747" s="866" t="s">
        <v>4180</v>
      </c>
      <c r="U747" s="865"/>
    </row>
    <row r="748" spans="1:21" ht="15">
      <c r="A748" s="672"/>
      <c r="B748" s="861" t="s">
        <v>4181</v>
      </c>
      <c r="C748" s="861" t="s">
        <v>4182</v>
      </c>
      <c r="D748" s="861" t="s">
        <v>371</v>
      </c>
      <c r="E748" s="861"/>
      <c r="F748" s="862"/>
      <c r="G748" s="869">
        <v>1.459315497</v>
      </c>
      <c r="H748" s="874">
        <v>59057953.119999997</v>
      </c>
      <c r="I748" s="871"/>
      <c r="J748" s="863" t="s">
        <v>2663</v>
      </c>
      <c r="K748" s="868">
        <f t="shared" si="66"/>
        <v>316</v>
      </c>
      <c r="L748" s="861"/>
      <c r="M748" s="671">
        <f t="shared" si="67"/>
        <v>746</v>
      </c>
      <c r="N748" s="671" t="str">
        <f t="shared" si="68"/>
        <v>N/A</v>
      </c>
      <c r="O748" s="671" t="str">
        <f t="shared" si="69"/>
        <v>N/A</v>
      </c>
      <c r="P748" s="863" t="s">
        <v>4183</v>
      </c>
      <c r="Q748" s="863" t="s">
        <v>4184</v>
      </c>
      <c r="R748" s="861"/>
      <c r="S748" s="861" t="s">
        <v>392</v>
      </c>
      <c r="T748" s="866" t="s">
        <v>4185</v>
      </c>
      <c r="U748" s="865"/>
    </row>
    <row r="749" spans="1:21" ht="15">
      <c r="A749" s="857"/>
      <c r="B749" s="861" t="s">
        <v>4186</v>
      </c>
      <c r="C749" s="861" t="s">
        <v>4187</v>
      </c>
      <c r="D749" s="861" t="s">
        <v>371</v>
      </c>
      <c r="E749" s="861"/>
      <c r="F749" s="862"/>
      <c r="G749" s="870" t="s">
        <v>4188</v>
      </c>
      <c r="H749" s="874">
        <v>58885891.43</v>
      </c>
      <c r="I749" s="871"/>
      <c r="J749" s="862">
        <v>4.7E-2</v>
      </c>
      <c r="K749" s="868">
        <f t="shared" si="66"/>
        <v>316</v>
      </c>
      <c r="L749" s="861"/>
      <c r="M749" s="671">
        <f t="shared" si="67"/>
        <v>747</v>
      </c>
      <c r="N749" s="671" t="str">
        <f t="shared" si="68"/>
        <v>N/A</v>
      </c>
      <c r="O749" s="671">
        <f t="shared" si="69"/>
        <v>611</v>
      </c>
      <c r="P749" s="861"/>
      <c r="Q749" s="861"/>
      <c r="R749" s="861"/>
      <c r="S749" s="861" t="s">
        <v>507</v>
      </c>
      <c r="T749" s="866" t="s">
        <v>4189</v>
      </c>
      <c r="U749" s="865"/>
    </row>
    <row r="750" spans="1:21" ht="15">
      <c r="A750" s="672"/>
      <c r="B750" s="861" t="s">
        <v>4190</v>
      </c>
      <c r="C750" s="861" t="s">
        <v>4191</v>
      </c>
      <c r="D750" s="861" t="s">
        <v>371</v>
      </c>
      <c r="E750" s="861"/>
      <c r="F750" s="862"/>
      <c r="G750" s="869">
        <v>0.20247517100000001</v>
      </c>
      <c r="H750" s="874">
        <v>58587325.149999999</v>
      </c>
      <c r="I750" s="871"/>
      <c r="J750" s="862">
        <v>6.9000000000000006E-2</v>
      </c>
      <c r="K750" s="868">
        <f t="shared" si="66"/>
        <v>316</v>
      </c>
      <c r="L750" s="863" t="s">
        <v>1251</v>
      </c>
      <c r="M750" s="671">
        <f t="shared" si="67"/>
        <v>748</v>
      </c>
      <c r="N750" s="671" t="str">
        <f t="shared" si="68"/>
        <v>N/A</v>
      </c>
      <c r="O750" s="671">
        <f t="shared" si="69"/>
        <v>565</v>
      </c>
      <c r="P750" s="861" t="s">
        <v>4192</v>
      </c>
      <c r="Q750" s="861"/>
      <c r="R750" s="863" t="s">
        <v>4193</v>
      </c>
      <c r="S750" s="861" t="s">
        <v>1137</v>
      </c>
      <c r="T750" s="866" t="s">
        <v>4194</v>
      </c>
      <c r="U750" s="865"/>
    </row>
    <row r="751" spans="1:21" ht="15">
      <c r="A751" s="857"/>
      <c r="B751" s="861" t="s">
        <v>4195</v>
      </c>
      <c r="C751" s="861" t="s">
        <v>4196</v>
      </c>
      <c r="D751" s="861" t="s">
        <v>371</v>
      </c>
      <c r="E751" s="861"/>
      <c r="F751" s="862"/>
      <c r="G751" s="869">
        <v>0.56724428599999999</v>
      </c>
      <c r="H751" s="874">
        <v>58524366.560000002</v>
      </c>
      <c r="I751" s="871"/>
      <c r="J751" s="862">
        <v>4.2000000000000003E-2</v>
      </c>
      <c r="K751" s="868">
        <f t="shared" si="66"/>
        <v>316</v>
      </c>
      <c r="L751" s="861"/>
      <c r="M751" s="671">
        <f t="shared" si="67"/>
        <v>749</v>
      </c>
      <c r="N751" s="671" t="str">
        <f t="shared" si="68"/>
        <v>N/A</v>
      </c>
      <c r="O751" s="671">
        <f t="shared" si="69"/>
        <v>623</v>
      </c>
      <c r="P751" s="861" t="s">
        <v>1209</v>
      </c>
      <c r="Q751" s="861"/>
      <c r="R751" s="863" t="s">
        <v>2330</v>
      </c>
      <c r="S751" s="861" t="s">
        <v>404</v>
      </c>
      <c r="T751" s="866" t="s">
        <v>4197</v>
      </c>
      <c r="U751" s="865"/>
    </row>
    <row r="752" spans="1:21" ht="15">
      <c r="A752" s="672"/>
      <c r="B752" s="861" t="s">
        <v>4198</v>
      </c>
      <c r="C752" s="861" t="s">
        <v>4199</v>
      </c>
      <c r="D752" s="861" t="s">
        <v>371</v>
      </c>
      <c r="E752" s="861"/>
      <c r="F752" s="862">
        <v>7.0999999999999994E-2</v>
      </c>
      <c r="G752" s="870" t="s">
        <v>4200</v>
      </c>
      <c r="H752" s="874">
        <v>57986625.109999999</v>
      </c>
      <c r="I752" s="871"/>
      <c r="J752" s="863" t="s">
        <v>4201</v>
      </c>
      <c r="K752" s="868">
        <f t="shared" si="66"/>
        <v>226</v>
      </c>
      <c r="L752" s="861"/>
      <c r="M752" s="671">
        <f t="shared" si="67"/>
        <v>750</v>
      </c>
      <c r="N752" s="671" t="str">
        <f t="shared" si="68"/>
        <v>N/A</v>
      </c>
      <c r="O752" s="671" t="str">
        <f t="shared" si="69"/>
        <v>N/A</v>
      </c>
      <c r="P752" s="861" t="s">
        <v>2851</v>
      </c>
      <c r="Q752" s="861" t="s">
        <v>889</v>
      </c>
      <c r="R752" s="861"/>
      <c r="S752" s="861" t="s">
        <v>506</v>
      </c>
      <c r="T752" s="866" t="s">
        <v>4202</v>
      </c>
      <c r="U752" s="865"/>
    </row>
    <row r="753" spans="1:21" ht="15">
      <c r="A753" s="857"/>
      <c r="B753" s="861" t="s">
        <v>4203</v>
      </c>
      <c r="C753" s="861" t="s">
        <v>4204</v>
      </c>
      <c r="D753" s="861" t="s">
        <v>371</v>
      </c>
      <c r="E753" s="861"/>
      <c r="F753" s="862"/>
      <c r="G753" s="870" t="s">
        <v>4205</v>
      </c>
      <c r="H753" s="874">
        <v>57922136.990000002</v>
      </c>
      <c r="I753" s="871">
        <v>5.61</v>
      </c>
      <c r="J753" s="862">
        <v>0.15</v>
      </c>
      <c r="K753" s="868">
        <f t="shared" si="66"/>
        <v>316</v>
      </c>
      <c r="L753" s="861"/>
      <c r="M753" s="671">
        <f t="shared" si="67"/>
        <v>751</v>
      </c>
      <c r="N753" s="671">
        <f t="shared" si="68"/>
        <v>266</v>
      </c>
      <c r="O753" s="671">
        <f t="shared" si="69"/>
        <v>340</v>
      </c>
      <c r="P753" s="861" t="s">
        <v>1574</v>
      </c>
      <c r="Q753" s="861"/>
      <c r="R753" s="861"/>
      <c r="S753" s="861" t="s">
        <v>2069</v>
      </c>
      <c r="T753" s="866" t="s">
        <v>4206</v>
      </c>
      <c r="U753" s="865"/>
    </row>
    <row r="754" spans="1:21" ht="15">
      <c r="A754" s="672"/>
      <c r="B754" s="861" t="s">
        <v>4207</v>
      </c>
      <c r="C754" s="861" t="s">
        <v>4208</v>
      </c>
      <c r="D754" s="861" t="s">
        <v>371</v>
      </c>
      <c r="E754" s="861"/>
      <c r="F754" s="862"/>
      <c r="G754" s="869">
        <v>0</v>
      </c>
      <c r="H754" s="874">
        <v>57848766.25</v>
      </c>
      <c r="I754" s="871"/>
      <c r="J754" s="861"/>
      <c r="K754" s="868">
        <f t="shared" si="66"/>
        <v>316</v>
      </c>
      <c r="L754" s="861"/>
      <c r="M754" s="671">
        <f t="shared" si="67"/>
        <v>752</v>
      </c>
      <c r="N754" s="671" t="str">
        <f t="shared" si="68"/>
        <v>N/A</v>
      </c>
      <c r="O754" s="671">
        <f t="shared" si="69"/>
        <v>708</v>
      </c>
      <c r="P754" s="861" t="s">
        <v>569</v>
      </c>
      <c r="Q754" s="861" t="s">
        <v>4209</v>
      </c>
      <c r="R754" s="861"/>
      <c r="S754" s="861" t="s">
        <v>653</v>
      </c>
      <c r="T754" s="866" t="s">
        <v>4210</v>
      </c>
      <c r="U754" s="865"/>
    </row>
    <row r="755" spans="1:21" ht="15">
      <c r="A755" s="857"/>
      <c r="B755" s="861" t="s">
        <v>4211</v>
      </c>
      <c r="C755" s="861" t="s">
        <v>4212</v>
      </c>
      <c r="D755" s="861" t="s">
        <v>371</v>
      </c>
      <c r="E755" s="861"/>
      <c r="F755" s="862"/>
      <c r="G755" s="869" t="e">
        <v>#DIV/0!</v>
      </c>
      <c r="H755" s="874">
        <v>57639501.579999998</v>
      </c>
      <c r="I755" s="871"/>
      <c r="J755" s="862">
        <v>8.3000000000000004E-2</v>
      </c>
      <c r="K755" s="868">
        <f t="shared" si="66"/>
        <v>316</v>
      </c>
      <c r="L755" s="861"/>
      <c r="M755" s="671">
        <f t="shared" si="67"/>
        <v>753</v>
      </c>
      <c r="N755" s="671" t="str">
        <f t="shared" si="68"/>
        <v>N/A</v>
      </c>
      <c r="O755" s="671">
        <f t="shared" si="69"/>
        <v>537</v>
      </c>
      <c r="P755" s="861" t="s">
        <v>4213</v>
      </c>
      <c r="Q755" s="861" t="s">
        <v>4214</v>
      </c>
      <c r="R755" s="861"/>
      <c r="S755" s="861" t="s">
        <v>404</v>
      </c>
      <c r="T755" s="866" t="s">
        <v>4215</v>
      </c>
      <c r="U755" s="865"/>
    </row>
    <row r="756" spans="1:21" ht="15">
      <c r="A756" s="672"/>
      <c r="B756" s="861" t="s">
        <v>4216</v>
      </c>
      <c r="C756" s="861" t="s">
        <v>4217</v>
      </c>
      <c r="D756" s="861" t="s">
        <v>371</v>
      </c>
      <c r="E756" s="861"/>
      <c r="F756" s="862"/>
      <c r="G756" s="869">
        <v>0.80804576699999997</v>
      </c>
      <c r="H756" s="874">
        <v>57552380.049999997</v>
      </c>
      <c r="I756" s="871"/>
      <c r="J756" s="862">
        <v>3.4000000000000002E-2</v>
      </c>
      <c r="K756" s="868">
        <f t="shared" si="66"/>
        <v>316</v>
      </c>
      <c r="L756" s="861"/>
      <c r="M756" s="671">
        <f t="shared" si="67"/>
        <v>754</v>
      </c>
      <c r="N756" s="671" t="str">
        <f t="shared" si="68"/>
        <v>N/A</v>
      </c>
      <c r="O756" s="671">
        <f t="shared" si="69"/>
        <v>645</v>
      </c>
      <c r="P756" s="861" t="s">
        <v>2111</v>
      </c>
      <c r="Q756" s="861" t="s">
        <v>4218</v>
      </c>
      <c r="R756" s="861"/>
      <c r="S756" s="861" t="s">
        <v>2080</v>
      </c>
      <c r="T756" s="866" t="s">
        <v>4219</v>
      </c>
      <c r="U756" s="865"/>
    </row>
    <row r="757" spans="1:21" ht="15">
      <c r="A757" s="857"/>
      <c r="B757" s="861" t="s">
        <v>4220</v>
      </c>
      <c r="C757" s="861" t="s">
        <v>4221</v>
      </c>
      <c r="D757" s="861" t="s">
        <v>371</v>
      </c>
      <c r="E757" s="861"/>
      <c r="F757" s="862"/>
      <c r="G757" s="869">
        <v>1.663131768</v>
      </c>
      <c r="H757" s="874">
        <v>57338048.57</v>
      </c>
      <c r="I757" s="871"/>
      <c r="J757" s="862">
        <v>0.13500000000000001</v>
      </c>
      <c r="K757" s="868">
        <f t="shared" si="66"/>
        <v>316</v>
      </c>
      <c r="L757" s="861"/>
      <c r="M757" s="671">
        <f t="shared" si="67"/>
        <v>755</v>
      </c>
      <c r="N757" s="671" t="str">
        <f t="shared" si="68"/>
        <v>N/A</v>
      </c>
      <c r="O757" s="671">
        <f t="shared" si="69"/>
        <v>384</v>
      </c>
      <c r="P757" s="861" t="s">
        <v>4222</v>
      </c>
      <c r="Q757" s="861"/>
      <c r="R757" s="861"/>
      <c r="S757" s="861" t="s">
        <v>1407</v>
      </c>
      <c r="T757" s="866" t="s">
        <v>4223</v>
      </c>
      <c r="U757" s="865"/>
    </row>
    <row r="758" spans="1:21" ht="15">
      <c r="A758" s="672"/>
      <c r="B758" s="861" t="s">
        <v>4224</v>
      </c>
      <c r="C758" s="861" t="s">
        <v>4225</v>
      </c>
      <c r="D758" s="861" t="s">
        <v>371</v>
      </c>
      <c r="E758" s="861"/>
      <c r="F758" s="862"/>
      <c r="G758" s="869">
        <v>1.9503572769999999</v>
      </c>
      <c r="H758" s="874">
        <v>57276596.439999998</v>
      </c>
      <c r="I758" s="871"/>
      <c r="J758" s="862">
        <v>0.14899999999999999</v>
      </c>
      <c r="K758" s="868">
        <f t="shared" si="66"/>
        <v>316</v>
      </c>
      <c r="L758" s="861"/>
      <c r="M758" s="671">
        <f t="shared" si="67"/>
        <v>756</v>
      </c>
      <c r="N758" s="671" t="str">
        <f t="shared" si="68"/>
        <v>N/A</v>
      </c>
      <c r="O758" s="671">
        <f t="shared" si="69"/>
        <v>345</v>
      </c>
      <c r="P758" s="861" t="s">
        <v>4226</v>
      </c>
      <c r="Q758" s="861"/>
      <c r="R758" s="861"/>
      <c r="S758" s="861" t="s">
        <v>485</v>
      </c>
      <c r="T758" s="866" t="s">
        <v>4227</v>
      </c>
      <c r="U758" s="865"/>
    </row>
    <row r="759" spans="1:21" ht="15">
      <c r="A759" s="857"/>
      <c r="B759" s="861" t="s">
        <v>4228</v>
      </c>
      <c r="C759" s="861" t="s">
        <v>4229</v>
      </c>
      <c r="D759" s="861" t="s">
        <v>371</v>
      </c>
      <c r="E759" s="861"/>
      <c r="F759" s="862"/>
      <c r="G759" s="869">
        <v>0.221937303</v>
      </c>
      <c r="H759" s="874">
        <v>57162863.039999999</v>
      </c>
      <c r="I759" s="871"/>
      <c r="J759" s="862">
        <v>0.13700000000000001</v>
      </c>
      <c r="K759" s="868">
        <f t="shared" si="66"/>
        <v>316</v>
      </c>
      <c r="L759" s="861"/>
      <c r="M759" s="671">
        <f t="shared" si="67"/>
        <v>757</v>
      </c>
      <c r="N759" s="671" t="str">
        <f t="shared" si="68"/>
        <v>N/A</v>
      </c>
      <c r="O759" s="671">
        <f t="shared" si="69"/>
        <v>376</v>
      </c>
      <c r="P759" s="861" t="s">
        <v>1098</v>
      </c>
      <c r="Q759" s="861" t="s">
        <v>4230</v>
      </c>
      <c r="R759" s="861"/>
      <c r="S759" s="861" t="s">
        <v>4231</v>
      </c>
      <c r="T759" s="866" t="s">
        <v>4232</v>
      </c>
      <c r="U759" s="865"/>
    </row>
    <row r="760" spans="1:21" ht="15">
      <c r="A760" s="672"/>
      <c r="B760" s="861" t="s">
        <v>4233</v>
      </c>
      <c r="C760" s="861" t="s">
        <v>4234</v>
      </c>
      <c r="D760" s="861" t="s">
        <v>371</v>
      </c>
      <c r="E760" s="861"/>
      <c r="F760" s="862"/>
      <c r="G760" s="869">
        <v>0.80290061800000001</v>
      </c>
      <c r="H760" s="874">
        <v>56882985.829999998</v>
      </c>
      <c r="I760" s="871"/>
      <c r="J760" s="862">
        <v>7.0000000000000001E-3</v>
      </c>
      <c r="K760" s="868">
        <f t="shared" si="66"/>
        <v>316</v>
      </c>
      <c r="L760" s="863" t="s">
        <v>4235</v>
      </c>
      <c r="M760" s="671">
        <f t="shared" si="67"/>
        <v>758</v>
      </c>
      <c r="N760" s="671" t="str">
        <f t="shared" si="68"/>
        <v>N/A</v>
      </c>
      <c r="O760" s="671">
        <f t="shared" si="69"/>
        <v>689</v>
      </c>
      <c r="P760" s="861" t="s">
        <v>2920</v>
      </c>
      <c r="Q760" s="861" t="s">
        <v>4236</v>
      </c>
      <c r="R760" s="863" t="s">
        <v>3934</v>
      </c>
      <c r="S760" s="861" t="s">
        <v>4237</v>
      </c>
      <c r="T760" s="866" t="s">
        <v>4238</v>
      </c>
      <c r="U760" s="865"/>
    </row>
    <row r="761" spans="1:21" ht="15">
      <c r="A761" s="857"/>
      <c r="B761" s="861" t="s">
        <v>4239</v>
      </c>
      <c r="C761" s="861" t="s">
        <v>4240</v>
      </c>
      <c r="D761" s="861" t="s">
        <v>371</v>
      </c>
      <c r="E761" s="861"/>
      <c r="F761" s="862">
        <v>6.9000000000000006E-2</v>
      </c>
      <c r="G761" s="869">
        <v>15.30326945</v>
      </c>
      <c r="H761" s="874">
        <v>56771005.210000001</v>
      </c>
      <c r="I761" s="871"/>
      <c r="J761" s="863" t="s">
        <v>3018</v>
      </c>
      <c r="K761" s="868">
        <f t="shared" si="66"/>
        <v>232</v>
      </c>
      <c r="L761" s="863" t="s">
        <v>4241</v>
      </c>
      <c r="M761" s="671">
        <f t="shared" si="67"/>
        <v>759</v>
      </c>
      <c r="N761" s="671" t="str">
        <f t="shared" si="68"/>
        <v>N/A</v>
      </c>
      <c r="O761" s="671" t="str">
        <f t="shared" si="69"/>
        <v>N/A</v>
      </c>
      <c r="P761" s="861" t="s">
        <v>4192</v>
      </c>
      <c r="Q761" s="861" t="s">
        <v>4242</v>
      </c>
      <c r="R761" s="861"/>
      <c r="S761" s="861" t="s">
        <v>4243</v>
      </c>
      <c r="T761" s="866" t="s">
        <v>4244</v>
      </c>
      <c r="U761" s="865"/>
    </row>
    <row r="762" spans="1:21" ht="15">
      <c r="A762" s="672"/>
      <c r="B762" s="861" t="s">
        <v>4245</v>
      </c>
      <c r="C762" s="861" t="s">
        <v>4246</v>
      </c>
      <c r="D762" s="861" t="s">
        <v>371</v>
      </c>
      <c r="E762" s="861"/>
      <c r="F762" s="862"/>
      <c r="G762" s="869">
        <v>0.230985523</v>
      </c>
      <c r="H762" s="874">
        <v>56489433.420000002</v>
      </c>
      <c r="I762" s="871"/>
      <c r="J762" s="863" t="s">
        <v>4247</v>
      </c>
      <c r="K762" s="868">
        <f t="shared" si="66"/>
        <v>316</v>
      </c>
      <c r="L762" s="861" t="s">
        <v>4248</v>
      </c>
      <c r="M762" s="671">
        <f t="shared" si="67"/>
        <v>760</v>
      </c>
      <c r="N762" s="671" t="str">
        <f t="shared" si="68"/>
        <v>N/A</v>
      </c>
      <c r="O762" s="671" t="str">
        <f t="shared" si="69"/>
        <v>N/A</v>
      </c>
      <c r="P762" s="861" t="s">
        <v>4249</v>
      </c>
      <c r="Q762" s="861" t="s">
        <v>4250</v>
      </c>
      <c r="R762" s="861" t="s">
        <v>846</v>
      </c>
      <c r="S762" s="861" t="s">
        <v>4251</v>
      </c>
      <c r="T762" s="866" t="s">
        <v>4252</v>
      </c>
      <c r="U762" s="865"/>
    </row>
    <row r="763" spans="1:21" ht="15">
      <c r="A763" s="857"/>
      <c r="B763" s="861" t="s">
        <v>4253</v>
      </c>
      <c r="C763" s="861" t="s">
        <v>4254</v>
      </c>
      <c r="D763" s="861" t="s">
        <v>371</v>
      </c>
      <c r="E763" s="861"/>
      <c r="F763" s="862"/>
      <c r="G763" s="869">
        <v>0</v>
      </c>
      <c r="H763" s="874">
        <v>56395758.939999998</v>
      </c>
      <c r="I763" s="871"/>
      <c r="J763" s="862">
        <v>4.2999999999999997E-2</v>
      </c>
      <c r="K763" s="868">
        <f t="shared" si="66"/>
        <v>316</v>
      </c>
      <c r="L763" s="861" t="s">
        <v>3047</v>
      </c>
      <c r="M763" s="671">
        <f t="shared" si="67"/>
        <v>761</v>
      </c>
      <c r="N763" s="671" t="str">
        <f t="shared" si="68"/>
        <v>N/A</v>
      </c>
      <c r="O763" s="671">
        <f t="shared" si="69"/>
        <v>617</v>
      </c>
      <c r="P763" s="861" t="s">
        <v>4255</v>
      </c>
      <c r="Q763" s="861" t="s">
        <v>4256</v>
      </c>
      <c r="R763" s="861" t="s">
        <v>1230</v>
      </c>
      <c r="S763" s="861" t="s">
        <v>4257</v>
      </c>
      <c r="T763" s="866" t="s">
        <v>4258</v>
      </c>
      <c r="U763" s="865"/>
    </row>
    <row r="764" spans="1:21" ht="15">
      <c r="A764" s="672"/>
      <c r="B764" s="861" t="s">
        <v>4259</v>
      </c>
      <c r="C764" s="861" t="s">
        <v>4260</v>
      </c>
      <c r="D764" s="861" t="s">
        <v>371</v>
      </c>
      <c r="E764" s="861"/>
      <c r="F764" s="862"/>
      <c r="G764" s="870" t="s">
        <v>4261</v>
      </c>
      <c r="H764" s="874">
        <v>55729768.619999997</v>
      </c>
      <c r="I764" s="872" t="s">
        <v>1957</v>
      </c>
      <c r="J764" s="863"/>
      <c r="K764" s="868">
        <f t="shared" si="66"/>
        <v>316</v>
      </c>
      <c r="L764" s="861"/>
      <c r="M764" s="671">
        <f t="shared" si="67"/>
        <v>762</v>
      </c>
      <c r="N764" s="671" t="str">
        <f t="shared" si="68"/>
        <v>N/A</v>
      </c>
      <c r="O764" s="671">
        <f t="shared" si="69"/>
        <v>708</v>
      </c>
      <c r="P764" s="861" t="s">
        <v>4262</v>
      </c>
      <c r="Q764" s="861"/>
      <c r="R764" s="861"/>
      <c r="S764" s="861" t="s">
        <v>4263</v>
      </c>
      <c r="T764" s="866" t="s">
        <v>4264</v>
      </c>
      <c r="U764" s="865"/>
    </row>
    <row r="765" spans="1:21" ht="15">
      <c r="A765" s="857"/>
      <c r="B765" s="861" t="s">
        <v>4265</v>
      </c>
      <c r="C765" s="861" t="s">
        <v>4266</v>
      </c>
      <c r="D765" s="861" t="s">
        <v>371</v>
      </c>
      <c r="E765" s="861"/>
      <c r="F765" s="862"/>
      <c r="G765" s="870" t="s">
        <v>4267</v>
      </c>
      <c r="H765" s="874">
        <v>55237817.520000003</v>
      </c>
      <c r="I765" s="871"/>
      <c r="J765" s="863"/>
      <c r="K765" s="868">
        <f t="shared" si="66"/>
        <v>316</v>
      </c>
      <c r="L765" s="863" t="s">
        <v>1768</v>
      </c>
      <c r="M765" s="671">
        <f t="shared" si="67"/>
        <v>763</v>
      </c>
      <c r="N765" s="671" t="str">
        <f t="shared" si="68"/>
        <v>N/A</v>
      </c>
      <c r="O765" s="671">
        <f t="shared" si="69"/>
        <v>708</v>
      </c>
      <c r="P765" s="861" t="s">
        <v>4268</v>
      </c>
      <c r="Q765" s="861" t="s">
        <v>4269</v>
      </c>
      <c r="R765" s="863" t="s">
        <v>4270</v>
      </c>
      <c r="S765" s="861" t="s">
        <v>781</v>
      </c>
      <c r="T765" s="866" t="s">
        <v>4271</v>
      </c>
      <c r="U765" s="865"/>
    </row>
    <row r="766" spans="1:21" ht="15">
      <c r="A766" s="672"/>
      <c r="B766" s="861" t="s">
        <v>4272</v>
      </c>
      <c r="C766" s="861" t="s">
        <v>4273</v>
      </c>
      <c r="D766" s="861" t="s">
        <v>371</v>
      </c>
      <c r="E766" s="861"/>
      <c r="F766" s="862"/>
      <c r="G766" s="870" t="s">
        <v>4274</v>
      </c>
      <c r="H766" s="874">
        <v>55091823.369999997</v>
      </c>
      <c r="I766" s="871">
        <v>28.34</v>
      </c>
      <c r="J766" s="863" t="s">
        <v>4275</v>
      </c>
      <c r="K766" s="868">
        <f t="shared" si="66"/>
        <v>316</v>
      </c>
      <c r="L766" s="861" t="s">
        <v>4276</v>
      </c>
      <c r="M766" s="671">
        <f t="shared" si="67"/>
        <v>764</v>
      </c>
      <c r="N766" s="671">
        <f t="shared" si="68"/>
        <v>150</v>
      </c>
      <c r="O766" s="671" t="str">
        <f t="shared" si="69"/>
        <v>N/A</v>
      </c>
      <c r="P766" s="861" t="s">
        <v>716</v>
      </c>
      <c r="Q766" s="861" t="s">
        <v>4277</v>
      </c>
      <c r="R766" s="861" t="s">
        <v>2515</v>
      </c>
      <c r="S766" s="861" t="s">
        <v>4278</v>
      </c>
      <c r="T766" s="866" t="s">
        <v>4279</v>
      </c>
      <c r="U766" s="865"/>
    </row>
    <row r="767" spans="1:21" ht="15">
      <c r="A767" s="857"/>
      <c r="B767" s="861" t="s">
        <v>4280</v>
      </c>
      <c r="C767" s="861" t="s">
        <v>4281</v>
      </c>
      <c r="D767" s="861" t="s">
        <v>371</v>
      </c>
      <c r="E767" s="861"/>
      <c r="F767" s="862"/>
      <c r="G767" s="869">
        <v>25.078033489999999</v>
      </c>
      <c r="H767" s="874">
        <v>54962541.119999997</v>
      </c>
      <c r="I767" s="871"/>
      <c r="J767" s="863" t="s">
        <v>4282</v>
      </c>
      <c r="K767" s="868">
        <f t="shared" si="66"/>
        <v>316</v>
      </c>
      <c r="L767" s="861"/>
      <c r="M767" s="671">
        <f t="shared" si="67"/>
        <v>765</v>
      </c>
      <c r="N767" s="671" t="str">
        <f t="shared" si="68"/>
        <v>N/A</v>
      </c>
      <c r="O767" s="671" t="str">
        <f t="shared" si="69"/>
        <v>N/A</v>
      </c>
      <c r="P767" s="861"/>
      <c r="Q767" s="861"/>
      <c r="R767" s="861"/>
      <c r="S767" s="861" t="s">
        <v>4283</v>
      </c>
      <c r="T767" s="866" t="s">
        <v>4284</v>
      </c>
      <c r="U767" s="865"/>
    </row>
    <row r="768" spans="1:21" ht="15">
      <c r="A768" s="672"/>
      <c r="B768" s="861" t="s">
        <v>4285</v>
      </c>
      <c r="C768" s="861" t="s">
        <v>4286</v>
      </c>
      <c r="D768" s="861" t="s">
        <v>371</v>
      </c>
      <c r="E768" s="861"/>
      <c r="F768" s="862"/>
      <c r="G768" s="870" t="s">
        <v>4287</v>
      </c>
      <c r="H768" s="874">
        <v>54576305.509999998</v>
      </c>
      <c r="I768" s="871"/>
      <c r="J768" s="862">
        <v>1.7999999999999999E-2</v>
      </c>
      <c r="K768" s="868">
        <f t="shared" si="66"/>
        <v>316</v>
      </c>
      <c r="L768" s="861" t="s">
        <v>1921</v>
      </c>
      <c r="M768" s="671">
        <f t="shared" si="67"/>
        <v>766</v>
      </c>
      <c r="N768" s="671" t="str">
        <f t="shared" si="68"/>
        <v>N/A</v>
      </c>
      <c r="O768" s="671">
        <f t="shared" si="69"/>
        <v>670</v>
      </c>
      <c r="P768" s="861" t="s">
        <v>4288</v>
      </c>
      <c r="Q768" s="861" t="s">
        <v>4289</v>
      </c>
      <c r="R768" s="861" t="s">
        <v>3657</v>
      </c>
      <c r="S768" s="861" t="s">
        <v>4290</v>
      </c>
      <c r="T768" s="866" t="s">
        <v>4291</v>
      </c>
      <c r="U768" s="865"/>
    </row>
    <row r="769" spans="1:21" ht="15">
      <c r="A769" s="857"/>
      <c r="B769" s="861" t="s">
        <v>4292</v>
      </c>
      <c r="C769" s="861" t="s">
        <v>4293</v>
      </c>
      <c r="D769" s="861" t="s">
        <v>371</v>
      </c>
      <c r="E769" s="861"/>
      <c r="F769" s="862">
        <v>-2.1000000000000001E-2</v>
      </c>
      <c r="G769" s="870" t="s">
        <v>4294</v>
      </c>
      <c r="H769" s="874">
        <v>54003883.420000002</v>
      </c>
      <c r="I769" s="871"/>
      <c r="J769" s="863" t="s">
        <v>4295</v>
      </c>
      <c r="K769" s="868">
        <f t="shared" si="66"/>
        <v>328</v>
      </c>
      <c r="L769" s="861" t="s">
        <v>4296</v>
      </c>
      <c r="M769" s="671">
        <f t="shared" si="67"/>
        <v>767</v>
      </c>
      <c r="N769" s="671" t="str">
        <f t="shared" si="68"/>
        <v>N/A</v>
      </c>
      <c r="O769" s="671" t="str">
        <f t="shared" si="69"/>
        <v>N/A</v>
      </c>
      <c r="P769" s="861" t="s">
        <v>4297</v>
      </c>
      <c r="Q769" s="861"/>
      <c r="R769" s="861" t="s">
        <v>4298</v>
      </c>
      <c r="S769" s="861" t="s">
        <v>4299</v>
      </c>
      <c r="T769" s="866" t="s">
        <v>4300</v>
      </c>
      <c r="U769" s="865"/>
    </row>
    <row r="770" spans="1:21" ht="15">
      <c r="A770" s="672"/>
      <c r="B770" s="861" t="s">
        <v>4301</v>
      </c>
      <c r="C770" s="861" t="s">
        <v>4302</v>
      </c>
      <c r="D770" s="861" t="s">
        <v>371</v>
      </c>
      <c r="E770" s="861"/>
      <c r="F770" s="862"/>
      <c r="G770" s="870" t="s">
        <v>4303</v>
      </c>
      <c r="H770" s="874">
        <v>53984427.460000001</v>
      </c>
      <c r="I770" s="871"/>
      <c r="J770" s="862">
        <v>0.13400000000000001</v>
      </c>
      <c r="K770" s="868">
        <f t="shared" si="66"/>
        <v>316</v>
      </c>
      <c r="L770" s="861" t="s">
        <v>392</v>
      </c>
      <c r="M770" s="671">
        <f t="shared" si="67"/>
        <v>768</v>
      </c>
      <c r="N770" s="671" t="str">
        <f t="shared" si="68"/>
        <v>N/A</v>
      </c>
      <c r="O770" s="671">
        <f t="shared" si="69"/>
        <v>387</v>
      </c>
      <c r="P770" s="861" t="s">
        <v>4304</v>
      </c>
      <c r="Q770" s="861" t="s">
        <v>4305</v>
      </c>
      <c r="R770" s="861"/>
      <c r="S770" s="861" t="s">
        <v>4306</v>
      </c>
      <c r="T770" s="866" t="s">
        <v>4307</v>
      </c>
      <c r="U770" s="865"/>
    </row>
    <row r="771" spans="1:21" ht="15">
      <c r="A771" s="857"/>
      <c r="B771" s="861" t="s">
        <v>4308</v>
      </c>
      <c r="C771" s="861" t="s">
        <v>4309</v>
      </c>
      <c r="D771" s="861" t="s">
        <v>371</v>
      </c>
      <c r="E771" s="861"/>
      <c r="F771" s="862"/>
      <c r="G771" s="869">
        <v>0.22722288400000001</v>
      </c>
      <c r="H771" s="874">
        <v>52832351.939999998</v>
      </c>
      <c r="I771" s="871"/>
      <c r="J771" s="862">
        <v>0.32200000000000001</v>
      </c>
      <c r="K771" s="868">
        <f t="shared" si="66"/>
        <v>316</v>
      </c>
      <c r="L771" s="861" t="s">
        <v>4310</v>
      </c>
      <c r="M771" s="671">
        <f t="shared" si="67"/>
        <v>769</v>
      </c>
      <c r="N771" s="671" t="str">
        <f t="shared" si="68"/>
        <v>N/A</v>
      </c>
      <c r="O771" s="671">
        <f t="shared" si="69"/>
        <v>100</v>
      </c>
      <c r="P771" s="861" t="s">
        <v>4311</v>
      </c>
      <c r="Q771" s="861" t="s">
        <v>4312</v>
      </c>
      <c r="R771" s="861" t="s">
        <v>2436</v>
      </c>
      <c r="S771" s="861" t="s">
        <v>4313</v>
      </c>
      <c r="T771" s="866" t="s">
        <v>4314</v>
      </c>
      <c r="U771" s="865"/>
    </row>
    <row r="772" spans="1:21" ht="15">
      <c r="A772" s="672"/>
      <c r="B772" s="861" t="s">
        <v>4315</v>
      </c>
      <c r="C772" s="861" t="s">
        <v>4316</v>
      </c>
      <c r="D772" s="861" t="s">
        <v>371</v>
      </c>
      <c r="E772" s="861"/>
      <c r="F772" s="862"/>
      <c r="G772" s="869">
        <v>2.3852732259999998</v>
      </c>
      <c r="H772" s="874">
        <v>52725987.859999999</v>
      </c>
      <c r="I772" s="871"/>
      <c r="J772" s="862">
        <v>0.71699999999999997</v>
      </c>
      <c r="K772" s="868">
        <f t="shared" ref="K772:K835" si="70">IFERROR(_xlfn.RANK.EQ(F772,F$3:F$1770),"N/A")</f>
        <v>316</v>
      </c>
      <c r="L772" s="861" t="s">
        <v>1848</v>
      </c>
      <c r="M772" s="671">
        <f t="shared" ref="M772:M835" si="71">IFERROR(_xlfn.RANK.EQ(H772,H$3:H$1770),"N/A")</f>
        <v>770</v>
      </c>
      <c r="N772" s="671" t="str">
        <f t="shared" ref="N772:N835" si="72">IFERROR(_xlfn.RANK.EQ(I772,I$3:I$1770),"N/A")</f>
        <v>N/A</v>
      </c>
      <c r="O772" s="671">
        <f t="shared" ref="O772:O835" si="73">IFERROR(_xlfn.RANK.EQ(J772,J$3:J$1770),"N/A")</f>
        <v>5</v>
      </c>
      <c r="P772" s="861" t="s">
        <v>4317</v>
      </c>
      <c r="Q772" s="861" t="s">
        <v>4318</v>
      </c>
      <c r="R772" s="861" t="s">
        <v>1020</v>
      </c>
      <c r="S772" s="861" t="s">
        <v>4319</v>
      </c>
      <c r="T772" s="866" t="s">
        <v>4320</v>
      </c>
      <c r="U772" s="865"/>
    </row>
    <row r="773" spans="1:21" ht="15">
      <c r="A773" s="857"/>
      <c r="B773" s="861" t="s">
        <v>4321</v>
      </c>
      <c r="C773" s="861" t="s">
        <v>4322</v>
      </c>
      <c r="D773" s="861" t="s">
        <v>371</v>
      </c>
      <c r="E773" s="861"/>
      <c r="F773" s="862"/>
      <c r="G773" s="869">
        <v>0</v>
      </c>
      <c r="H773" s="874">
        <v>52375548.159999996</v>
      </c>
      <c r="I773" s="871"/>
      <c r="J773" s="861"/>
      <c r="K773" s="868">
        <f t="shared" si="70"/>
        <v>316</v>
      </c>
      <c r="L773" s="861"/>
      <c r="M773" s="671">
        <f t="shared" si="71"/>
        <v>771</v>
      </c>
      <c r="N773" s="671" t="str">
        <f t="shared" si="72"/>
        <v>N/A</v>
      </c>
      <c r="O773" s="671">
        <f t="shared" si="73"/>
        <v>708</v>
      </c>
      <c r="P773" s="861" t="s">
        <v>4323</v>
      </c>
      <c r="Q773" s="861" t="s">
        <v>4324</v>
      </c>
      <c r="R773" s="861"/>
      <c r="S773" s="861" t="s">
        <v>1039</v>
      </c>
      <c r="T773" s="866" t="s">
        <v>4325</v>
      </c>
      <c r="U773" s="865"/>
    </row>
    <row r="774" spans="1:21" ht="15">
      <c r="A774" s="672"/>
      <c r="B774" s="861" t="s">
        <v>4326</v>
      </c>
      <c r="C774" s="861" t="s">
        <v>4327</v>
      </c>
      <c r="D774" s="861" t="s">
        <v>371</v>
      </c>
      <c r="E774" s="861"/>
      <c r="F774" s="862"/>
      <c r="G774" s="870" t="s">
        <v>4328</v>
      </c>
      <c r="H774" s="874">
        <v>51900343.310000002</v>
      </c>
      <c r="I774" s="871"/>
      <c r="J774" s="863" t="s">
        <v>4329</v>
      </c>
      <c r="K774" s="868">
        <f t="shared" si="70"/>
        <v>316</v>
      </c>
      <c r="L774" s="863" t="s">
        <v>2094</v>
      </c>
      <c r="M774" s="671">
        <f t="shared" si="71"/>
        <v>772</v>
      </c>
      <c r="N774" s="671" t="str">
        <f t="shared" si="72"/>
        <v>N/A</v>
      </c>
      <c r="O774" s="671" t="str">
        <f t="shared" si="73"/>
        <v>N/A</v>
      </c>
      <c r="P774" s="861" t="s">
        <v>4330</v>
      </c>
      <c r="Q774" s="861"/>
      <c r="R774" s="863" t="s">
        <v>1032</v>
      </c>
      <c r="S774" s="861" t="s">
        <v>3149</v>
      </c>
      <c r="T774" s="866" t="s">
        <v>4331</v>
      </c>
      <c r="U774" s="865"/>
    </row>
    <row r="775" spans="1:21" ht="15">
      <c r="A775" s="857"/>
      <c r="B775" s="861" t="s">
        <v>4332</v>
      </c>
      <c r="C775" s="861" t="s">
        <v>4333</v>
      </c>
      <c r="D775" s="861" t="s">
        <v>371</v>
      </c>
      <c r="E775" s="861"/>
      <c r="F775" s="862"/>
      <c r="G775" s="870" t="s">
        <v>4334</v>
      </c>
      <c r="H775" s="874">
        <v>51689931.090000004</v>
      </c>
      <c r="I775" s="871"/>
      <c r="J775" s="862">
        <v>0.16</v>
      </c>
      <c r="K775" s="868">
        <f t="shared" si="70"/>
        <v>316</v>
      </c>
      <c r="L775" s="861"/>
      <c r="M775" s="671">
        <f t="shared" si="71"/>
        <v>773</v>
      </c>
      <c r="N775" s="671" t="str">
        <f t="shared" si="72"/>
        <v>N/A</v>
      </c>
      <c r="O775" s="671">
        <f t="shared" si="73"/>
        <v>319</v>
      </c>
      <c r="P775" s="861" t="s">
        <v>1379</v>
      </c>
      <c r="Q775" s="861" t="s">
        <v>2050</v>
      </c>
      <c r="R775" s="861"/>
      <c r="S775" s="861" t="s">
        <v>3101</v>
      </c>
      <c r="T775" s="866" t="s">
        <v>4335</v>
      </c>
      <c r="U775" s="865"/>
    </row>
    <row r="776" spans="1:21" ht="15">
      <c r="A776" s="672"/>
      <c r="B776" s="861" t="s">
        <v>4336</v>
      </c>
      <c r="C776" s="861" t="s">
        <v>4337</v>
      </c>
      <c r="D776" s="861" t="s">
        <v>371</v>
      </c>
      <c r="E776" s="861"/>
      <c r="F776" s="862">
        <v>2.3E-2</v>
      </c>
      <c r="G776" s="869">
        <v>0</v>
      </c>
      <c r="H776" s="874">
        <v>51102697.530000001</v>
      </c>
      <c r="I776" s="871"/>
      <c r="J776" s="863" t="s">
        <v>4338</v>
      </c>
      <c r="K776" s="868">
        <f t="shared" si="70"/>
        <v>294</v>
      </c>
      <c r="L776" s="861"/>
      <c r="M776" s="671">
        <f t="shared" si="71"/>
        <v>774</v>
      </c>
      <c r="N776" s="671" t="str">
        <f t="shared" si="72"/>
        <v>N/A</v>
      </c>
      <c r="O776" s="671" t="str">
        <f t="shared" si="73"/>
        <v>N/A</v>
      </c>
      <c r="P776" s="861" t="s">
        <v>2229</v>
      </c>
      <c r="Q776" s="861" t="s">
        <v>4339</v>
      </c>
      <c r="R776" s="861"/>
      <c r="S776" s="861" t="s">
        <v>1082</v>
      </c>
      <c r="T776" s="866" t="s">
        <v>4340</v>
      </c>
      <c r="U776" s="865"/>
    </row>
    <row r="777" spans="1:21" ht="15">
      <c r="A777" s="857"/>
      <c r="B777" s="861" t="s">
        <v>4341</v>
      </c>
      <c r="C777" s="861" t="s">
        <v>4342</v>
      </c>
      <c r="D777" s="861" t="s">
        <v>371</v>
      </c>
      <c r="E777" s="861"/>
      <c r="F777" s="862"/>
      <c r="G777" s="870" t="s">
        <v>4343</v>
      </c>
      <c r="H777" s="874">
        <v>51028578.810000002</v>
      </c>
      <c r="I777" s="871">
        <v>103.38</v>
      </c>
      <c r="J777" s="863" t="s">
        <v>4344</v>
      </c>
      <c r="K777" s="868">
        <f t="shared" si="70"/>
        <v>316</v>
      </c>
      <c r="L777" s="861"/>
      <c r="M777" s="671">
        <f t="shared" si="71"/>
        <v>775</v>
      </c>
      <c r="N777" s="671">
        <f t="shared" si="72"/>
        <v>30</v>
      </c>
      <c r="O777" s="671" t="str">
        <f t="shared" si="73"/>
        <v>N/A</v>
      </c>
      <c r="P777" s="861" t="s">
        <v>4345</v>
      </c>
      <c r="Q777" s="861"/>
      <c r="R777" s="861"/>
      <c r="S777" s="861" t="s">
        <v>1552</v>
      </c>
      <c r="T777" s="866" t="s">
        <v>4346</v>
      </c>
      <c r="U777" s="865"/>
    </row>
    <row r="778" spans="1:21" ht="15">
      <c r="A778" s="672"/>
      <c r="B778" s="861" t="s">
        <v>4347</v>
      </c>
      <c r="C778" s="861" t="s">
        <v>4348</v>
      </c>
      <c r="D778" s="861" t="s">
        <v>371</v>
      </c>
      <c r="E778" s="861"/>
      <c r="F778" s="862">
        <v>-0.30199999999999999</v>
      </c>
      <c r="G778" s="870" t="s">
        <v>4349</v>
      </c>
      <c r="H778" s="874">
        <v>50890015.539999999</v>
      </c>
      <c r="I778" s="871"/>
      <c r="J778" s="862">
        <v>3.0000000000000001E-3</v>
      </c>
      <c r="K778" s="868">
        <f t="shared" si="70"/>
        <v>448</v>
      </c>
      <c r="L778" s="861" t="s">
        <v>519</v>
      </c>
      <c r="M778" s="671">
        <f t="shared" si="71"/>
        <v>776</v>
      </c>
      <c r="N778" s="671" t="str">
        <f t="shared" si="72"/>
        <v>N/A</v>
      </c>
      <c r="O778" s="671">
        <f t="shared" si="73"/>
        <v>700</v>
      </c>
      <c r="P778" s="861" t="s">
        <v>3716</v>
      </c>
      <c r="Q778" s="861" t="s">
        <v>4350</v>
      </c>
      <c r="R778" s="861" t="s">
        <v>763</v>
      </c>
      <c r="S778" s="861" t="s">
        <v>4351</v>
      </c>
      <c r="T778" s="866" t="s">
        <v>4352</v>
      </c>
      <c r="U778" s="865"/>
    </row>
    <row r="779" spans="1:21" ht="15">
      <c r="A779" s="857"/>
      <c r="B779" s="861" t="s">
        <v>4353</v>
      </c>
      <c r="C779" s="861" t="s">
        <v>4354</v>
      </c>
      <c r="D779" s="861" t="s">
        <v>371</v>
      </c>
      <c r="E779" s="861"/>
      <c r="F779" s="862"/>
      <c r="G779" s="869">
        <v>0</v>
      </c>
      <c r="H779" s="874">
        <v>50851666.189999998</v>
      </c>
      <c r="I779" s="871"/>
      <c r="J779" s="862">
        <v>0.221</v>
      </c>
      <c r="K779" s="868">
        <f t="shared" si="70"/>
        <v>316</v>
      </c>
      <c r="L779" s="861"/>
      <c r="M779" s="671">
        <f t="shared" si="71"/>
        <v>777</v>
      </c>
      <c r="N779" s="671" t="str">
        <f t="shared" si="72"/>
        <v>N/A</v>
      </c>
      <c r="O779" s="671">
        <f t="shared" si="73"/>
        <v>221</v>
      </c>
      <c r="P779" s="861" t="s">
        <v>2135</v>
      </c>
      <c r="Q779" s="861" t="s">
        <v>4355</v>
      </c>
      <c r="R779" s="861"/>
      <c r="S779" s="861" t="s">
        <v>1609</v>
      </c>
      <c r="T779" s="866" t="s">
        <v>4356</v>
      </c>
      <c r="U779" s="865"/>
    </row>
    <row r="780" spans="1:21" ht="15">
      <c r="A780" s="672"/>
      <c r="B780" s="861" t="s">
        <v>4357</v>
      </c>
      <c r="C780" s="861" t="s">
        <v>4358</v>
      </c>
      <c r="D780" s="861" t="s">
        <v>371</v>
      </c>
      <c r="E780" s="861"/>
      <c r="F780" s="862"/>
      <c r="G780" s="869">
        <v>1.1987987980000001</v>
      </c>
      <c r="H780" s="874">
        <v>50697231.07</v>
      </c>
      <c r="I780" s="871"/>
      <c r="J780" s="863" t="s">
        <v>4359</v>
      </c>
      <c r="K780" s="868">
        <f t="shared" si="70"/>
        <v>316</v>
      </c>
      <c r="L780" s="861" t="s">
        <v>1252</v>
      </c>
      <c r="M780" s="671">
        <f t="shared" si="71"/>
        <v>778</v>
      </c>
      <c r="N780" s="671" t="str">
        <f t="shared" si="72"/>
        <v>N/A</v>
      </c>
      <c r="O780" s="671" t="str">
        <f t="shared" si="73"/>
        <v>N/A</v>
      </c>
      <c r="P780" s="861" t="s">
        <v>3959</v>
      </c>
      <c r="Q780" s="861" t="s">
        <v>4360</v>
      </c>
      <c r="R780" s="861" t="s">
        <v>1369</v>
      </c>
      <c r="S780" s="861" t="s">
        <v>1370</v>
      </c>
      <c r="T780" s="866" t="s">
        <v>4361</v>
      </c>
      <c r="U780" s="865"/>
    </row>
    <row r="781" spans="1:21" ht="15">
      <c r="A781" s="857"/>
      <c r="B781" s="861" t="s">
        <v>4362</v>
      </c>
      <c r="C781" s="861" t="s">
        <v>4363</v>
      </c>
      <c r="D781" s="861" t="s">
        <v>371</v>
      </c>
      <c r="E781" s="861"/>
      <c r="F781" s="862">
        <v>-0.39200000000000002</v>
      </c>
      <c r="G781" s="870" t="s">
        <v>4364</v>
      </c>
      <c r="H781" s="874">
        <v>50337972.310000002</v>
      </c>
      <c r="I781" s="871"/>
      <c r="J781" s="862">
        <v>0.38700000000000001</v>
      </c>
      <c r="K781" s="868">
        <f t="shared" si="70"/>
        <v>461</v>
      </c>
      <c r="L781" s="861" t="s">
        <v>1497</v>
      </c>
      <c r="M781" s="671">
        <f t="shared" si="71"/>
        <v>779</v>
      </c>
      <c r="N781" s="671" t="str">
        <f t="shared" si="72"/>
        <v>N/A</v>
      </c>
      <c r="O781" s="671">
        <f t="shared" si="73"/>
        <v>62</v>
      </c>
      <c r="P781" s="861" t="s">
        <v>1989</v>
      </c>
      <c r="Q781" s="861" t="s">
        <v>4365</v>
      </c>
      <c r="R781" s="861" t="s">
        <v>460</v>
      </c>
      <c r="S781" s="861" t="s">
        <v>4366</v>
      </c>
      <c r="T781" s="866" t="s">
        <v>4367</v>
      </c>
      <c r="U781" s="865"/>
    </row>
    <row r="782" spans="1:21" ht="15">
      <c r="A782" s="672"/>
      <c r="B782" s="861" t="s">
        <v>4368</v>
      </c>
      <c r="C782" s="861" t="s">
        <v>4369</v>
      </c>
      <c r="D782" s="861" t="s">
        <v>371</v>
      </c>
      <c r="E782" s="861"/>
      <c r="F782" s="862"/>
      <c r="G782" s="869">
        <v>8.8535565999999996E-2</v>
      </c>
      <c r="H782" s="874">
        <v>50167062.659999996</v>
      </c>
      <c r="I782" s="872" t="s">
        <v>4370</v>
      </c>
      <c r="J782" s="863" t="s">
        <v>4371</v>
      </c>
      <c r="K782" s="868">
        <f t="shared" si="70"/>
        <v>316</v>
      </c>
      <c r="L782" s="861"/>
      <c r="M782" s="671">
        <f t="shared" si="71"/>
        <v>780</v>
      </c>
      <c r="N782" s="671" t="str">
        <f t="shared" si="72"/>
        <v>N/A</v>
      </c>
      <c r="O782" s="671" t="str">
        <f t="shared" si="73"/>
        <v>N/A</v>
      </c>
      <c r="P782" s="863" t="s">
        <v>4372</v>
      </c>
      <c r="Q782" s="861"/>
      <c r="R782" s="861"/>
      <c r="S782" s="861" t="s">
        <v>2246</v>
      </c>
      <c r="T782" s="866" t="s">
        <v>4373</v>
      </c>
      <c r="U782" s="865"/>
    </row>
    <row r="783" spans="1:21" ht="15">
      <c r="A783" s="857"/>
      <c r="B783" s="861" t="s">
        <v>4374</v>
      </c>
      <c r="C783" s="861" t="s">
        <v>4375</v>
      </c>
      <c r="D783" s="861" t="s">
        <v>371</v>
      </c>
      <c r="E783" s="861"/>
      <c r="F783" s="862"/>
      <c r="G783" s="870" t="s">
        <v>4376</v>
      </c>
      <c r="H783" s="874">
        <v>50146641</v>
      </c>
      <c r="I783" s="871"/>
      <c r="J783" s="863"/>
      <c r="K783" s="868">
        <f t="shared" si="70"/>
        <v>316</v>
      </c>
      <c r="L783" s="863" t="s">
        <v>2742</v>
      </c>
      <c r="M783" s="671">
        <f t="shared" si="71"/>
        <v>781</v>
      </c>
      <c r="N783" s="671" t="str">
        <f t="shared" si="72"/>
        <v>N/A</v>
      </c>
      <c r="O783" s="671">
        <f t="shared" si="73"/>
        <v>708</v>
      </c>
      <c r="P783" s="861" t="s">
        <v>3085</v>
      </c>
      <c r="Q783" s="861"/>
      <c r="R783" s="863" t="s">
        <v>4377</v>
      </c>
      <c r="S783" s="861" t="s">
        <v>1369</v>
      </c>
      <c r="T783" s="866" t="s">
        <v>4378</v>
      </c>
      <c r="U783" s="865"/>
    </row>
    <row r="784" spans="1:21" ht="15">
      <c r="A784" s="672"/>
      <c r="B784" s="861" t="s">
        <v>4379</v>
      </c>
      <c r="C784" s="861" t="s">
        <v>4380</v>
      </c>
      <c r="D784" s="861" t="s">
        <v>371</v>
      </c>
      <c r="E784" s="861"/>
      <c r="F784" s="862"/>
      <c r="G784" s="869">
        <v>0</v>
      </c>
      <c r="H784" s="874">
        <v>49416847.340000004</v>
      </c>
      <c r="I784" s="871"/>
      <c r="J784" s="862">
        <v>0.754</v>
      </c>
      <c r="K784" s="868">
        <f t="shared" si="70"/>
        <v>316</v>
      </c>
      <c r="L784" s="861" t="s">
        <v>488</v>
      </c>
      <c r="M784" s="671">
        <f t="shared" si="71"/>
        <v>782</v>
      </c>
      <c r="N784" s="671" t="str">
        <f t="shared" si="72"/>
        <v>N/A</v>
      </c>
      <c r="O784" s="671">
        <f t="shared" si="73"/>
        <v>4</v>
      </c>
      <c r="P784" s="861" t="s">
        <v>4381</v>
      </c>
      <c r="Q784" s="861" t="s">
        <v>4382</v>
      </c>
      <c r="R784" s="861" t="s">
        <v>1536</v>
      </c>
      <c r="S784" s="861" t="s">
        <v>4383</v>
      </c>
      <c r="T784" s="866" t="s">
        <v>4384</v>
      </c>
      <c r="U784" s="865"/>
    </row>
    <row r="785" spans="1:21" ht="15">
      <c r="A785" s="857"/>
      <c r="B785" s="861" t="s">
        <v>4385</v>
      </c>
      <c r="C785" s="861" t="s">
        <v>4386</v>
      </c>
      <c r="D785" s="861" t="s">
        <v>371</v>
      </c>
      <c r="E785" s="861"/>
      <c r="F785" s="862"/>
      <c r="G785" s="869">
        <v>0.62928811399999995</v>
      </c>
      <c r="H785" s="874">
        <v>49251993.75</v>
      </c>
      <c r="I785" s="871"/>
      <c r="J785" s="863" t="s">
        <v>659</v>
      </c>
      <c r="K785" s="868">
        <f t="shared" si="70"/>
        <v>316</v>
      </c>
      <c r="L785" s="861"/>
      <c r="M785" s="671">
        <f t="shared" si="71"/>
        <v>783</v>
      </c>
      <c r="N785" s="671" t="str">
        <f t="shared" si="72"/>
        <v>N/A</v>
      </c>
      <c r="O785" s="671" t="str">
        <f t="shared" si="73"/>
        <v>N/A</v>
      </c>
      <c r="P785" s="861"/>
      <c r="Q785" s="861"/>
      <c r="R785" s="861"/>
      <c r="S785" s="861" t="s">
        <v>424</v>
      </c>
      <c r="T785" s="866" t="s">
        <v>4387</v>
      </c>
      <c r="U785" s="865"/>
    </row>
    <row r="786" spans="1:21" ht="15">
      <c r="A786" s="672"/>
      <c r="B786" s="861" t="s">
        <v>4388</v>
      </c>
      <c r="C786" s="861" t="s">
        <v>4389</v>
      </c>
      <c r="D786" s="861" t="s">
        <v>371</v>
      </c>
      <c r="E786" s="861"/>
      <c r="F786" s="862">
        <v>-0.29299999999999998</v>
      </c>
      <c r="G786" s="870" t="s">
        <v>4390</v>
      </c>
      <c r="H786" s="874">
        <v>49238016.700000003</v>
      </c>
      <c r="I786" s="871"/>
      <c r="J786" s="861"/>
      <c r="K786" s="868">
        <f t="shared" si="70"/>
        <v>443</v>
      </c>
      <c r="L786" s="861"/>
      <c r="M786" s="671">
        <f t="shared" si="71"/>
        <v>784</v>
      </c>
      <c r="N786" s="671" t="str">
        <f t="shared" si="72"/>
        <v>N/A</v>
      </c>
      <c r="O786" s="671">
        <f t="shared" si="73"/>
        <v>708</v>
      </c>
      <c r="P786" s="861" t="s">
        <v>1122</v>
      </c>
      <c r="Q786" s="861" t="s">
        <v>4391</v>
      </c>
      <c r="R786" s="861"/>
      <c r="S786" s="861" t="s">
        <v>3663</v>
      </c>
      <c r="T786" s="866" t="s">
        <v>4392</v>
      </c>
      <c r="U786" s="865"/>
    </row>
    <row r="787" spans="1:21" ht="15">
      <c r="A787" s="857"/>
      <c r="B787" s="861" t="s">
        <v>4393</v>
      </c>
      <c r="C787" s="861" t="s">
        <v>4394</v>
      </c>
      <c r="D787" s="861" t="s">
        <v>371</v>
      </c>
      <c r="E787" s="861"/>
      <c r="F787" s="862"/>
      <c r="G787" s="869">
        <v>3.4130237000000001E-2</v>
      </c>
      <c r="H787" s="874">
        <v>49053684.890000001</v>
      </c>
      <c r="I787" s="871"/>
      <c r="J787" s="862">
        <v>0.28999999999999998</v>
      </c>
      <c r="K787" s="868">
        <f t="shared" si="70"/>
        <v>316</v>
      </c>
      <c r="L787" s="861"/>
      <c r="M787" s="671">
        <f t="shared" si="71"/>
        <v>785</v>
      </c>
      <c r="N787" s="671" t="str">
        <f t="shared" si="72"/>
        <v>N/A</v>
      </c>
      <c r="O787" s="671">
        <f t="shared" si="73"/>
        <v>139</v>
      </c>
      <c r="P787" s="861" t="s">
        <v>4395</v>
      </c>
      <c r="Q787" s="861"/>
      <c r="R787" s="861"/>
      <c r="S787" s="861" t="s">
        <v>1370</v>
      </c>
      <c r="T787" s="866" t="s">
        <v>4396</v>
      </c>
      <c r="U787" s="865"/>
    </row>
    <row r="788" spans="1:21" ht="15">
      <c r="A788" s="672"/>
      <c r="B788" s="861" t="s">
        <v>4397</v>
      </c>
      <c r="C788" s="861" t="s">
        <v>4398</v>
      </c>
      <c r="D788" s="861" t="s">
        <v>371</v>
      </c>
      <c r="E788" s="861"/>
      <c r="F788" s="862"/>
      <c r="G788" s="869">
        <v>0</v>
      </c>
      <c r="H788" s="874">
        <v>48994899.93</v>
      </c>
      <c r="I788" s="872" t="s">
        <v>4399</v>
      </c>
      <c r="J788" s="862">
        <v>0.106</v>
      </c>
      <c r="K788" s="868">
        <f t="shared" si="70"/>
        <v>316</v>
      </c>
      <c r="L788" s="861"/>
      <c r="M788" s="671">
        <f t="shared" si="71"/>
        <v>786</v>
      </c>
      <c r="N788" s="671" t="str">
        <f t="shared" si="72"/>
        <v>N/A</v>
      </c>
      <c r="O788" s="671">
        <f t="shared" si="73"/>
        <v>468</v>
      </c>
      <c r="P788" s="863" t="s">
        <v>4400</v>
      </c>
      <c r="Q788" s="861"/>
      <c r="R788" s="861"/>
      <c r="S788" s="861" t="s">
        <v>734</v>
      </c>
      <c r="T788" s="866" t="s">
        <v>4401</v>
      </c>
      <c r="U788" s="865"/>
    </row>
    <row r="789" spans="1:21" ht="15">
      <c r="A789" s="857"/>
      <c r="B789" s="861" t="s">
        <v>4402</v>
      </c>
      <c r="C789" s="861" t="s">
        <v>4403</v>
      </c>
      <c r="D789" s="861" t="s">
        <v>371</v>
      </c>
      <c r="E789" s="861"/>
      <c r="F789" s="862"/>
      <c r="G789" s="869">
        <v>4.1087434759999999</v>
      </c>
      <c r="H789" s="874">
        <v>48865057.759999998</v>
      </c>
      <c r="I789" s="871"/>
      <c r="J789" s="863"/>
      <c r="K789" s="868">
        <f t="shared" si="70"/>
        <v>316</v>
      </c>
      <c r="L789" s="861"/>
      <c r="M789" s="671">
        <f t="shared" si="71"/>
        <v>787</v>
      </c>
      <c r="N789" s="671" t="str">
        <f t="shared" si="72"/>
        <v>N/A</v>
      </c>
      <c r="O789" s="671">
        <f t="shared" si="73"/>
        <v>708</v>
      </c>
      <c r="P789" s="861" t="s">
        <v>4404</v>
      </c>
      <c r="Q789" s="861"/>
      <c r="R789" s="861"/>
      <c r="S789" s="861" t="s">
        <v>2736</v>
      </c>
      <c r="T789" s="866" t="s">
        <v>4405</v>
      </c>
      <c r="U789" s="865"/>
    </row>
    <row r="790" spans="1:21" ht="15">
      <c r="A790" s="672"/>
      <c r="B790" s="861" t="s">
        <v>4406</v>
      </c>
      <c r="C790" s="861" t="s">
        <v>4407</v>
      </c>
      <c r="D790" s="861" t="s">
        <v>371</v>
      </c>
      <c r="E790" s="861"/>
      <c r="F790" s="862"/>
      <c r="G790" s="869">
        <v>0</v>
      </c>
      <c r="H790" s="874">
        <v>48805073.740000002</v>
      </c>
      <c r="I790" s="871"/>
      <c r="J790" s="862">
        <v>0.246</v>
      </c>
      <c r="K790" s="868">
        <f t="shared" si="70"/>
        <v>316</v>
      </c>
      <c r="L790" s="861" t="s">
        <v>392</v>
      </c>
      <c r="M790" s="671">
        <f t="shared" si="71"/>
        <v>788</v>
      </c>
      <c r="N790" s="671" t="str">
        <f t="shared" si="72"/>
        <v>N/A</v>
      </c>
      <c r="O790" s="671">
        <f t="shared" si="73"/>
        <v>185</v>
      </c>
      <c r="P790" s="861" t="s">
        <v>4237</v>
      </c>
      <c r="Q790" s="861" t="s">
        <v>4408</v>
      </c>
      <c r="R790" s="861" t="s">
        <v>392</v>
      </c>
      <c r="S790" s="861" t="s">
        <v>4409</v>
      </c>
      <c r="T790" s="866" t="s">
        <v>4410</v>
      </c>
      <c r="U790" s="865"/>
    </row>
    <row r="791" spans="1:21" ht="15">
      <c r="A791" s="857"/>
      <c r="B791" s="861" t="s">
        <v>4411</v>
      </c>
      <c r="C791" s="861" t="s">
        <v>4412</v>
      </c>
      <c r="D791" s="861" t="s">
        <v>371</v>
      </c>
      <c r="E791" s="861"/>
      <c r="F791" s="862">
        <v>-0.53</v>
      </c>
      <c r="G791" s="869">
        <v>0</v>
      </c>
      <c r="H791" s="874">
        <v>48771037.109999999</v>
      </c>
      <c r="I791" s="871"/>
      <c r="J791" s="862">
        <v>0.112</v>
      </c>
      <c r="K791" s="868">
        <f t="shared" si="70"/>
        <v>478</v>
      </c>
      <c r="L791" s="861" t="s">
        <v>4413</v>
      </c>
      <c r="M791" s="671">
        <f t="shared" si="71"/>
        <v>789</v>
      </c>
      <c r="N791" s="671" t="str">
        <f t="shared" si="72"/>
        <v>N/A</v>
      </c>
      <c r="O791" s="671">
        <f t="shared" si="73"/>
        <v>452</v>
      </c>
      <c r="P791" s="861" t="s">
        <v>1703</v>
      </c>
      <c r="Q791" s="861" t="s">
        <v>4414</v>
      </c>
      <c r="R791" s="861" t="s">
        <v>1000</v>
      </c>
      <c r="S791" s="861" t="s">
        <v>4415</v>
      </c>
      <c r="T791" s="866" t="s">
        <v>4416</v>
      </c>
      <c r="U791" s="865"/>
    </row>
    <row r="792" spans="1:21" ht="15">
      <c r="A792" s="672"/>
      <c r="B792" s="861" t="s">
        <v>4417</v>
      </c>
      <c r="C792" s="861" t="s">
        <v>4418</v>
      </c>
      <c r="D792" s="861" t="s">
        <v>371</v>
      </c>
      <c r="E792" s="861"/>
      <c r="F792" s="862">
        <v>0.38</v>
      </c>
      <c r="G792" s="869">
        <v>3.2404933200000001</v>
      </c>
      <c r="H792" s="874">
        <v>48754839.469999999</v>
      </c>
      <c r="I792" s="871"/>
      <c r="J792" s="863" t="s">
        <v>1432</v>
      </c>
      <c r="K792" s="868">
        <f t="shared" si="70"/>
        <v>33</v>
      </c>
      <c r="L792" s="861" t="s">
        <v>467</v>
      </c>
      <c r="M792" s="671">
        <f t="shared" si="71"/>
        <v>790</v>
      </c>
      <c r="N792" s="671" t="str">
        <f t="shared" si="72"/>
        <v>N/A</v>
      </c>
      <c r="O792" s="671" t="str">
        <f t="shared" si="73"/>
        <v>N/A</v>
      </c>
      <c r="P792" s="861" t="s">
        <v>4419</v>
      </c>
      <c r="Q792" s="861" t="s">
        <v>4420</v>
      </c>
      <c r="R792" s="861" t="s">
        <v>1497</v>
      </c>
      <c r="S792" s="861" t="s">
        <v>3963</v>
      </c>
      <c r="T792" s="866" t="s">
        <v>4421</v>
      </c>
      <c r="U792" s="865"/>
    </row>
    <row r="793" spans="1:21" ht="15">
      <c r="A793" s="857"/>
      <c r="B793" s="861" t="s">
        <v>4422</v>
      </c>
      <c r="C793" s="861" t="s">
        <v>4423</v>
      </c>
      <c r="D793" s="861" t="s">
        <v>371</v>
      </c>
      <c r="E793" s="861"/>
      <c r="F793" s="862">
        <v>-8.5000000000000006E-2</v>
      </c>
      <c r="G793" s="870" t="s">
        <v>4424</v>
      </c>
      <c r="H793" s="874">
        <v>48532269.130000003</v>
      </c>
      <c r="I793" s="871"/>
      <c r="J793" s="862">
        <v>0.126</v>
      </c>
      <c r="K793" s="868">
        <f t="shared" si="70"/>
        <v>372</v>
      </c>
      <c r="L793" s="863" t="s">
        <v>2330</v>
      </c>
      <c r="M793" s="671">
        <f t="shared" si="71"/>
        <v>791</v>
      </c>
      <c r="N793" s="671" t="str">
        <f t="shared" si="72"/>
        <v>N/A</v>
      </c>
      <c r="O793" s="671">
        <f t="shared" si="73"/>
        <v>410</v>
      </c>
      <c r="P793" s="863" t="s">
        <v>1522</v>
      </c>
      <c r="Q793" s="861"/>
      <c r="R793" s="861"/>
      <c r="S793" s="861" t="s">
        <v>1709</v>
      </c>
      <c r="T793" s="866" t="s">
        <v>4425</v>
      </c>
      <c r="U793" s="865"/>
    </row>
    <row r="794" spans="1:21" ht="15">
      <c r="A794" s="672"/>
      <c r="B794" s="861" t="s">
        <v>4426</v>
      </c>
      <c r="C794" s="861" t="s">
        <v>4427</v>
      </c>
      <c r="D794" s="861" t="s">
        <v>371</v>
      </c>
      <c r="E794" s="861"/>
      <c r="F794" s="862"/>
      <c r="G794" s="869">
        <v>0.31246552100000002</v>
      </c>
      <c r="H794" s="874">
        <v>48146284.07</v>
      </c>
      <c r="I794" s="871"/>
      <c r="J794" s="862">
        <v>0.30099999999999999</v>
      </c>
      <c r="K794" s="868">
        <f t="shared" si="70"/>
        <v>316</v>
      </c>
      <c r="L794" s="861" t="s">
        <v>392</v>
      </c>
      <c r="M794" s="671">
        <f t="shared" si="71"/>
        <v>792</v>
      </c>
      <c r="N794" s="671" t="str">
        <f t="shared" si="72"/>
        <v>N/A</v>
      </c>
      <c r="O794" s="671">
        <f t="shared" si="73"/>
        <v>129</v>
      </c>
      <c r="P794" s="861" t="s">
        <v>4428</v>
      </c>
      <c r="Q794" s="861" t="s">
        <v>4429</v>
      </c>
      <c r="R794" s="861" t="s">
        <v>460</v>
      </c>
      <c r="S794" s="861" t="s">
        <v>2920</v>
      </c>
      <c r="T794" s="866" t="s">
        <v>4430</v>
      </c>
      <c r="U794" s="865"/>
    </row>
    <row r="795" spans="1:21" ht="15">
      <c r="A795" s="857"/>
      <c r="B795" s="861" t="s">
        <v>4431</v>
      </c>
      <c r="C795" s="861" t="s">
        <v>4432</v>
      </c>
      <c r="D795" s="861" t="s">
        <v>371</v>
      </c>
      <c r="E795" s="861"/>
      <c r="F795" s="862"/>
      <c r="G795" s="869">
        <v>0.15671847</v>
      </c>
      <c r="H795" s="874">
        <v>47619928.990000002</v>
      </c>
      <c r="I795" s="871"/>
      <c r="J795" s="862">
        <v>0.19400000000000001</v>
      </c>
      <c r="K795" s="868">
        <f t="shared" si="70"/>
        <v>316</v>
      </c>
      <c r="L795" s="861"/>
      <c r="M795" s="671">
        <f t="shared" si="71"/>
        <v>793</v>
      </c>
      <c r="N795" s="671" t="str">
        <f t="shared" si="72"/>
        <v>N/A</v>
      </c>
      <c r="O795" s="671">
        <f t="shared" si="73"/>
        <v>264</v>
      </c>
      <c r="P795" s="861" t="s">
        <v>881</v>
      </c>
      <c r="Q795" s="861"/>
      <c r="R795" s="861"/>
      <c r="S795" s="861" t="s">
        <v>2768</v>
      </c>
      <c r="T795" s="866" t="s">
        <v>4433</v>
      </c>
      <c r="U795" s="865"/>
    </row>
    <row r="796" spans="1:21" ht="15">
      <c r="A796" s="672"/>
      <c r="B796" s="861" t="s">
        <v>4434</v>
      </c>
      <c r="C796" s="861" t="s">
        <v>4435</v>
      </c>
      <c r="D796" s="861" t="s">
        <v>371</v>
      </c>
      <c r="E796" s="861"/>
      <c r="F796" s="862"/>
      <c r="G796" s="869">
        <v>0.23651904200000001</v>
      </c>
      <c r="H796" s="874">
        <v>47511110</v>
      </c>
      <c r="I796" s="871"/>
      <c r="J796" s="863"/>
      <c r="K796" s="868">
        <f t="shared" si="70"/>
        <v>316</v>
      </c>
      <c r="L796" s="861"/>
      <c r="M796" s="671">
        <f t="shared" si="71"/>
        <v>794</v>
      </c>
      <c r="N796" s="671" t="str">
        <f t="shared" si="72"/>
        <v>N/A</v>
      </c>
      <c r="O796" s="671">
        <f t="shared" si="73"/>
        <v>708</v>
      </c>
      <c r="P796" s="863" t="s">
        <v>4436</v>
      </c>
      <c r="Q796" s="861"/>
      <c r="R796" s="861"/>
      <c r="S796" s="861" t="s">
        <v>2069</v>
      </c>
      <c r="T796" s="866" t="s">
        <v>4437</v>
      </c>
      <c r="U796" s="865"/>
    </row>
    <row r="797" spans="1:21" ht="15">
      <c r="A797" s="857"/>
      <c r="B797" s="861" t="s">
        <v>4438</v>
      </c>
      <c r="C797" s="861" t="s">
        <v>4439</v>
      </c>
      <c r="D797" s="861" t="s">
        <v>371</v>
      </c>
      <c r="E797" s="861"/>
      <c r="F797" s="862"/>
      <c r="G797" s="870" t="s">
        <v>4440</v>
      </c>
      <c r="H797" s="874">
        <v>47434113.390000001</v>
      </c>
      <c r="I797" s="871"/>
      <c r="J797" s="862">
        <v>0.129</v>
      </c>
      <c r="K797" s="868">
        <f t="shared" si="70"/>
        <v>316</v>
      </c>
      <c r="L797" s="861" t="s">
        <v>454</v>
      </c>
      <c r="M797" s="671">
        <f t="shared" si="71"/>
        <v>795</v>
      </c>
      <c r="N797" s="671" t="str">
        <f t="shared" si="72"/>
        <v>N/A</v>
      </c>
      <c r="O797" s="671">
        <f t="shared" si="73"/>
        <v>402</v>
      </c>
      <c r="P797" s="861" t="s">
        <v>2938</v>
      </c>
      <c r="Q797" s="861" t="s">
        <v>4441</v>
      </c>
      <c r="R797" s="861"/>
      <c r="S797" s="861" t="s">
        <v>1421</v>
      </c>
      <c r="T797" s="866" t="s">
        <v>4442</v>
      </c>
      <c r="U797" s="865"/>
    </row>
    <row r="798" spans="1:21" ht="15">
      <c r="A798" s="672"/>
      <c r="B798" s="861" t="s">
        <v>4443</v>
      </c>
      <c r="C798" s="861" t="s">
        <v>4444</v>
      </c>
      <c r="D798" s="861" t="s">
        <v>371</v>
      </c>
      <c r="E798" s="861"/>
      <c r="F798" s="862"/>
      <c r="G798" s="869">
        <v>4.7200117170000002</v>
      </c>
      <c r="H798" s="874">
        <v>46897804.899999999</v>
      </c>
      <c r="I798" s="871"/>
      <c r="J798" s="862">
        <v>0.10299999999999999</v>
      </c>
      <c r="K798" s="868">
        <f t="shared" si="70"/>
        <v>316</v>
      </c>
      <c r="L798" s="861" t="s">
        <v>825</v>
      </c>
      <c r="M798" s="671">
        <f t="shared" si="71"/>
        <v>796</v>
      </c>
      <c r="N798" s="671" t="str">
        <f t="shared" si="72"/>
        <v>N/A</v>
      </c>
      <c r="O798" s="671">
        <f t="shared" si="73"/>
        <v>482</v>
      </c>
      <c r="P798" s="861" t="s">
        <v>4445</v>
      </c>
      <c r="Q798" s="861"/>
      <c r="R798" s="863" t="s">
        <v>3508</v>
      </c>
      <c r="S798" s="861" t="s">
        <v>4446</v>
      </c>
      <c r="T798" s="866" t="s">
        <v>4447</v>
      </c>
      <c r="U798" s="865"/>
    </row>
    <row r="799" spans="1:21" ht="15">
      <c r="A799" s="857"/>
      <c r="B799" s="861" t="s">
        <v>4448</v>
      </c>
      <c r="C799" s="861" t="s">
        <v>4449</v>
      </c>
      <c r="D799" s="861" t="s">
        <v>371</v>
      </c>
      <c r="E799" s="861"/>
      <c r="F799" s="862">
        <v>4.3019999999999996</v>
      </c>
      <c r="G799" s="869">
        <v>0.356101047</v>
      </c>
      <c r="H799" s="874">
        <v>46803956.850000001</v>
      </c>
      <c r="I799" s="871"/>
      <c r="J799" s="863" t="s">
        <v>4450</v>
      </c>
      <c r="K799" s="868">
        <f t="shared" si="70"/>
        <v>2</v>
      </c>
      <c r="L799" s="861"/>
      <c r="M799" s="671">
        <f t="shared" si="71"/>
        <v>797</v>
      </c>
      <c r="N799" s="671" t="str">
        <f t="shared" si="72"/>
        <v>N/A</v>
      </c>
      <c r="O799" s="671" t="str">
        <f t="shared" si="73"/>
        <v>N/A</v>
      </c>
      <c r="P799" s="861" t="s">
        <v>4413</v>
      </c>
      <c r="Q799" s="861" t="s">
        <v>4451</v>
      </c>
      <c r="R799" s="861"/>
      <c r="S799" s="861" t="s">
        <v>2574</v>
      </c>
      <c r="T799" s="866" t="s">
        <v>4452</v>
      </c>
      <c r="U799" s="865"/>
    </row>
    <row r="800" spans="1:21" ht="15">
      <c r="A800" s="672"/>
      <c r="B800" s="861" t="s">
        <v>4453</v>
      </c>
      <c r="C800" s="861" t="s">
        <v>4454</v>
      </c>
      <c r="D800" s="861" t="s">
        <v>371</v>
      </c>
      <c r="E800" s="861"/>
      <c r="F800" s="862"/>
      <c r="G800" s="870" t="s">
        <v>4455</v>
      </c>
      <c r="H800" s="874">
        <v>46635207.57</v>
      </c>
      <c r="I800" s="871"/>
      <c r="J800" s="861" t="s">
        <v>3441</v>
      </c>
      <c r="K800" s="868">
        <f t="shared" si="70"/>
        <v>316</v>
      </c>
      <c r="L800" s="863" t="s">
        <v>2094</v>
      </c>
      <c r="M800" s="671">
        <f t="shared" si="71"/>
        <v>798</v>
      </c>
      <c r="N800" s="671" t="str">
        <f t="shared" si="72"/>
        <v>N/A</v>
      </c>
      <c r="O800" s="671" t="str">
        <f t="shared" si="73"/>
        <v>N/A</v>
      </c>
      <c r="P800" s="861" t="s">
        <v>3211</v>
      </c>
      <c r="Q800" s="861" t="s">
        <v>1333</v>
      </c>
      <c r="R800" s="863" t="s">
        <v>4456</v>
      </c>
      <c r="S800" s="861" t="s">
        <v>931</v>
      </c>
      <c r="T800" s="866" t="s">
        <v>4457</v>
      </c>
      <c r="U800" s="865"/>
    </row>
    <row r="801" spans="1:21" ht="15">
      <c r="A801" s="857"/>
      <c r="B801" s="861" t="s">
        <v>4458</v>
      </c>
      <c r="C801" s="861" t="s">
        <v>4459</v>
      </c>
      <c r="D801" s="861" t="s">
        <v>371</v>
      </c>
      <c r="E801" s="861"/>
      <c r="F801" s="862"/>
      <c r="G801" s="869">
        <v>0</v>
      </c>
      <c r="H801" s="874">
        <v>46627365.780000001</v>
      </c>
      <c r="I801" s="871"/>
      <c r="J801" s="862">
        <v>7.0000000000000001E-3</v>
      </c>
      <c r="K801" s="868">
        <f t="shared" si="70"/>
        <v>316</v>
      </c>
      <c r="L801" s="861"/>
      <c r="M801" s="671">
        <f t="shared" si="71"/>
        <v>799</v>
      </c>
      <c r="N801" s="671" t="str">
        <f t="shared" si="72"/>
        <v>N/A</v>
      </c>
      <c r="O801" s="671">
        <f t="shared" si="73"/>
        <v>689</v>
      </c>
      <c r="P801" s="861" t="s">
        <v>4460</v>
      </c>
      <c r="Q801" s="861"/>
      <c r="R801" s="861"/>
      <c r="S801" s="861" t="s">
        <v>3345</v>
      </c>
      <c r="T801" s="866" t="s">
        <v>4461</v>
      </c>
      <c r="U801" s="865"/>
    </row>
    <row r="802" spans="1:21" ht="15">
      <c r="A802" s="672"/>
      <c r="B802" s="861" t="s">
        <v>4462</v>
      </c>
      <c r="C802" s="861" t="s">
        <v>4463</v>
      </c>
      <c r="D802" s="861" t="s">
        <v>371</v>
      </c>
      <c r="E802" s="861"/>
      <c r="F802" s="862"/>
      <c r="G802" s="869">
        <v>1.577157803</v>
      </c>
      <c r="H802" s="874">
        <v>46023805.969999999</v>
      </c>
      <c r="I802" s="871"/>
      <c r="J802" s="863" t="s">
        <v>4464</v>
      </c>
      <c r="K802" s="868">
        <f t="shared" si="70"/>
        <v>316</v>
      </c>
      <c r="L802" s="861"/>
      <c r="M802" s="671">
        <f t="shared" si="71"/>
        <v>800</v>
      </c>
      <c r="N802" s="671" t="str">
        <f t="shared" si="72"/>
        <v>N/A</v>
      </c>
      <c r="O802" s="671" t="str">
        <f t="shared" si="73"/>
        <v>N/A</v>
      </c>
      <c r="P802" s="861" t="s">
        <v>844</v>
      </c>
      <c r="Q802" s="861"/>
      <c r="R802" s="861"/>
      <c r="S802" s="861" t="s">
        <v>563</v>
      </c>
      <c r="T802" s="866" t="s">
        <v>4465</v>
      </c>
      <c r="U802" s="865"/>
    </row>
    <row r="803" spans="1:21" ht="15">
      <c r="A803" s="857"/>
      <c r="B803" s="861" t="s">
        <v>4466</v>
      </c>
      <c r="C803" s="861" t="s">
        <v>4467</v>
      </c>
      <c r="D803" s="861" t="s">
        <v>371</v>
      </c>
      <c r="E803" s="861"/>
      <c r="F803" s="862"/>
      <c r="G803" s="870" t="s">
        <v>4468</v>
      </c>
      <c r="H803" s="874">
        <v>45548233.439999998</v>
      </c>
      <c r="I803" s="871"/>
      <c r="J803" s="863" t="s">
        <v>4469</v>
      </c>
      <c r="K803" s="868">
        <f t="shared" si="70"/>
        <v>316</v>
      </c>
      <c r="L803" s="863" t="s">
        <v>1017</v>
      </c>
      <c r="M803" s="671">
        <f t="shared" si="71"/>
        <v>801</v>
      </c>
      <c r="N803" s="671" t="str">
        <f t="shared" si="72"/>
        <v>N/A</v>
      </c>
      <c r="O803" s="671" t="str">
        <f t="shared" si="73"/>
        <v>N/A</v>
      </c>
      <c r="P803" s="861" t="s">
        <v>2631</v>
      </c>
      <c r="Q803" s="861" t="s">
        <v>2978</v>
      </c>
      <c r="R803" s="863" t="s">
        <v>448</v>
      </c>
      <c r="S803" s="861" t="s">
        <v>611</v>
      </c>
      <c r="T803" s="866" t="s">
        <v>4470</v>
      </c>
      <c r="U803" s="865"/>
    </row>
    <row r="804" spans="1:21" ht="15">
      <c r="A804" s="672"/>
      <c r="B804" s="861" t="s">
        <v>4471</v>
      </c>
      <c r="C804" s="861" t="s">
        <v>4472</v>
      </c>
      <c r="D804" s="861" t="s">
        <v>371</v>
      </c>
      <c r="E804" s="861"/>
      <c r="F804" s="862"/>
      <c r="G804" s="869">
        <v>12.13169937</v>
      </c>
      <c r="H804" s="874">
        <v>45445659</v>
      </c>
      <c r="I804" s="871"/>
      <c r="J804" s="863" t="s">
        <v>4473</v>
      </c>
      <c r="K804" s="868">
        <f t="shared" si="70"/>
        <v>316</v>
      </c>
      <c r="L804" s="861"/>
      <c r="M804" s="671">
        <f t="shared" si="71"/>
        <v>802</v>
      </c>
      <c r="N804" s="671" t="str">
        <f t="shared" si="72"/>
        <v>N/A</v>
      </c>
      <c r="O804" s="671" t="str">
        <f t="shared" si="73"/>
        <v>N/A</v>
      </c>
      <c r="P804" s="861" t="s">
        <v>1122</v>
      </c>
      <c r="Q804" s="861" t="s">
        <v>4474</v>
      </c>
      <c r="R804" s="861"/>
      <c r="S804" s="861" t="s">
        <v>4475</v>
      </c>
      <c r="T804" s="866" t="s">
        <v>4476</v>
      </c>
      <c r="U804" s="865"/>
    </row>
    <row r="805" spans="1:21" ht="15">
      <c r="A805" s="857"/>
      <c r="B805" s="861" t="s">
        <v>4477</v>
      </c>
      <c r="C805" s="861" t="s">
        <v>4478</v>
      </c>
      <c r="D805" s="861" t="s">
        <v>371</v>
      </c>
      <c r="E805" s="861"/>
      <c r="F805" s="862"/>
      <c r="G805" s="870" t="s">
        <v>4479</v>
      </c>
      <c r="H805" s="874">
        <v>45351259.509999998</v>
      </c>
      <c r="I805" s="871"/>
      <c r="J805" s="862">
        <v>0.27200000000000002</v>
      </c>
      <c r="K805" s="868">
        <f t="shared" si="70"/>
        <v>316</v>
      </c>
      <c r="L805" s="861"/>
      <c r="M805" s="671">
        <f t="shared" si="71"/>
        <v>803</v>
      </c>
      <c r="N805" s="671" t="str">
        <f t="shared" si="72"/>
        <v>N/A</v>
      </c>
      <c r="O805" s="671">
        <f t="shared" si="73"/>
        <v>154</v>
      </c>
      <c r="P805" s="861" t="s">
        <v>1082</v>
      </c>
      <c r="Q805" s="861"/>
      <c r="R805" s="861"/>
      <c r="S805" s="861" t="s">
        <v>1636</v>
      </c>
      <c r="T805" s="866" t="s">
        <v>4480</v>
      </c>
      <c r="U805" s="865"/>
    </row>
    <row r="806" spans="1:21" ht="15">
      <c r="A806" s="672"/>
      <c r="B806" s="861" t="s">
        <v>4481</v>
      </c>
      <c r="C806" s="861" t="s">
        <v>4482</v>
      </c>
      <c r="D806" s="861" t="s">
        <v>371</v>
      </c>
      <c r="E806" s="861"/>
      <c r="F806" s="862"/>
      <c r="G806" s="869">
        <v>0.74431665000000002</v>
      </c>
      <c r="H806" s="874">
        <v>45277891.009999998</v>
      </c>
      <c r="I806" s="871"/>
      <c r="J806" s="863" t="s">
        <v>930</v>
      </c>
      <c r="K806" s="868">
        <f t="shared" si="70"/>
        <v>316</v>
      </c>
      <c r="L806" s="861" t="s">
        <v>4192</v>
      </c>
      <c r="M806" s="671">
        <f t="shared" si="71"/>
        <v>804</v>
      </c>
      <c r="N806" s="671" t="str">
        <f t="shared" si="72"/>
        <v>N/A</v>
      </c>
      <c r="O806" s="671" t="str">
        <f t="shared" si="73"/>
        <v>N/A</v>
      </c>
      <c r="P806" s="861" t="s">
        <v>3743</v>
      </c>
      <c r="Q806" s="861" t="s">
        <v>4483</v>
      </c>
      <c r="R806" s="861" t="s">
        <v>1311</v>
      </c>
      <c r="S806" s="861" t="s">
        <v>4484</v>
      </c>
      <c r="T806" s="866" t="s">
        <v>4485</v>
      </c>
      <c r="U806" s="865"/>
    </row>
    <row r="807" spans="1:21" ht="15">
      <c r="A807" s="857"/>
      <c r="B807" s="861" t="s">
        <v>4486</v>
      </c>
      <c r="C807" s="861" t="s">
        <v>4487</v>
      </c>
      <c r="D807" s="861" t="s">
        <v>371</v>
      </c>
      <c r="E807" s="861"/>
      <c r="F807" s="862"/>
      <c r="G807" s="870" t="s">
        <v>4488</v>
      </c>
      <c r="H807" s="874">
        <v>45252940.469999999</v>
      </c>
      <c r="I807" s="871"/>
      <c r="J807" s="862">
        <v>0.21299999999999999</v>
      </c>
      <c r="K807" s="868">
        <f t="shared" si="70"/>
        <v>316</v>
      </c>
      <c r="L807" s="861" t="s">
        <v>4409</v>
      </c>
      <c r="M807" s="671">
        <f t="shared" si="71"/>
        <v>805</v>
      </c>
      <c r="N807" s="671" t="str">
        <f t="shared" si="72"/>
        <v>N/A</v>
      </c>
      <c r="O807" s="671">
        <f t="shared" si="73"/>
        <v>233</v>
      </c>
      <c r="P807" s="861" t="s">
        <v>4489</v>
      </c>
      <c r="Q807" s="861"/>
      <c r="R807" s="863" t="s">
        <v>448</v>
      </c>
      <c r="S807" s="861" t="s">
        <v>4490</v>
      </c>
      <c r="T807" s="866" t="s">
        <v>4491</v>
      </c>
      <c r="U807" s="865"/>
    </row>
    <row r="808" spans="1:21" ht="15">
      <c r="A808" s="672"/>
      <c r="B808" s="861" t="s">
        <v>4492</v>
      </c>
      <c r="C808" s="861" t="s">
        <v>4493</v>
      </c>
      <c r="D808" s="861" t="s">
        <v>371</v>
      </c>
      <c r="E808" s="861"/>
      <c r="F808" s="862"/>
      <c r="G808" s="869">
        <v>7.7925495999999997E-2</v>
      </c>
      <c r="H808" s="874">
        <v>45106553.329999998</v>
      </c>
      <c r="I808" s="871"/>
      <c r="J808" s="863" t="s">
        <v>3850</v>
      </c>
      <c r="K808" s="868">
        <f t="shared" si="70"/>
        <v>316</v>
      </c>
      <c r="L808" s="861" t="s">
        <v>964</v>
      </c>
      <c r="M808" s="671">
        <f t="shared" si="71"/>
        <v>806</v>
      </c>
      <c r="N808" s="671" t="str">
        <f t="shared" si="72"/>
        <v>N/A</v>
      </c>
      <c r="O808" s="671" t="str">
        <f t="shared" si="73"/>
        <v>N/A</v>
      </c>
      <c r="P808" s="861" t="s">
        <v>2747</v>
      </c>
      <c r="Q808" s="861" t="s">
        <v>4494</v>
      </c>
      <c r="R808" s="861" t="s">
        <v>1497</v>
      </c>
      <c r="S808" s="861" t="s">
        <v>2281</v>
      </c>
      <c r="T808" s="866" t="s">
        <v>4495</v>
      </c>
      <c r="U808" s="865"/>
    </row>
    <row r="809" spans="1:21" ht="15">
      <c r="A809" s="857"/>
      <c r="B809" s="861" t="s">
        <v>4496</v>
      </c>
      <c r="C809" s="861" t="s">
        <v>4497</v>
      </c>
      <c r="D809" s="861" t="s">
        <v>371</v>
      </c>
      <c r="E809" s="861"/>
      <c r="F809" s="862"/>
      <c r="G809" s="869">
        <v>10.6618317</v>
      </c>
      <c r="H809" s="874">
        <v>45053766</v>
      </c>
      <c r="I809" s="871"/>
      <c r="J809" s="861"/>
      <c r="K809" s="868">
        <f t="shared" si="70"/>
        <v>316</v>
      </c>
      <c r="L809" s="861"/>
      <c r="M809" s="671">
        <f t="shared" si="71"/>
        <v>807</v>
      </c>
      <c r="N809" s="671" t="str">
        <f t="shared" si="72"/>
        <v>N/A</v>
      </c>
      <c r="O809" s="671">
        <f t="shared" si="73"/>
        <v>708</v>
      </c>
      <c r="P809" s="861" t="s">
        <v>4498</v>
      </c>
      <c r="Q809" s="861" t="s">
        <v>4499</v>
      </c>
      <c r="R809" s="861"/>
      <c r="S809" s="861" t="s">
        <v>465</v>
      </c>
      <c r="T809" s="866" t="s">
        <v>4500</v>
      </c>
      <c r="U809" s="865"/>
    </row>
    <row r="810" spans="1:21" ht="15">
      <c r="A810" s="672"/>
      <c r="B810" s="861" t="s">
        <v>4501</v>
      </c>
      <c r="C810" s="861" t="s">
        <v>4502</v>
      </c>
      <c r="D810" s="861" t="s">
        <v>371</v>
      </c>
      <c r="E810" s="861"/>
      <c r="F810" s="862"/>
      <c r="G810" s="869">
        <v>0</v>
      </c>
      <c r="H810" s="874">
        <v>44993878.770000003</v>
      </c>
      <c r="I810" s="871"/>
      <c r="J810" s="863" t="s">
        <v>4503</v>
      </c>
      <c r="K810" s="868">
        <f t="shared" si="70"/>
        <v>316</v>
      </c>
      <c r="L810" s="863" t="s">
        <v>4504</v>
      </c>
      <c r="M810" s="671">
        <f t="shared" si="71"/>
        <v>808</v>
      </c>
      <c r="N810" s="671" t="str">
        <f t="shared" si="72"/>
        <v>N/A</v>
      </c>
      <c r="O810" s="671" t="str">
        <f t="shared" si="73"/>
        <v>N/A</v>
      </c>
      <c r="P810" s="861" t="s">
        <v>468</v>
      </c>
      <c r="Q810" s="861"/>
      <c r="R810" s="863" t="s">
        <v>4505</v>
      </c>
      <c r="S810" s="861" t="s">
        <v>4506</v>
      </c>
      <c r="T810" s="866" t="s">
        <v>4507</v>
      </c>
      <c r="U810" s="865"/>
    </row>
    <row r="811" spans="1:21" ht="15">
      <c r="A811" s="857"/>
      <c r="B811" s="861" t="s">
        <v>4508</v>
      </c>
      <c r="C811" s="861" t="s">
        <v>4509</v>
      </c>
      <c r="D811" s="861" t="s">
        <v>371</v>
      </c>
      <c r="E811" s="861"/>
      <c r="F811" s="862"/>
      <c r="G811" s="869">
        <v>0</v>
      </c>
      <c r="H811" s="874">
        <v>44979815.590000004</v>
      </c>
      <c r="I811" s="872" t="s">
        <v>4510</v>
      </c>
      <c r="J811" s="862">
        <v>0.112</v>
      </c>
      <c r="K811" s="868">
        <f t="shared" si="70"/>
        <v>316</v>
      </c>
      <c r="L811" s="861"/>
      <c r="M811" s="671">
        <f t="shared" si="71"/>
        <v>809</v>
      </c>
      <c r="N811" s="671" t="str">
        <f t="shared" si="72"/>
        <v>N/A</v>
      </c>
      <c r="O811" s="671">
        <f t="shared" si="73"/>
        <v>452</v>
      </c>
      <c r="P811" s="861"/>
      <c r="Q811" s="861"/>
      <c r="R811" s="861"/>
      <c r="S811" s="861" t="s">
        <v>424</v>
      </c>
      <c r="T811" s="866" t="s">
        <v>4511</v>
      </c>
      <c r="U811" s="865"/>
    </row>
    <row r="812" spans="1:21" ht="15">
      <c r="A812" s="672"/>
      <c r="B812" s="861" t="s">
        <v>4512</v>
      </c>
      <c r="C812" s="861" t="s">
        <v>4513</v>
      </c>
      <c r="D812" s="861" t="s">
        <v>371</v>
      </c>
      <c r="E812" s="861"/>
      <c r="F812" s="862">
        <v>0.13200000000000001</v>
      </c>
      <c r="G812" s="869">
        <v>3.0204167540000002</v>
      </c>
      <c r="H812" s="874">
        <v>44952652.07</v>
      </c>
      <c r="I812" s="871">
        <v>54.23</v>
      </c>
      <c r="J812" s="862">
        <v>0.13600000000000001</v>
      </c>
      <c r="K812" s="868">
        <f t="shared" si="70"/>
        <v>164</v>
      </c>
      <c r="L812" s="861" t="s">
        <v>784</v>
      </c>
      <c r="M812" s="671">
        <f t="shared" si="71"/>
        <v>810</v>
      </c>
      <c r="N812" s="671">
        <f t="shared" si="72"/>
        <v>82</v>
      </c>
      <c r="O812" s="671">
        <f t="shared" si="73"/>
        <v>382</v>
      </c>
      <c r="P812" s="861" t="s">
        <v>3041</v>
      </c>
      <c r="Q812" s="861" t="s">
        <v>525</v>
      </c>
      <c r="R812" s="861" t="s">
        <v>761</v>
      </c>
      <c r="S812" s="861" t="s">
        <v>4404</v>
      </c>
      <c r="T812" s="866" t="s">
        <v>4514</v>
      </c>
      <c r="U812" s="865"/>
    </row>
    <row r="813" spans="1:21" ht="15">
      <c r="A813" s="857"/>
      <c r="B813" s="861" t="s">
        <v>4515</v>
      </c>
      <c r="C813" s="861" t="s">
        <v>4516</v>
      </c>
      <c r="D813" s="861" t="s">
        <v>371</v>
      </c>
      <c r="E813" s="861"/>
      <c r="F813" s="862"/>
      <c r="G813" s="869">
        <v>3.7841875680000001</v>
      </c>
      <c r="H813" s="874">
        <v>44750695.170000002</v>
      </c>
      <c r="I813" s="871"/>
      <c r="J813" s="863" t="s">
        <v>2804</v>
      </c>
      <c r="K813" s="868">
        <f t="shared" si="70"/>
        <v>316</v>
      </c>
      <c r="L813" s="861"/>
      <c r="M813" s="671">
        <f t="shared" si="71"/>
        <v>811</v>
      </c>
      <c r="N813" s="671" t="str">
        <f t="shared" si="72"/>
        <v>N/A</v>
      </c>
      <c r="O813" s="671" t="str">
        <f t="shared" si="73"/>
        <v>N/A</v>
      </c>
      <c r="P813" s="861"/>
      <c r="Q813" s="861"/>
      <c r="R813" s="861"/>
      <c r="S813" s="861"/>
      <c r="T813" s="866"/>
      <c r="U813" s="865"/>
    </row>
    <row r="814" spans="1:21" ht="15">
      <c r="A814" s="672"/>
      <c r="B814" s="861" t="s">
        <v>4517</v>
      </c>
      <c r="C814" s="861" t="s">
        <v>4518</v>
      </c>
      <c r="D814" s="861" t="s">
        <v>371</v>
      </c>
      <c r="E814" s="861"/>
      <c r="F814" s="862"/>
      <c r="G814" s="870" t="s">
        <v>4519</v>
      </c>
      <c r="H814" s="874">
        <v>44615295.630000003</v>
      </c>
      <c r="I814" s="871">
        <v>64.239999999999995</v>
      </c>
      <c r="J814" s="862">
        <v>0.496</v>
      </c>
      <c r="K814" s="868">
        <f t="shared" si="70"/>
        <v>316</v>
      </c>
      <c r="L814" s="861" t="s">
        <v>1475</v>
      </c>
      <c r="M814" s="671">
        <f t="shared" si="71"/>
        <v>812</v>
      </c>
      <c r="N814" s="671">
        <f t="shared" si="72"/>
        <v>61</v>
      </c>
      <c r="O814" s="671">
        <f t="shared" si="73"/>
        <v>22</v>
      </c>
      <c r="P814" s="861" t="s">
        <v>4520</v>
      </c>
      <c r="Q814" s="861" t="s">
        <v>4521</v>
      </c>
      <c r="R814" s="861"/>
      <c r="S814" s="861" t="s">
        <v>1733</v>
      </c>
      <c r="T814" s="866" t="s">
        <v>4522</v>
      </c>
      <c r="U814" s="865"/>
    </row>
    <row r="815" spans="1:21" ht="15">
      <c r="A815" s="857"/>
      <c r="B815" s="861" t="s">
        <v>4523</v>
      </c>
      <c r="C815" s="861" t="s">
        <v>4524</v>
      </c>
      <c r="D815" s="861" t="s">
        <v>371</v>
      </c>
      <c r="E815" s="861"/>
      <c r="F815" s="862"/>
      <c r="G815" s="870" t="s">
        <v>4525</v>
      </c>
      <c r="H815" s="874">
        <v>44554819.960000001</v>
      </c>
      <c r="I815" s="871">
        <v>167.24</v>
      </c>
      <c r="J815" s="862">
        <v>7.8E-2</v>
      </c>
      <c r="K815" s="868">
        <f t="shared" si="70"/>
        <v>316</v>
      </c>
      <c r="L815" s="861"/>
      <c r="M815" s="671">
        <f t="shared" si="71"/>
        <v>813</v>
      </c>
      <c r="N815" s="671">
        <f t="shared" si="72"/>
        <v>12</v>
      </c>
      <c r="O815" s="671">
        <f t="shared" si="73"/>
        <v>547</v>
      </c>
      <c r="P815" s="861" t="s">
        <v>696</v>
      </c>
      <c r="Q815" s="861"/>
      <c r="R815" s="861"/>
      <c r="S815" s="861" t="s">
        <v>424</v>
      </c>
      <c r="T815" s="866" t="s">
        <v>4526</v>
      </c>
      <c r="U815" s="865"/>
    </row>
    <row r="816" spans="1:21" ht="15">
      <c r="A816" s="672"/>
      <c r="B816" s="861" t="s">
        <v>4527</v>
      </c>
      <c r="C816" s="861" t="s">
        <v>4528</v>
      </c>
      <c r="D816" s="861" t="s">
        <v>371</v>
      </c>
      <c r="E816" s="861"/>
      <c r="F816" s="862"/>
      <c r="G816" s="869">
        <v>3.8897670000000001E-3</v>
      </c>
      <c r="H816" s="874">
        <v>44447980.289999999</v>
      </c>
      <c r="I816" s="871"/>
      <c r="J816" s="862">
        <v>7.4999999999999997E-2</v>
      </c>
      <c r="K816" s="868">
        <f t="shared" si="70"/>
        <v>316</v>
      </c>
      <c r="L816" s="861"/>
      <c r="M816" s="671">
        <f t="shared" si="71"/>
        <v>814</v>
      </c>
      <c r="N816" s="671" t="str">
        <f t="shared" si="72"/>
        <v>N/A</v>
      </c>
      <c r="O816" s="671">
        <f t="shared" si="73"/>
        <v>550</v>
      </c>
      <c r="P816" s="861" t="s">
        <v>4529</v>
      </c>
      <c r="Q816" s="861"/>
      <c r="R816" s="861"/>
      <c r="S816" s="861" t="s">
        <v>404</v>
      </c>
      <c r="T816" s="866" t="s">
        <v>4530</v>
      </c>
      <c r="U816" s="865"/>
    </row>
    <row r="817" spans="1:21" ht="15">
      <c r="A817" s="857"/>
      <c r="B817" s="861" t="s">
        <v>4531</v>
      </c>
      <c r="C817" s="861" t="s">
        <v>4532</v>
      </c>
      <c r="D817" s="861" t="s">
        <v>371</v>
      </c>
      <c r="E817" s="861"/>
      <c r="F817" s="862"/>
      <c r="G817" s="869">
        <v>1.211997167</v>
      </c>
      <c r="H817" s="874">
        <v>44443878.170000002</v>
      </c>
      <c r="I817" s="871"/>
      <c r="J817" s="862">
        <v>0.104</v>
      </c>
      <c r="K817" s="868">
        <f t="shared" si="70"/>
        <v>316</v>
      </c>
      <c r="L817" s="861" t="s">
        <v>2069</v>
      </c>
      <c r="M817" s="671">
        <f t="shared" si="71"/>
        <v>815</v>
      </c>
      <c r="N817" s="671" t="str">
        <f t="shared" si="72"/>
        <v>N/A</v>
      </c>
      <c r="O817" s="671">
        <f t="shared" si="73"/>
        <v>475</v>
      </c>
      <c r="P817" s="861" t="s">
        <v>4533</v>
      </c>
      <c r="Q817" s="861" t="s">
        <v>4534</v>
      </c>
      <c r="R817" s="861" t="s">
        <v>2069</v>
      </c>
      <c r="S817" s="861" t="s">
        <v>480</v>
      </c>
      <c r="T817" s="866" t="s">
        <v>4535</v>
      </c>
      <c r="U817" s="865"/>
    </row>
    <row r="818" spans="1:21" ht="15">
      <c r="A818" s="672"/>
      <c r="B818" s="861" t="s">
        <v>4536</v>
      </c>
      <c r="C818" s="861" t="s">
        <v>4537</v>
      </c>
      <c r="D818" s="861" t="s">
        <v>371</v>
      </c>
      <c r="E818" s="861"/>
      <c r="F818" s="862"/>
      <c r="G818" s="869">
        <v>2.212983033</v>
      </c>
      <c r="H818" s="874">
        <v>44397538.200000003</v>
      </c>
      <c r="I818" s="871">
        <v>58.76</v>
      </c>
      <c r="J818" s="863" t="s">
        <v>4538</v>
      </c>
      <c r="K818" s="868">
        <f t="shared" si="70"/>
        <v>316</v>
      </c>
      <c r="L818" s="861" t="s">
        <v>1252</v>
      </c>
      <c r="M818" s="671">
        <f t="shared" si="71"/>
        <v>816</v>
      </c>
      <c r="N818" s="671">
        <f t="shared" si="72"/>
        <v>76</v>
      </c>
      <c r="O818" s="671" t="str">
        <f t="shared" si="73"/>
        <v>N/A</v>
      </c>
      <c r="P818" s="861" t="s">
        <v>4539</v>
      </c>
      <c r="Q818" s="861" t="s">
        <v>4540</v>
      </c>
      <c r="R818" s="861" t="s">
        <v>533</v>
      </c>
      <c r="S818" s="861" t="s">
        <v>1506</v>
      </c>
      <c r="T818" s="866" t="s">
        <v>4541</v>
      </c>
      <c r="U818" s="865"/>
    </row>
    <row r="819" spans="1:21" ht="15">
      <c r="A819" s="857"/>
      <c r="B819" s="861" t="s">
        <v>4542</v>
      </c>
      <c r="C819" s="861" t="s">
        <v>4543</v>
      </c>
      <c r="D819" s="861" t="s">
        <v>371</v>
      </c>
      <c r="E819" s="861"/>
      <c r="F819" s="862">
        <v>-9.9000000000000005E-2</v>
      </c>
      <c r="G819" s="870" t="s">
        <v>4544</v>
      </c>
      <c r="H819" s="874">
        <v>44097973.060000002</v>
      </c>
      <c r="I819" s="871"/>
      <c r="J819" s="862">
        <v>0.13200000000000001</v>
      </c>
      <c r="K819" s="868">
        <f t="shared" si="70"/>
        <v>381</v>
      </c>
      <c r="L819" s="861"/>
      <c r="M819" s="671">
        <f t="shared" si="71"/>
        <v>817</v>
      </c>
      <c r="N819" s="671" t="str">
        <f t="shared" si="72"/>
        <v>N/A</v>
      </c>
      <c r="O819" s="671">
        <f t="shared" si="73"/>
        <v>391</v>
      </c>
      <c r="P819" s="861"/>
      <c r="Q819" s="861"/>
      <c r="R819" s="861"/>
      <c r="S819" s="861" t="s">
        <v>424</v>
      </c>
      <c r="T819" s="866" t="s">
        <v>4545</v>
      </c>
      <c r="U819" s="865"/>
    </row>
    <row r="820" spans="1:21" ht="15">
      <c r="A820" s="672"/>
      <c r="B820" s="861" t="s">
        <v>4546</v>
      </c>
      <c r="C820" s="861" t="s">
        <v>4547</v>
      </c>
      <c r="D820" s="861" t="s">
        <v>371</v>
      </c>
      <c r="E820" s="861"/>
      <c r="F820" s="862"/>
      <c r="G820" s="869">
        <v>0.13593672800000001</v>
      </c>
      <c r="H820" s="874">
        <v>44057352.520000003</v>
      </c>
      <c r="I820" s="871"/>
      <c r="J820" s="862">
        <v>4.8000000000000001E-2</v>
      </c>
      <c r="K820" s="868">
        <f t="shared" si="70"/>
        <v>316</v>
      </c>
      <c r="L820" s="861"/>
      <c r="M820" s="671">
        <f t="shared" si="71"/>
        <v>818</v>
      </c>
      <c r="N820" s="671" t="str">
        <f t="shared" si="72"/>
        <v>N/A</v>
      </c>
      <c r="O820" s="671">
        <f t="shared" si="73"/>
        <v>607</v>
      </c>
      <c r="P820" s="861" t="s">
        <v>1326</v>
      </c>
      <c r="Q820" s="861" t="s">
        <v>1504</v>
      </c>
      <c r="R820" s="861"/>
      <c r="S820" s="861" t="s">
        <v>4548</v>
      </c>
      <c r="T820" s="866" t="s">
        <v>4549</v>
      </c>
      <c r="U820" s="865"/>
    </row>
    <row r="821" spans="1:21" ht="15">
      <c r="A821" s="857"/>
      <c r="B821" s="861" t="s">
        <v>4550</v>
      </c>
      <c r="C821" s="861" t="s">
        <v>4551</v>
      </c>
      <c r="D821" s="861" t="s">
        <v>371</v>
      </c>
      <c r="E821" s="861"/>
      <c r="F821" s="862"/>
      <c r="G821" s="869">
        <v>0.287694907</v>
      </c>
      <c r="H821" s="874">
        <v>43784400.240000002</v>
      </c>
      <c r="I821" s="872" t="s">
        <v>4552</v>
      </c>
      <c r="J821" s="862">
        <v>4.5999999999999999E-2</v>
      </c>
      <c r="K821" s="868">
        <f t="shared" si="70"/>
        <v>316</v>
      </c>
      <c r="L821" s="861"/>
      <c r="M821" s="671">
        <f t="shared" si="71"/>
        <v>819</v>
      </c>
      <c r="N821" s="671" t="str">
        <f t="shared" si="72"/>
        <v>N/A</v>
      </c>
      <c r="O821" s="671">
        <f t="shared" si="73"/>
        <v>612</v>
      </c>
      <c r="P821" s="861" t="s">
        <v>4413</v>
      </c>
      <c r="Q821" s="861" t="s">
        <v>783</v>
      </c>
      <c r="R821" s="861"/>
      <c r="S821" s="861" t="s">
        <v>790</v>
      </c>
      <c r="T821" s="866" t="s">
        <v>4553</v>
      </c>
      <c r="U821" s="865"/>
    </row>
    <row r="822" spans="1:21" ht="15">
      <c r="A822" s="672"/>
      <c r="B822" s="861" t="s">
        <v>4554</v>
      </c>
      <c r="C822" s="861" t="s">
        <v>4555</v>
      </c>
      <c r="D822" s="861" t="s">
        <v>371</v>
      </c>
      <c r="E822" s="861"/>
      <c r="F822" s="862"/>
      <c r="G822" s="869">
        <v>0</v>
      </c>
      <c r="H822" s="874">
        <v>43229618.049999997</v>
      </c>
      <c r="I822" s="871"/>
      <c r="J822" s="863" t="s">
        <v>4556</v>
      </c>
      <c r="K822" s="868">
        <f t="shared" si="70"/>
        <v>316</v>
      </c>
      <c r="L822" s="863" t="s">
        <v>2330</v>
      </c>
      <c r="M822" s="671">
        <f t="shared" si="71"/>
        <v>820</v>
      </c>
      <c r="N822" s="671" t="str">
        <f t="shared" si="72"/>
        <v>N/A</v>
      </c>
      <c r="O822" s="671" t="str">
        <f t="shared" si="73"/>
        <v>N/A</v>
      </c>
      <c r="P822" s="861" t="s">
        <v>630</v>
      </c>
      <c r="Q822" s="861"/>
      <c r="R822" s="861"/>
      <c r="S822" s="861" t="s">
        <v>1404</v>
      </c>
      <c r="T822" s="866" t="s">
        <v>4557</v>
      </c>
      <c r="U822" s="865"/>
    </row>
    <row r="823" spans="1:21" ht="15">
      <c r="A823" s="857"/>
      <c r="B823" s="861" t="s">
        <v>4558</v>
      </c>
      <c r="C823" s="861" t="s">
        <v>4559</v>
      </c>
      <c r="D823" s="861" t="s">
        <v>371</v>
      </c>
      <c r="E823" s="861"/>
      <c r="F823" s="862"/>
      <c r="G823" s="870" t="s">
        <v>4560</v>
      </c>
      <c r="H823" s="874">
        <v>42451293.189999998</v>
      </c>
      <c r="I823" s="871"/>
      <c r="J823" s="862">
        <v>0.315</v>
      </c>
      <c r="K823" s="868">
        <f t="shared" si="70"/>
        <v>316</v>
      </c>
      <c r="L823" s="861"/>
      <c r="M823" s="671">
        <f t="shared" si="71"/>
        <v>821</v>
      </c>
      <c r="N823" s="671" t="str">
        <f t="shared" si="72"/>
        <v>N/A</v>
      </c>
      <c r="O823" s="671">
        <f t="shared" si="73"/>
        <v>106</v>
      </c>
      <c r="P823" s="861" t="s">
        <v>3023</v>
      </c>
      <c r="Q823" s="861"/>
      <c r="R823" s="861"/>
      <c r="S823" s="861" t="s">
        <v>454</v>
      </c>
      <c r="T823" s="866" t="s">
        <v>4561</v>
      </c>
      <c r="U823" s="865"/>
    </row>
    <row r="824" spans="1:21" ht="15">
      <c r="A824" s="672"/>
      <c r="B824" s="861" t="s">
        <v>4562</v>
      </c>
      <c r="C824" s="861" t="s">
        <v>4563</v>
      </c>
      <c r="D824" s="861" t="s">
        <v>371</v>
      </c>
      <c r="E824" s="861"/>
      <c r="F824" s="862"/>
      <c r="G824" s="869">
        <v>0</v>
      </c>
      <c r="H824" s="874">
        <v>42101952.810000002</v>
      </c>
      <c r="I824" s="871"/>
      <c r="J824" s="862">
        <v>0.23</v>
      </c>
      <c r="K824" s="868">
        <f t="shared" si="70"/>
        <v>316</v>
      </c>
      <c r="L824" s="863" t="s">
        <v>4564</v>
      </c>
      <c r="M824" s="671">
        <f t="shared" si="71"/>
        <v>822</v>
      </c>
      <c r="N824" s="671" t="str">
        <f t="shared" si="72"/>
        <v>N/A</v>
      </c>
      <c r="O824" s="671">
        <f t="shared" si="73"/>
        <v>213</v>
      </c>
      <c r="P824" s="861" t="s">
        <v>4565</v>
      </c>
      <c r="Q824" s="861"/>
      <c r="R824" s="863" t="s">
        <v>4566</v>
      </c>
      <c r="S824" s="861" t="s">
        <v>4567</v>
      </c>
      <c r="T824" s="866" t="s">
        <v>4568</v>
      </c>
      <c r="U824" s="865"/>
    </row>
    <row r="825" spans="1:21" ht="15">
      <c r="A825" s="857"/>
      <c r="B825" s="861" t="s">
        <v>4569</v>
      </c>
      <c r="C825" s="861" t="s">
        <v>4570</v>
      </c>
      <c r="D825" s="861" t="s">
        <v>371</v>
      </c>
      <c r="E825" s="861"/>
      <c r="F825" s="862"/>
      <c r="G825" s="869">
        <v>0.595681083</v>
      </c>
      <c r="H825" s="874">
        <v>41921202.450000003</v>
      </c>
      <c r="I825" s="871"/>
      <c r="J825" s="862">
        <v>0.34799999999999998</v>
      </c>
      <c r="K825" s="868">
        <f t="shared" si="70"/>
        <v>316</v>
      </c>
      <c r="L825" s="861"/>
      <c r="M825" s="671">
        <f t="shared" si="71"/>
        <v>823</v>
      </c>
      <c r="N825" s="671" t="str">
        <f t="shared" si="72"/>
        <v>N/A</v>
      </c>
      <c r="O825" s="671">
        <f t="shared" si="73"/>
        <v>79</v>
      </c>
      <c r="P825" s="861" t="s">
        <v>404</v>
      </c>
      <c r="Q825" s="861"/>
      <c r="R825" s="861"/>
      <c r="S825" s="861" t="s">
        <v>979</v>
      </c>
      <c r="T825" s="866" t="s">
        <v>4571</v>
      </c>
      <c r="U825" s="865"/>
    </row>
    <row r="826" spans="1:21" ht="15">
      <c r="A826" s="672"/>
      <c r="B826" s="861" t="s">
        <v>4572</v>
      </c>
      <c r="C826" s="861" t="s">
        <v>4573</v>
      </c>
      <c r="D826" s="861" t="s">
        <v>371</v>
      </c>
      <c r="E826" s="861"/>
      <c r="F826" s="862"/>
      <c r="G826" s="869">
        <v>1.3450704229999999</v>
      </c>
      <c r="H826" s="874">
        <v>41754670.329999998</v>
      </c>
      <c r="I826" s="872" t="s">
        <v>727</v>
      </c>
      <c r="J826" s="863" t="s">
        <v>4574</v>
      </c>
      <c r="K826" s="868">
        <f t="shared" si="70"/>
        <v>316</v>
      </c>
      <c r="L826" s="861" t="s">
        <v>1319</v>
      </c>
      <c r="M826" s="671">
        <f t="shared" si="71"/>
        <v>824</v>
      </c>
      <c r="N826" s="671" t="str">
        <f t="shared" si="72"/>
        <v>N/A</v>
      </c>
      <c r="O826" s="671" t="str">
        <f t="shared" si="73"/>
        <v>N/A</v>
      </c>
      <c r="P826" s="861" t="s">
        <v>473</v>
      </c>
      <c r="Q826" s="861" t="s">
        <v>1609</v>
      </c>
      <c r="R826" s="861" t="s">
        <v>3211</v>
      </c>
      <c r="S826" s="861" t="s">
        <v>4311</v>
      </c>
      <c r="T826" s="866" t="s">
        <v>4575</v>
      </c>
      <c r="U826" s="865"/>
    </row>
    <row r="827" spans="1:21" ht="15">
      <c r="A827" s="857"/>
      <c r="B827" s="861" t="s">
        <v>4576</v>
      </c>
      <c r="C827" s="861" t="s">
        <v>4577</v>
      </c>
      <c r="D827" s="861" t="s">
        <v>371</v>
      </c>
      <c r="E827" s="861"/>
      <c r="F827" s="862"/>
      <c r="G827" s="870" t="s">
        <v>4578</v>
      </c>
      <c r="H827" s="874">
        <v>41516419.399999999</v>
      </c>
      <c r="I827" s="871">
        <v>63.62</v>
      </c>
      <c r="J827" s="862">
        <v>8.3000000000000004E-2</v>
      </c>
      <c r="K827" s="868">
        <f t="shared" si="70"/>
        <v>316</v>
      </c>
      <c r="L827" s="861"/>
      <c r="M827" s="671">
        <f t="shared" si="71"/>
        <v>825</v>
      </c>
      <c r="N827" s="671">
        <f t="shared" si="72"/>
        <v>62</v>
      </c>
      <c r="O827" s="671">
        <f t="shared" si="73"/>
        <v>537</v>
      </c>
      <c r="P827" s="861" t="s">
        <v>570</v>
      </c>
      <c r="Q827" s="861"/>
      <c r="R827" s="861"/>
      <c r="S827" s="861" t="s">
        <v>1568</v>
      </c>
      <c r="T827" s="866" t="s">
        <v>4579</v>
      </c>
      <c r="U827" s="865"/>
    </row>
    <row r="828" spans="1:21" ht="15">
      <c r="A828" s="672"/>
      <c r="B828" s="861" t="s">
        <v>4580</v>
      </c>
      <c r="C828" s="861" t="s">
        <v>4581</v>
      </c>
      <c r="D828" s="861" t="s">
        <v>371</v>
      </c>
      <c r="E828" s="861"/>
      <c r="F828" s="862"/>
      <c r="G828" s="869" t="e">
        <v>#DIV/0!</v>
      </c>
      <c r="H828" s="874">
        <v>41254979.700000003</v>
      </c>
      <c r="I828" s="871"/>
      <c r="J828" s="863" t="s">
        <v>4582</v>
      </c>
      <c r="K828" s="868">
        <f t="shared" si="70"/>
        <v>316</v>
      </c>
      <c r="L828" s="861"/>
      <c r="M828" s="671">
        <f t="shared" si="71"/>
        <v>826</v>
      </c>
      <c r="N828" s="671" t="str">
        <f t="shared" si="72"/>
        <v>N/A</v>
      </c>
      <c r="O828" s="671" t="str">
        <f t="shared" si="73"/>
        <v>N/A</v>
      </c>
      <c r="P828" s="861" t="s">
        <v>1421</v>
      </c>
      <c r="Q828" s="861" t="s">
        <v>3952</v>
      </c>
      <c r="R828" s="861"/>
      <c r="S828" s="861" t="s">
        <v>2026</v>
      </c>
      <c r="T828" s="866" t="s">
        <v>4583</v>
      </c>
      <c r="U828" s="865"/>
    </row>
    <row r="829" spans="1:21" ht="15">
      <c r="A829" s="857"/>
      <c r="B829" s="861" t="s">
        <v>4584</v>
      </c>
      <c r="C829" s="861" t="s">
        <v>4585</v>
      </c>
      <c r="D829" s="861" t="s">
        <v>371</v>
      </c>
      <c r="E829" s="861"/>
      <c r="F829" s="862"/>
      <c r="G829" s="870" t="s">
        <v>4586</v>
      </c>
      <c r="H829" s="874">
        <v>41254847.240000002</v>
      </c>
      <c r="I829" s="871"/>
      <c r="J829" s="863" t="s">
        <v>3886</v>
      </c>
      <c r="K829" s="868">
        <f t="shared" si="70"/>
        <v>316</v>
      </c>
      <c r="L829" s="861"/>
      <c r="M829" s="671">
        <f t="shared" si="71"/>
        <v>827</v>
      </c>
      <c r="N829" s="671" t="str">
        <f t="shared" si="72"/>
        <v>N/A</v>
      </c>
      <c r="O829" s="671" t="str">
        <f t="shared" si="73"/>
        <v>N/A</v>
      </c>
      <c r="P829" s="861" t="s">
        <v>1307</v>
      </c>
      <c r="Q829" s="861"/>
      <c r="R829" s="861"/>
      <c r="S829" s="861" t="s">
        <v>690</v>
      </c>
      <c r="T829" s="866" t="s">
        <v>4587</v>
      </c>
      <c r="U829" s="865"/>
    </row>
    <row r="830" spans="1:21" ht="15">
      <c r="A830" s="672"/>
      <c r="B830" s="861" t="s">
        <v>4588</v>
      </c>
      <c r="C830" s="861" t="s">
        <v>4589</v>
      </c>
      <c r="D830" s="861" t="s">
        <v>371</v>
      </c>
      <c r="E830" s="861"/>
      <c r="F830" s="862"/>
      <c r="G830" s="870" t="s">
        <v>4590</v>
      </c>
      <c r="H830" s="874">
        <v>41148123.009999998</v>
      </c>
      <c r="I830" s="871"/>
      <c r="J830" s="862">
        <v>0.20200000000000001</v>
      </c>
      <c r="K830" s="868">
        <f t="shared" si="70"/>
        <v>316</v>
      </c>
      <c r="L830" s="861"/>
      <c r="M830" s="671">
        <f t="shared" si="71"/>
        <v>828</v>
      </c>
      <c r="N830" s="671" t="str">
        <f t="shared" si="72"/>
        <v>N/A</v>
      </c>
      <c r="O830" s="671">
        <f t="shared" si="73"/>
        <v>249</v>
      </c>
      <c r="P830" s="861" t="s">
        <v>4591</v>
      </c>
      <c r="Q830" s="861" t="s">
        <v>4592</v>
      </c>
      <c r="R830" s="861"/>
      <c r="S830" s="861" t="s">
        <v>761</v>
      </c>
      <c r="T830" s="866" t="s">
        <v>4593</v>
      </c>
      <c r="U830" s="865"/>
    </row>
    <row r="831" spans="1:21" ht="15">
      <c r="A831" s="857"/>
      <c r="B831" s="861" t="s">
        <v>4594</v>
      </c>
      <c r="C831" s="861" t="s">
        <v>4595</v>
      </c>
      <c r="D831" s="861" t="s">
        <v>371</v>
      </c>
      <c r="E831" s="861"/>
      <c r="F831" s="862"/>
      <c r="G831" s="869">
        <v>0.12804068800000001</v>
      </c>
      <c r="H831" s="874">
        <v>41128917.75</v>
      </c>
      <c r="I831" s="871"/>
      <c r="J831" s="862">
        <v>7.6999999999999999E-2</v>
      </c>
      <c r="K831" s="868">
        <f t="shared" si="70"/>
        <v>316</v>
      </c>
      <c r="L831" s="861"/>
      <c r="M831" s="671">
        <f t="shared" si="71"/>
        <v>829</v>
      </c>
      <c r="N831" s="671" t="str">
        <f t="shared" si="72"/>
        <v>N/A</v>
      </c>
      <c r="O831" s="671">
        <f t="shared" si="73"/>
        <v>548</v>
      </c>
      <c r="P831" s="861"/>
      <c r="Q831" s="861"/>
      <c r="R831" s="861"/>
      <c r="S831" s="861" t="s">
        <v>404</v>
      </c>
      <c r="T831" s="866" t="s">
        <v>4596</v>
      </c>
      <c r="U831" s="865"/>
    </row>
    <row r="832" spans="1:21" ht="15">
      <c r="A832" s="672"/>
      <c r="B832" s="861" t="s">
        <v>4597</v>
      </c>
      <c r="C832" s="861" t="s">
        <v>4598</v>
      </c>
      <c r="D832" s="861" t="s">
        <v>371</v>
      </c>
      <c r="E832" s="861"/>
      <c r="F832" s="862"/>
      <c r="G832" s="869">
        <v>2.1067389639999998</v>
      </c>
      <c r="H832" s="874">
        <v>41060206.25</v>
      </c>
      <c r="I832" s="871"/>
      <c r="J832" s="863" t="s">
        <v>4599</v>
      </c>
      <c r="K832" s="868">
        <f t="shared" si="70"/>
        <v>316</v>
      </c>
      <c r="L832" s="861"/>
      <c r="M832" s="671">
        <f t="shared" si="71"/>
        <v>830</v>
      </c>
      <c r="N832" s="671" t="str">
        <f t="shared" si="72"/>
        <v>N/A</v>
      </c>
      <c r="O832" s="671" t="str">
        <f t="shared" si="73"/>
        <v>N/A</v>
      </c>
      <c r="P832" s="861" t="s">
        <v>4600</v>
      </c>
      <c r="Q832" s="861" t="s">
        <v>4601</v>
      </c>
      <c r="R832" s="861"/>
      <c r="S832" s="861" t="s">
        <v>2096</v>
      </c>
      <c r="T832" s="866" t="s">
        <v>4602</v>
      </c>
      <c r="U832" s="865"/>
    </row>
    <row r="833" spans="1:21" ht="15">
      <c r="A833" s="857"/>
      <c r="B833" s="861" t="s">
        <v>4603</v>
      </c>
      <c r="C833" s="861" t="s">
        <v>4604</v>
      </c>
      <c r="D833" s="861" t="s">
        <v>371</v>
      </c>
      <c r="E833" s="861"/>
      <c r="F833" s="862">
        <v>-0.14399999999999999</v>
      </c>
      <c r="G833" s="870" t="s">
        <v>4605</v>
      </c>
      <c r="H833" s="874">
        <v>40898167.979999997</v>
      </c>
      <c r="I833" s="871">
        <v>29.42</v>
      </c>
      <c r="J833" s="862">
        <v>0.30599999999999999</v>
      </c>
      <c r="K833" s="868">
        <f t="shared" si="70"/>
        <v>398</v>
      </c>
      <c r="L833" s="861"/>
      <c r="M833" s="671">
        <f t="shared" si="71"/>
        <v>831</v>
      </c>
      <c r="N833" s="671">
        <f t="shared" si="72"/>
        <v>146</v>
      </c>
      <c r="O833" s="671">
        <f t="shared" si="73"/>
        <v>120</v>
      </c>
      <c r="P833" s="861"/>
      <c r="Q833" s="861"/>
      <c r="R833" s="861"/>
      <c r="S833" s="861" t="s">
        <v>1421</v>
      </c>
      <c r="T833" s="866" t="s">
        <v>4606</v>
      </c>
      <c r="U833" s="865"/>
    </row>
    <row r="834" spans="1:21" ht="15">
      <c r="A834" s="672"/>
      <c r="B834" s="861" t="s">
        <v>4607</v>
      </c>
      <c r="C834" s="861" t="s">
        <v>4608</v>
      </c>
      <c r="D834" s="861" t="s">
        <v>371</v>
      </c>
      <c r="E834" s="861"/>
      <c r="F834" s="862"/>
      <c r="G834" s="869">
        <v>0</v>
      </c>
      <c r="H834" s="874">
        <v>40856374.859999999</v>
      </c>
      <c r="I834" s="871">
        <v>8.75</v>
      </c>
      <c r="J834" s="863" t="s">
        <v>4609</v>
      </c>
      <c r="K834" s="868">
        <f t="shared" si="70"/>
        <v>316</v>
      </c>
      <c r="L834" s="861" t="s">
        <v>557</v>
      </c>
      <c r="M834" s="671">
        <f t="shared" si="71"/>
        <v>832</v>
      </c>
      <c r="N834" s="671">
        <f t="shared" si="72"/>
        <v>237</v>
      </c>
      <c r="O834" s="671" t="str">
        <f t="shared" si="73"/>
        <v>N/A</v>
      </c>
      <c r="P834" s="861" t="s">
        <v>2421</v>
      </c>
      <c r="Q834" s="861" t="s">
        <v>4610</v>
      </c>
      <c r="R834" s="861" t="s">
        <v>1497</v>
      </c>
      <c r="S834" s="861" t="s">
        <v>3364</v>
      </c>
      <c r="T834" s="866" t="s">
        <v>4611</v>
      </c>
      <c r="U834" s="865"/>
    </row>
    <row r="835" spans="1:21" ht="15">
      <c r="A835" s="857"/>
      <c r="B835" s="861" t="s">
        <v>4612</v>
      </c>
      <c r="C835" s="861" t="s">
        <v>4613</v>
      </c>
      <c r="D835" s="861" t="s">
        <v>371</v>
      </c>
      <c r="E835" s="861"/>
      <c r="F835" s="862"/>
      <c r="G835" s="870" t="s">
        <v>4614</v>
      </c>
      <c r="H835" s="874">
        <v>40807312.670000002</v>
      </c>
      <c r="I835" s="871"/>
      <c r="J835" s="862">
        <v>3.7999999999999999E-2</v>
      </c>
      <c r="K835" s="868">
        <f t="shared" si="70"/>
        <v>316</v>
      </c>
      <c r="L835" s="861" t="s">
        <v>1497</v>
      </c>
      <c r="M835" s="671">
        <f t="shared" si="71"/>
        <v>833</v>
      </c>
      <c r="N835" s="671" t="str">
        <f t="shared" si="72"/>
        <v>N/A</v>
      </c>
      <c r="O835" s="671">
        <f t="shared" si="73"/>
        <v>634</v>
      </c>
      <c r="P835" s="861" t="s">
        <v>1311</v>
      </c>
      <c r="Q835" s="861" t="s">
        <v>4615</v>
      </c>
      <c r="R835" s="861" t="s">
        <v>557</v>
      </c>
      <c r="S835" s="861" t="s">
        <v>4616</v>
      </c>
      <c r="T835" s="866" t="s">
        <v>4617</v>
      </c>
      <c r="U835" s="865"/>
    </row>
    <row r="836" spans="1:21" ht="15">
      <c r="A836" s="672"/>
      <c r="B836" s="861" t="s">
        <v>4618</v>
      </c>
      <c r="C836" s="861" t="s">
        <v>4619</v>
      </c>
      <c r="D836" s="861" t="s">
        <v>371</v>
      </c>
      <c r="E836" s="861"/>
      <c r="F836" s="862"/>
      <c r="G836" s="869">
        <v>1.24143209</v>
      </c>
      <c r="H836" s="874">
        <v>40798536.380000003</v>
      </c>
      <c r="I836" s="871"/>
      <c r="J836" s="861"/>
      <c r="K836" s="868">
        <f t="shared" ref="K836:K899" si="74">IFERROR(_xlfn.RANK.EQ(F836,F$3:F$1770),"N/A")</f>
        <v>316</v>
      </c>
      <c r="L836" s="861" t="s">
        <v>718</v>
      </c>
      <c r="M836" s="671">
        <f t="shared" ref="M836:M899" si="75">IFERROR(_xlfn.RANK.EQ(H836,H$3:H$1770),"N/A")</f>
        <v>834</v>
      </c>
      <c r="N836" s="671" t="str">
        <f t="shared" ref="N836:N899" si="76">IFERROR(_xlfn.RANK.EQ(I836,I$3:I$1770),"N/A")</f>
        <v>N/A</v>
      </c>
      <c r="O836" s="671">
        <f t="shared" ref="O836:O899" si="77">IFERROR(_xlfn.RANK.EQ(J836,J$3:J$1770),"N/A")</f>
        <v>708</v>
      </c>
      <c r="P836" s="861" t="s">
        <v>4620</v>
      </c>
      <c r="Q836" s="861" t="s">
        <v>4621</v>
      </c>
      <c r="R836" s="861" t="s">
        <v>557</v>
      </c>
      <c r="S836" s="861" t="s">
        <v>4622</v>
      </c>
      <c r="T836" s="866" t="s">
        <v>4623</v>
      </c>
      <c r="U836" s="865"/>
    </row>
    <row r="837" spans="1:21" ht="15">
      <c r="A837" s="857"/>
      <c r="B837" s="861" t="s">
        <v>4624</v>
      </c>
      <c r="C837" s="861" t="s">
        <v>4625</v>
      </c>
      <c r="D837" s="861" t="s">
        <v>371</v>
      </c>
      <c r="E837" s="861"/>
      <c r="F837" s="862">
        <v>7.6999999999999999E-2</v>
      </c>
      <c r="G837" s="869">
        <v>0</v>
      </c>
      <c r="H837" s="874">
        <v>40505586.140000001</v>
      </c>
      <c r="I837" s="871"/>
      <c r="J837" s="863"/>
      <c r="K837" s="868">
        <f t="shared" si="74"/>
        <v>218</v>
      </c>
      <c r="L837" s="861"/>
      <c r="M837" s="671">
        <f t="shared" si="75"/>
        <v>835</v>
      </c>
      <c r="N837" s="671" t="str">
        <f t="shared" si="76"/>
        <v>N/A</v>
      </c>
      <c r="O837" s="671">
        <f t="shared" si="77"/>
        <v>708</v>
      </c>
      <c r="P837" s="861" t="s">
        <v>4626</v>
      </c>
      <c r="Q837" s="861"/>
      <c r="R837" s="861"/>
      <c r="S837" s="861" t="s">
        <v>4627</v>
      </c>
      <c r="T837" s="866" t="s">
        <v>4628</v>
      </c>
      <c r="U837" s="865"/>
    </row>
    <row r="838" spans="1:21" ht="15">
      <c r="A838" s="672"/>
      <c r="B838" s="861" t="s">
        <v>4629</v>
      </c>
      <c r="C838" s="861" t="s">
        <v>4630</v>
      </c>
      <c r="D838" s="861" t="s">
        <v>371</v>
      </c>
      <c r="E838" s="861"/>
      <c r="F838" s="862"/>
      <c r="G838" s="869">
        <v>0</v>
      </c>
      <c r="H838" s="874">
        <v>40461353.119999997</v>
      </c>
      <c r="I838" s="871">
        <v>134.55000000000001</v>
      </c>
      <c r="J838" s="863" t="s">
        <v>4631</v>
      </c>
      <c r="K838" s="868">
        <f t="shared" si="74"/>
        <v>316</v>
      </c>
      <c r="L838" s="861"/>
      <c r="M838" s="671">
        <f t="shared" si="75"/>
        <v>836</v>
      </c>
      <c r="N838" s="671">
        <f t="shared" si="76"/>
        <v>18</v>
      </c>
      <c r="O838" s="671" t="str">
        <f t="shared" si="77"/>
        <v>N/A</v>
      </c>
      <c r="P838" s="861" t="s">
        <v>2821</v>
      </c>
      <c r="Q838" s="861"/>
      <c r="R838" s="863" t="s">
        <v>4632</v>
      </c>
      <c r="S838" s="861" t="s">
        <v>1469</v>
      </c>
      <c r="T838" s="866" t="s">
        <v>4633</v>
      </c>
      <c r="U838" s="865"/>
    </row>
    <row r="839" spans="1:21" ht="15">
      <c r="A839" s="857"/>
      <c r="B839" s="861" t="s">
        <v>4634</v>
      </c>
      <c r="C839" s="861" t="s">
        <v>4635</v>
      </c>
      <c r="D839" s="861" t="s">
        <v>371</v>
      </c>
      <c r="E839" s="861"/>
      <c r="F839" s="862">
        <v>-0.27500000000000002</v>
      </c>
      <c r="G839" s="869">
        <v>0</v>
      </c>
      <c r="H839" s="874">
        <v>40385241.049999997</v>
      </c>
      <c r="I839" s="871"/>
      <c r="J839" s="862">
        <v>7.1999999999999995E-2</v>
      </c>
      <c r="K839" s="868">
        <f t="shared" si="74"/>
        <v>440</v>
      </c>
      <c r="L839" s="861"/>
      <c r="M839" s="671">
        <f t="shared" si="75"/>
        <v>837</v>
      </c>
      <c r="N839" s="671" t="str">
        <f t="shared" si="76"/>
        <v>N/A</v>
      </c>
      <c r="O839" s="671">
        <f t="shared" si="77"/>
        <v>558</v>
      </c>
      <c r="P839" s="861" t="s">
        <v>4636</v>
      </c>
      <c r="Q839" s="861"/>
      <c r="R839" s="861"/>
      <c r="S839" s="861" t="s">
        <v>4637</v>
      </c>
      <c r="T839" s="866" t="s">
        <v>4638</v>
      </c>
      <c r="U839" s="865"/>
    </row>
    <row r="840" spans="1:21" ht="15">
      <c r="A840" s="672"/>
      <c r="B840" s="861" t="s">
        <v>4639</v>
      </c>
      <c r="C840" s="861" t="s">
        <v>4640</v>
      </c>
      <c r="D840" s="861" t="s">
        <v>371</v>
      </c>
      <c r="E840" s="861"/>
      <c r="F840" s="862"/>
      <c r="G840" s="869">
        <v>1.1807038249999999</v>
      </c>
      <c r="H840" s="874">
        <v>39855031.719999999</v>
      </c>
      <c r="I840" s="871"/>
      <c r="J840" s="862">
        <v>0.104</v>
      </c>
      <c r="K840" s="868">
        <f t="shared" si="74"/>
        <v>316</v>
      </c>
      <c r="L840" s="861"/>
      <c r="M840" s="671">
        <f t="shared" si="75"/>
        <v>838</v>
      </c>
      <c r="N840" s="671" t="str">
        <f t="shared" si="76"/>
        <v>N/A</v>
      </c>
      <c r="O840" s="671">
        <f t="shared" si="77"/>
        <v>475</v>
      </c>
      <c r="P840" s="861" t="s">
        <v>3159</v>
      </c>
      <c r="Q840" s="861" t="s">
        <v>631</v>
      </c>
      <c r="R840" s="861"/>
      <c r="S840" s="861" t="s">
        <v>3220</v>
      </c>
      <c r="T840" s="866" t="s">
        <v>4641</v>
      </c>
      <c r="U840" s="865"/>
    </row>
    <row r="841" spans="1:21" ht="15">
      <c r="A841" s="857"/>
      <c r="B841" s="861" t="s">
        <v>4642</v>
      </c>
      <c r="C841" s="861" t="s">
        <v>4643</v>
      </c>
      <c r="D841" s="861" t="s">
        <v>371</v>
      </c>
      <c r="E841" s="861"/>
      <c r="F841" s="862"/>
      <c r="G841" s="869">
        <v>0.25621464599999999</v>
      </c>
      <c r="H841" s="874">
        <v>39830362.850000001</v>
      </c>
      <c r="I841" s="871"/>
      <c r="J841" s="862">
        <v>0.11899999999999999</v>
      </c>
      <c r="K841" s="868">
        <f t="shared" si="74"/>
        <v>316</v>
      </c>
      <c r="L841" s="861" t="s">
        <v>1860</v>
      </c>
      <c r="M841" s="671">
        <f t="shared" si="75"/>
        <v>839</v>
      </c>
      <c r="N841" s="671" t="str">
        <f t="shared" si="76"/>
        <v>N/A</v>
      </c>
      <c r="O841" s="671">
        <f t="shared" si="77"/>
        <v>432</v>
      </c>
      <c r="P841" s="861" t="s">
        <v>390</v>
      </c>
      <c r="Q841" s="861" t="s">
        <v>2105</v>
      </c>
      <c r="R841" s="861" t="s">
        <v>2972</v>
      </c>
      <c r="S841" s="861" t="s">
        <v>4644</v>
      </c>
      <c r="T841" s="866" t="s">
        <v>4645</v>
      </c>
      <c r="U841" s="865"/>
    </row>
    <row r="842" spans="1:21" ht="15">
      <c r="A842" s="672"/>
      <c r="B842" s="861" t="s">
        <v>4646</v>
      </c>
      <c r="C842" s="861" t="s">
        <v>4647</v>
      </c>
      <c r="D842" s="861" t="s">
        <v>371</v>
      </c>
      <c r="E842" s="861"/>
      <c r="F842" s="862"/>
      <c r="G842" s="869">
        <v>0.47520729900000003</v>
      </c>
      <c r="H842" s="874">
        <v>39170542.719999999</v>
      </c>
      <c r="I842" s="871"/>
      <c r="J842" s="862">
        <v>0.21</v>
      </c>
      <c r="K842" s="868">
        <f t="shared" si="74"/>
        <v>316</v>
      </c>
      <c r="L842" s="861"/>
      <c r="M842" s="671">
        <f t="shared" si="75"/>
        <v>840</v>
      </c>
      <c r="N842" s="671" t="str">
        <f t="shared" si="76"/>
        <v>N/A</v>
      </c>
      <c r="O842" s="671">
        <f t="shared" si="77"/>
        <v>238</v>
      </c>
      <c r="P842" s="861"/>
      <c r="Q842" s="861"/>
      <c r="R842" s="861"/>
      <c r="S842" s="861" t="s">
        <v>424</v>
      </c>
      <c r="T842" s="866" t="s">
        <v>4648</v>
      </c>
      <c r="U842" s="865"/>
    </row>
    <row r="843" spans="1:21" ht="15">
      <c r="A843" s="857"/>
      <c r="B843" s="861" t="s">
        <v>4649</v>
      </c>
      <c r="C843" s="861" t="s">
        <v>4650</v>
      </c>
      <c r="D843" s="861" t="s">
        <v>371</v>
      </c>
      <c r="E843" s="861"/>
      <c r="F843" s="862"/>
      <c r="G843" s="869">
        <v>0.51142542499999999</v>
      </c>
      <c r="H843" s="874">
        <v>39123318.100000001</v>
      </c>
      <c r="I843" s="871"/>
      <c r="J843" s="862">
        <v>0.122</v>
      </c>
      <c r="K843" s="868">
        <f t="shared" si="74"/>
        <v>316</v>
      </c>
      <c r="L843" s="861"/>
      <c r="M843" s="671">
        <f t="shared" si="75"/>
        <v>841</v>
      </c>
      <c r="N843" s="671" t="str">
        <f t="shared" si="76"/>
        <v>N/A</v>
      </c>
      <c r="O843" s="671">
        <f t="shared" si="77"/>
        <v>421</v>
      </c>
      <c r="P843" s="861" t="s">
        <v>3186</v>
      </c>
      <c r="Q843" s="861" t="s">
        <v>4651</v>
      </c>
      <c r="R843" s="861"/>
      <c r="S843" s="861" t="s">
        <v>1659</v>
      </c>
      <c r="T843" s="866" t="s">
        <v>4652</v>
      </c>
      <c r="U843" s="865"/>
    </row>
    <row r="844" spans="1:21" ht="15">
      <c r="A844" s="672"/>
      <c r="B844" s="861" t="s">
        <v>4653</v>
      </c>
      <c r="C844" s="861" t="s">
        <v>4654</v>
      </c>
      <c r="D844" s="861" t="s">
        <v>371</v>
      </c>
      <c r="E844" s="861"/>
      <c r="F844" s="862">
        <v>0.27300000000000002</v>
      </c>
      <c r="G844" s="870" t="s">
        <v>4655</v>
      </c>
      <c r="H844" s="874">
        <v>39102000.299999997</v>
      </c>
      <c r="I844" s="871">
        <v>118.17</v>
      </c>
      <c r="J844" s="863" t="s">
        <v>600</v>
      </c>
      <c r="K844" s="868">
        <f t="shared" si="74"/>
        <v>62</v>
      </c>
      <c r="L844" s="861"/>
      <c r="M844" s="671">
        <f t="shared" si="75"/>
        <v>842</v>
      </c>
      <c r="N844" s="671">
        <f t="shared" si="76"/>
        <v>20</v>
      </c>
      <c r="O844" s="671" t="str">
        <f t="shared" si="77"/>
        <v>N/A</v>
      </c>
      <c r="P844" s="861" t="s">
        <v>1165</v>
      </c>
      <c r="Q844" s="861"/>
      <c r="R844" s="861"/>
      <c r="S844" s="861" t="s">
        <v>506</v>
      </c>
      <c r="T844" s="866" t="s">
        <v>4656</v>
      </c>
      <c r="U844" s="865"/>
    </row>
    <row r="845" spans="1:21" ht="15">
      <c r="A845" s="857"/>
      <c r="B845" s="861" t="s">
        <v>4657</v>
      </c>
      <c r="C845" s="861" t="s">
        <v>4658</v>
      </c>
      <c r="D845" s="861" t="s">
        <v>371</v>
      </c>
      <c r="E845" s="861"/>
      <c r="F845" s="862">
        <v>-0.249</v>
      </c>
      <c r="G845" s="870" t="s">
        <v>4659</v>
      </c>
      <c r="H845" s="874">
        <v>38984692.149999999</v>
      </c>
      <c r="I845" s="871"/>
      <c r="J845" s="863" t="s">
        <v>2482</v>
      </c>
      <c r="K845" s="868">
        <f t="shared" si="74"/>
        <v>433</v>
      </c>
      <c r="L845" s="861"/>
      <c r="M845" s="671">
        <f t="shared" si="75"/>
        <v>843</v>
      </c>
      <c r="N845" s="671" t="str">
        <f t="shared" si="76"/>
        <v>N/A</v>
      </c>
      <c r="O845" s="671" t="str">
        <f t="shared" si="77"/>
        <v>N/A</v>
      </c>
      <c r="P845" s="861" t="s">
        <v>698</v>
      </c>
      <c r="Q845" s="861"/>
      <c r="R845" s="861"/>
      <c r="S845" s="861" t="s">
        <v>2780</v>
      </c>
      <c r="T845" s="866" t="s">
        <v>4660</v>
      </c>
      <c r="U845" s="865"/>
    </row>
    <row r="846" spans="1:21" ht="15">
      <c r="A846" s="672"/>
      <c r="B846" s="861" t="s">
        <v>4661</v>
      </c>
      <c r="C846" s="861" t="s">
        <v>4662</v>
      </c>
      <c r="D846" s="861" t="s">
        <v>371</v>
      </c>
      <c r="E846" s="861"/>
      <c r="F846" s="862"/>
      <c r="G846" s="869">
        <v>0</v>
      </c>
      <c r="H846" s="874">
        <v>38948765.189999998</v>
      </c>
      <c r="I846" s="871"/>
      <c r="J846" s="862">
        <v>0.214</v>
      </c>
      <c r="K846" s="868">
        <f t="shared" si="74"/>
        <v>316</v>
      </c>
      <c r="L846" s="863" t="s">
        <v>2330</v>
      </c>
      <c r="M846" s="671">
        <f t="shared" si="75"/>
        <v>844</v>
      </c>
      <c r="N846" s="671" t="str">
        <f t="shared" si="76"/>
        <v>N/A</v>
      </c>
      <c r="O846" s="671">
        <f t="shared" si="77"/>
        <v>231</v>
      </c>
      <c r="P846" s="861" t="s">
        <v>4663</v>
      </c>
      <c r="Q846" s="861"/>
      <c r="R846" s="863" t="s">
        <v>3167</v>
      </c>
      <c r="S846" s="861" t="s">
        <v>2354</v>
      </c>
      <c r="T846" s="866" t="s">
        <v>4664</v>
      </c>
      <c r="U846" s="865"/>
    </row>
    <row r="847" spans="1:21" ht="15">
      <c r="A847" s="857"/>
      <c r="B847" s="861" t="s">
        <v>4665</v>
      </c>
      <c r="C847" s="861" t="s">
        <v>4666</v>
      </c>
      <c r="D847" s="861" t="s">
        <v>371</v>
      </c>
      <c r="E847" s="861"/>
      <c r="F847" s="862"/>
      <c r="G847" s="869">
        <v>0</v>
      </c>
      <c r="H847" s="874">
        <v>38860022.850000001</v>
      </c>
      <c r="I847" s="871"/>
      <c r="J847" s="863" t="s">
        <v>4667</v>
      </c>
      <c r="K847" s="868">
        <f t="shared" si="74"/>
        <v>316</v>
      </c>
      <c r="L847" s="861"/>
      <c r="M847" s="671">
        <f t="shared" si="75"/>
        <v>845</v>
      </c>
      <c r="N847" s="671" t="str">
        <f t="shared" si="76"/>
        <v>N/A</v>
      </c>
      <c r="O847" s="671" t="str">
        <f t="shared" si="77"/>
        <v>N/A</v>
      </c>
      <c r="P847" s="861" t="s">
        <v>979</v>
      </c>
      <c r="Q847" s="861"/>
      <c r="R847" s="861"/>
      <c r="S847" s="861" t="s">
        <v>1521</v>
      </c>
      <c r="T847" s="866" t="s">
        <v>4668</v>
      </c>
      <c r="U847" s="865"/>
    </row>
    <row r="848" spans="1:21" ht="15">
      <c r="A848" s="672"/>
      <c r="B848" s="861" t="s">
        <v>4669</v>
      </c>
      <c r="C848" s="861" t="s">
        <v>4670</v>
      </c>
      <c r="D848" s="861" t="s">
        <v>371</v>
      </c>
      <c r="E848" s="861"/>
      <c r="F848" s="862"/>
      <c r="G848" s="869">
        <v>0</v>
      </c>
      <c r="H848" s="874">
        <v>38672360.93</v>
      </c>
      <c r="I848" s="871"/>
      <c r="J848" s="861"/>
      <c r="K848" s="868">
        <f t="shared" si="74"/>
        <v>316</v>
      </c>
      <c r="L848" s="861"/>
      <c r="M848" s="671">
        <f t="shared" si="75"/>
        <v>846</v>
      </c>
      <c r="N848" s="671" t="str">
        <f t="shared" si="76"/>
        <v>N/A</v>
      </c>
      <c r="O848" s="671">
        <f t="shared" si="77"/>
        <v>708</v>
      </c>
      <c r="P848" s="861" t="s">
        <v>1386</v>
      </c>
      <c r="Q848" s="861"/>
      <c r="R848" s="863" t="s">
        <v>1995</v>
      </c>
      <c r="S848" s="861" t="s">
        <v>4627</v>
      </c>
      <c r="T848" s="866" t="s">
        <v>4671</v>
      </c>
      <c r="U848" s="865"/>
    </row>
    <row r="849" spans="1:21" ht="15">
      <c r="A849" s="857"/>
      <c r="B849" s="861" t="s">
        <v>4672</v>
      </c>
      <c r="C849" s="861" t="s">
        <v>4673</v>
      </c>
      <c r="D849" s="861" t="s">
        <v>371</v>
      </c>
      <c r="E849" s="861"/>
      <c r="F849" s="862">
        <v>1.7000000000000001E-2</v>
      </c>
      <c r="G849" s="869" t="e">
        <v>#DIV/0!</v>
      </c>
      <c r="H849" s="874">
        <v>38438220.979999997</v>
      </c>
      <c r="I849" s="871"/>
      <c r="J849" s="862">
        <v>0.105</v>
      </c>
      <c r="K849" s="868">
        <f t="shared" si="74"/>
        <v>304</v>
      </c>
      <c r="L849" s="861"/>
      <c r="M849" s="671">
        <f t="shared" si="75"/>
        <v>847</v>
      </c>
      <c r="N849" s="671" t="str">
        <f t="shared" si="76"/>
        <v>N/A</v>
      </c>
      <c r="O849" s="671">
        <f t="shared" si="77"/>
        <v>472</v>
      </c>
      <c r="P849" s="861" t="s">
        <v>3535</v>
      </c>
      <c r="Q849" s="861"/>
      <c r="R849" s="861"/>
      <c r="S849" s="861" t="s">
        <v>734</v>
      </c>
      <c r="T849" s="866" t="s">
        <v>4674</v>
      </c>
      <c r="U849" s="865"/>
    </row>
    <row r="850" spans="1:21" ht="15">
      <c r="A850" s="672"/>
      <c r="B850" s="861" t="s">
        <v>4675</v>
      </c>
      <c r="C850" s="861" t="s">
        <v>4676</v>
      </c>
      <c r="D850" s="861" t="s">
        <v>371</v>
      </c>
      <c r="E850" s="861"/>
      <c r="F850" s="862">
        <v>-6.0000000000000001E-3</v>
      </c>
      <c r="G850" s="869">
        <v>2.8042488620000001</v>
      </c>
      <c r="H850" s="874">
        <v>38309874.219999999</v>
      </c>
      <c r="I850" s="871"/>
      <c r="J850" s="863" t="s">
        <v>4677</v>
      </c>
      <c r="K850" s="868">
        <f t="shared" si="74"/>
        <v>319</v>
      </c>
      <c r="L850" s="861"/>
      <c r="M850" s="671">
        <f t="shared" si="75"/>
        <v>848</v>
      </c>
      <c r="N850" s="671" t="str">
        <f t="shared" si="76"/>
        <v>N/A</v>
      </c>
      <c r="O850" s="671" t="str">
        <f t="shared" si="77"/>
        <v>N/A</v>
      </c>
      <c r="P850" s="861" t="s">
        <v>3520</v>
      </c>
      <c r="Q850" s="861" t="s">
        <v>4678</v>
      </c>
      <c r="R850" s="861"/>
      <c r="S850" s="861" t="s">
        <v>633</v>
      </c>
      <c r="T850" s="866" t="s">
        <v>4679</v>
      </c>
      <c r="U850" s="865"/>
    </row>
    <row r="851" spans="1:21" ht="15">
      <c r="A851" s="857"/>
      <c r="B851" s="861" t="s">
        <v>4680</v>
      </c>
      <c r="C851" s="861" t="s">
        <v>4681</v>
      </c>
      <c r="D851" s="861" t="s">
        <v>371</v>
      </c>
      <c r="E851" s="861"/>
      <c r="F851" s="862"/>
      <c r="G851" s="870" t="s">
        <v>4682</v>
      </c>
      <c r="H851" s="874">
        <v>38188829.079999998</v>
      </c>
      <c r="I851" s="871"/>
      <c r="J851" s="862">
        <v>0.28399999999999997</v>
      </c>
      <c r="K851" s="868">
        <f t="shared" si="74"/>
        <v>316</v>
      </c>
      <c r="L851" s="861"/>
      <c r="M851" s="671">
        <f t="shared" si="75"/>
        <v>849</v>
      </c>
      <c r="N851" s="671" t="str">
        <f t="shared" si="76"/>
        <v>N/A</v>
      </c>
      <c r="O851" s="671">
        <f t="shared" si="77"/>
        <v>144</v>
      </c>
      <c r="P851" s="861"/>
      <c r="Q851" s="861"/>
      <c r="R851" s="861"/>
      <c r="S851" s="861" t="s">
        <v>404</v>
      </c>
      <c r="T851" s="866" t="s">
        <v>4683</v>
      </c>
      <c r="U851" s="865"/>
    </row>
    <row r="852" spans="1:21" ht="15">
      <c r="A852" s="672"/>
      <c r="B852" s="861" t="s">
        <v>4684</v>
      </c>
      <c r="C852" s="861" t="s">
        <v>4685</v>
      </c>
      <c r="D852" s="861" t="s">
        <v>371</v>
      </c>
      <c r="E852" s="861"/>
      <c r="F852" s="862"/>
      <c r="G852" s="869">
        <v>5.390532876</v>
      </c>
      <c r="H852" s="874">
        <v>38136432.390000001</v>
      </c>
      <c r="I852" s="871"/>
      <c r="J852" s="863" t="s">
        <v>4686</v>
      </c>
      <c r="K852" s="868">
        <f t="shared" si="74"/>
        <v>316</v>
      </c>
      <c r="L852" s="861"/>
      <c r="M852" s="671">
        <f t="shared" si="75"/>
        <v>850</v>
      </c>
      <c r="N852" s="671" t="str">
        <f t="shared" si="76"/>
        <v>N/A</v>
      </c>
      <c r="O852" s="671" t="str">
        <f t="shared" si="77"/>
        <v>N/A</v>
      </c>
      <c r="P852" s="861"/>
      <c r="Q852" s="861"/>
      <c r="R852" s="861"/>
      <c r="S852" s="861" t="s">
        <v>4687</v>
      </c>
      <c r="T852" s="866" t="s">
        <v>4688</v>
      </c>
      <c r="U852" s="865"/>
    </row>
    <row r="853" spans="1:21" ht="15">
      <c r="A853" s="857"/>
      <c r="B853" s="861" t="s">
        <v>4689</v>
      </c>
      <c r="C853" s="861" t="s">
        <v>4690</v>
      </c>
      <c r="D853" s="861" t="s">
        <v>371</v>
      </c>
      <c r="E853" s="861"/>
      <c r="F853" s="862"/>
      <c r="G853" s="870" t="s">
        <v>4691</v>
      </c>
      <c r="H853" s="874">
        <v>37940349.469999999</v>
      </c>
      <c r="I853" s="871"/>
      <c r="J853" s="862">
        <v>7.3999999999999996E-2</v>
      </c>
      <c r="K853" s="868">
        <f t="shared" si="74"/>
        <v>316</v>
      </c>
      <c r="L853" s="861" t="s">
        <v>434</v>
      </c>
      <c r="M853" s="671">
        <f t="shared" si="75"/>
        <v>851</v>
      </c>
      <c r="N853" s="671" t="str">
        <f t="shared" si="76"/>
        <v>N/A</v>
      </c>
      <c r="O853" s="671">
        <f t="shared" si="77"/>
        <v>553</v>
      </c>
      <c r="P853" s="861" t="s">
        <v>4692</v>
      </c>
      <c r="Q853" s="861" t="s">
        <v>4693</v>
      </c>
      <c r="R853" s="861" t="s">
        <v>819</v>
      </c>
      <c r="S853" s="861" t="s">
        <v>4694</v>
      </c>
      <c r="T853" s="866" t="s">
        <v>4695</v>
      </c>
      <c r="U853" s="865"/>
    </row>
    <row r="854" spans="1:21" ht="15">
      <c r="A854" s="672"/>
      <c r="B854" s="861" t="s">
        <v>4696</v>
      </c>
      <c r="C854" s="861" t="s">
        <v>4697</v>
      </c>
      <c r="D854" s="861" t="s">
        <v>371</v>
      </c>
      <c r="E854" s="861"/>
      <c r="F854" s="862"/>
      <c r="G854" s="869">
        <v>0.49622569399999999</v>
      </c>
      <c r="H854" s="874">
        <v>37809921.93</v>
      </c>
      <c r="I854" s="871"/>
      <c r="J854" s="862">
        <v>0.13</v>
      </c>
      <c r="K854" s="868">
        <f t="shared" si="74"/>
        <v>316</v>
      </c>
      <c r="L854" s="861"/>
      <c r="M854" s="671">
        <f t="shared" si="75"/>
        <v>852</v>
      </c>
      <c r="N854" s="671" t="str">
        <f t="shared" si="76"/>
        <v>N/A</v>
      </c>
      <c r="O854" s="671">
        <f t="shared" si="77"/>
        <v>398</v>
      </c>
      <c r="P854" s="861" t="s">
        <v>4698</v>
      </c>
      <c r="Q854" s="861"/>
      <c r="R854" s="861"/>
      <c r="S854" s="861" t="s">
        <v>1440</v>
      </c>
      <c r="T854" s="866" t="s">
        <v>4699</v>
      </c>
      <c r="U854" s="865"/>
    </row>
    <row r="855" spans="1:21" ht="15">
      <c r="A855" s="857"/>
      <c r="B855" s="861" t="s">
        <v>4700</v>
      </c>
      <c r="C855" s="861" t="s">
        <v>4701</v>
      </c>
      <c r="D855" s="861" t="s">
        <v>371</v>
      </c>
      <c r="E855" s="861"/>
      <c r="F855" s="862"/>
      <c r="G855" s="869">
        <v>1.620666395</v>
      </c>
      <c r="H855" s="874">
        <v>37788511.299999997</v>
      </c>
      <c r="I855" s="871">
        <v>24.8</v>
      </c>
      <c r="J855" s="862">
        <v>0.104</v>
      </c>
      <c r="K855" s="868">
        <f t="shared" si="74"/>
        <v>316</v>
      </c>
      <c r="L855" s="861"/>
      <c r="M855" s="671">
        <f t="shared" si="75"/>
        <v>853</v>
      </c>
      <c r="N855" s="671">
        <f t="shared" si="76"/>
        <v>162</v>
      </c>
      <c r="O855" s="671">
        <f t="shared" si="77"/>
        <v>475</v>
      </c>
      <c r="P855" s="861" t="s">
        <v>2492</v>
      </c>
      <c r="Q855" s="861"/>
      <c r="R855" s="861"/>
      <c r="S855" s="861" t="s">
        <v>404</v>
      </c>
      <c r="T855" s="866" t="s">
        <v>4702</v>
      </c>
      <c r="U855" s="865"/>
    </row>
    <row r="856" spans="1:21" ht="15">
      <c r="A856" s="672"/>
      <c r="B856" s="861" t="s">
        <v>4703</v>
      </c>
      <c r="C856" s="861" t="s">
        <v>4704</v>
      </c>
      <c r="D856" s="861" t="s">
        <v>371</v>
      </c>
      <c r="E856" s="861"/>
      <c r="F856" s="862"/>
      <c r="G856" s="869">
        <v>0</v>
      </c>
      <c r="H856" s="874">
        <v>37673646.960000001</v>
      </c>
      <c r="I856" s="871"/>
      <c r="J856" s="862">
        <v>0.11600000000000001</v>
      </c>
      <c r="K856" s="868">
        <f t="shared" si="74"/>
        <v>316</v>
      </c>
      <c r="L856" s="861"/>
      <c r="M856" s="671">
        <f t="shared" si="75"/>
        <v>854</v>
      </c>
      <c r="N856" s="671" t="str">
        <f t="shared" si="76"/>
        <v>N/A</v>
      </c>
      <c r="O856" s="671">
        <f t="shared" si="77"/>
        <v>442</v>
      </c>
      <c r="P856" s="861" t="s">
        <v>4237</v>
      </c>
      <c r="Q856" s="861"/>
      <c r="R856" s="861"/>
      <c r="S856" s="861" t="s">
        <v>3916</v>
      </c>
      <c r="T856" s="866" t="s">
        <v>4705</v>
      </c>
      <c r="U856" s="865"/>
    </row>
    <row r="857" spans="1:21" ht="15">
      <c r="A857" s="857"/>
      <c r="B857" s="861" t="s">
        <v>4706</v>
      </c>
      <c r="C857" s="861" t="s">
        <v>4707</v>
      </c>
      <c r="D857" s="861" t="s">
        <v>371</v>
      </c>
      <c r="E857" s="861"/>
      <c r="F857" s="862"/>
      <c r="G857" s="869">
        <v>0.38559428600000001</v>
      </c>
      <c r="H857" s="874">
        <v>37555296.030000001</v>
      </c>
      <c r="I857" s="871"/>
      <c r="J857" s="863" t="s">
        <v>3059</v>
      </c>
      <c r="K857" s="868">
        <f t="shared" si="74"/>
        <v>316</v>
      </c>
      <c r="L857" s="863" t="s">
        <v>4708</v>
      </c>
      <c r="M857" s="671">
        <f t="shared" si="75"/>
        <v>855</v>
      </c>
      <c r="N857" s="671" t="str">
        <f t="shared" si="76"/>
        <v>N/A</v>
      </c>
      <c r="O857" s="671" t="str">
        <f t="shared" si="77"/>
        <v>N/A</v>
      </c>
      <c r="P857" s="861" t="s">
        <v>4709</v>
      </c>
      <c r="Q857" s="861"/>
      <c r="R857" s="861"/>
      <c r="S857" s="861" t="s">
        <v>4710</v>
      </c>
      <c r="T857" s="866" t="s">
        <v>4711</v>
      </c>
      <c r="U857" s="865"/>
    </row>
    <row r="858" spans="1:21" ht="15">
      <c r="A858" s="672"/>
      <c r="B858" s="861" t="s">
        <v>4712</v>
      </c>
      <c r="C858" s="861" t="s">
        <v>4713</v>
      </c>
      <c r="D858" s="861" t="s">
        <v>371</v>
      </c>
      <c r="E858" s="861"/>
      <c r="F858" s="862"/>
      <c r="G858" s="869">
        <v>0</v>
      </c>
      <c r="H858" s="874">
        <v>37469496.490000002</v>
      </c>
      <c r="I858" s="871"/>
      <c r="J858" s="862">
        <v>0.26</v>
      </c>
      <c r="K858" s="868">
        <f t="shared" si="74"/>
        <v>316</v>
      </c>
      <c r="L858" s="861" t="s">
        <v>790</v>
      </c>
      <c r="M858" s="671">
        <f t="shared" si="75"/>
        <v>856</v>
      </c>
      <c r="N858" s="671" t="str">
        <f t="shared" si="76"/>
        <v>N/A</v>
      </c>
      <c r="O858" s="671">
        <f t="shared" si="77"/>
        <v>167</v>
      </c>
      <c r="P858" s="861" t="s">
        <v>4714</v>
      </c>
      <c r="Q858" s="861"/>
      <c r="R858" s="863" t="s">
        <v>1030</v>
      </c>
      <c r="S858" s="861" t="s">
        <v>4715</v>
      </c>
      <c r="T858" s="866" t="s">
        <v>4716</v>
      </c>
      <c r="U858" s="865"/>
    </row>
    <row r="859" spans="1:21" ht="15">
      <c r="A859" s="857"/>
      <c r="B859" s="861" t="s">
        <v>4717</v>
      </c>
      <c r="C859" s="861" t="s">
        <v>4718</v>
      </c>
      <c r="D859" s="861" t="s">
        <v>371</v>
      </c>
      <c r="E859" s="861"/>
      <c r="F859" s="862"/>
      <c r="G859" s="870" t="s">
        <v>4719</v>
      </c>
      <c r="H859" s="874">
        <v>37211019.640000001</v>
      </c>
      <c r="I859" s="871"/>
      <c r="J859" s="863" t="s">
        <v>4720</v>
      </c>
      <c r="K859" s="868">
        <f t="shared" si="74"/>
        <v>316</v>
      </c>
      <c r="L859" s="861" t="s">
        <v>1122</v>
      </c>
      <c r="M859" s="671">
        <f t="shared" si="75"/>
        <v>857</v>
      </c>
      <c r="N859" s="671" t="str">
        <f t="shared" si="76"/>
        <v>N/A</v>
      </c>
      <c r="O859" s="671" t="str">
        <f t="shared" si="77"/>
        <v>N/A</v>
      </c>
      <c r="P859" s="861" t="s">
        <v>4721</v>
      </c>
      <c r="Q859" s="861" t="s">
        <v>4722</v>
      </c>
      <c r="R859" s="861" t="s">
        <v>531</v>
      </c>
      <c r="S859" s="861" t="s">
        <v>4723</v>
      </c>
      <c r="T859" s="866" t="s">
        <v>4724</v>
      </c>
      <c r="U859" s="865"/>
    </row>
    <row r="860" spans="1:21" ht="15">
      <c r="A860" s="672"/>
      <c r="B860" s="861" t="s">
        <v>4725</v>
      </c>
      <c r="C860" s="861" t="s">
        <v>4726</v>
      </c>
      <c r="D860" s="861" t="s">
        <v>371</v>
      </c>
      <c r="E860" s="861"/>
      <c r="F860" s="862"/>
      <c r="G860" s="870" t="s">
        <v>4727</v>
      </c>
      <c r="H860" s="874">
        <v>37005089.43</v>
      </c>
      <c r="I860" s="871"/>
      <c r="J860" s="863" t="s">
        <v>4728</v>
      </c>
      <c r="K860" s="868">
        <f t="shared" si="74"/>
        <v>316</v>
      </c>
      <c r="L860" s="861"/>
      <c r="M860" s="671">
        <f t="shared" si="75"/>
        <v>858</v>
      </c>
      <c r="N860" s="671" t="str">
        <f t="shared" si="76"/>
        <v>N/A</v>
      </c>
      <c r="O860" s="671" t="str">
        <f t="shared" si="77"/>
        <v>N/A</v>
      </c>
      <c r="P860" s="861" t="s">
        <v>2086</v>
      </c>
      <c r="Q860" s="861"/>
      <c r="R860" s="863" t="s">
        <v>3148</v>
      </c>
      <c r="S860" s="861" t="s">
        <v>2851</v>
      </c>
      <c r="T860" s="866" t="s">
        <v>4729</v>
      </c>
      <c r="U860" s="865"/>
    </row>
    <row r="861" spans="1:21" ht="15">
      <c r="A861" s="857"/>
      <c r="B861" s="861" t="s">
        <v>4730</v>
      </c>
      <c r="C861" s="861" t="s">
        <v>4731</v>
      </c>
      <c r="D861" s="861" t="s">
        <v>371</v>
      </c>
      <c r="E861" s="861"/>
      <c r="F861" s="862">
        <v>-6.6000000000000003E-2</v>
      </c>
      <c r="G861" s="870" t="s">
        <v>4732</v>
      </c>
      <c r="H861" s="874">
        <v>36889063.880000003</v>
      </c>
      <c r="I861" s="871">
        <v>11.44</v>
      </c>
      <c r="J861" s="862">
        <v>9.9000000000000005E-2</v>
      </c>
      <c r="K861" s="868">
        <f t="shared" si="74"/>
        <v>358</v>
      </c>
      <c r="L861" s="861"/>
      <c r="M861" s="671">
        <f t="shared" si="75"/>
        <v>859</v>
      </c>
      <c r="N861" s="671">
        <f t="shared" si="76"/>
        <v>216</v>
      </c>
      <c r="O861" s="671">
        <f t="shared" si="77"/>
        <v>499</v>
      </c>
      <c r="P861" s="861" t="s">
        <v>972</v>
      </c>
      <c r="Q861" s="861"/>
      <c r="R861" s="861"/>
      <c r="S861" s="861" t="s">
        <v>454</v>
      </c>
      <c r="T861" s="866" t="s">
        <v>4733</v>
      </c>
      <c r="U861" s="865"/>
    </row>
    <row r="862" spans="1:21" ht="15">
      <c r="A862" s="672"/>
      <c r="B862" s="861" t="s">
        <v>4734</v>
      </c>
      <c r="C862" s="861" t="s">
        <v>4735</v>
      </c>
      <c r="D862" s="861" t="s">
        <v>371</v>
      </c>
      <c r="E862" s="861"/>
      <c r="F862" s="862"/>
      <c r="G862" s="869">
        <v>0</v>
      </c>
      <c r="H862" s="874">
        <v>36781560.909999996</v>
      </c>
      <c r="I862" s="871"/>
      <c r="J862" s="863" t="s">
        <v>4736</v>
      </c>
      <c r="K862" s="868">
        <f t="shared" si="74"/>
        <v>316</v>
      </c>
      <c r="L862" s="861"/>
      <c r="M862" s="671">
        <f t="shared" si="75"/>
        <v>860</v>
      </c>
      <c r="N862" s="671" t="str">
        <f t="shared" si="76"/>
        <v>N/A</v>
      </c>
      <c r="O862" s="671" t="str">
        <f t="shared" si="77"/>
        <v>N/A</v>
      </c>
      <c r="P862" s="861" t="s">
        <v>4737</v>
      </c>
      <c r="Q862" s="861" t="s">
        <v>4738</v>
      </c>
      <c r="R862" s="863" t="s">
        <v>1420</v>
      </c>
      <c r="S862" s="861" t="s">
        <v>506</v>
      </c>
      <c r="T862" s="866" t="s">
        <v>4739</v>
      </c>
      <c r="U862" s="865"/>
    </row>
    <row r="863" spans="1:21" ht="15">
      <c r="A863" s="857"/>
      <c r="B863" s="861" t="s">
        <v>4740</v>
      </c>
      <c r="C863" s="861" t="s">
        <v>4741</v>
      </c>
      <c r="D863" s="861" t="s">
        <v>371</v>
      </c>
      <c r="E863" s="861"/>
      <c r="F863" s="862"/>
      <c r="G863" s="870" t="s">
        <v>4742</v>
      </c>
      <c r="H863" s="874">
        <v>36543845.659999996</v>
      </c>
      <c r="I863" s="871"/>
      <c r="J863" s="862">
        <v>0.37</v>
      </c>
      <c r="K863" s="868">
        <f t="shared" si="74"/>
        <v>316</v>
      </c>
      <c r="L863" s="861"/>
      <c r="M863" s="671">
        <f t="shared" si="75"/>
        <v>861</v>
      </c>
      <c r="N863" s="671" t="str">
        <f t="shared" si="76"/>
        <v>N/A</v>
      </c>
      <c r="O863" s="671">
        <f t="shared" si="77"/>
        <v>71</v>
      </c>
      <c r="P863" s="861" t="s">
        <v>2252</v>
      </c>
      <c r="Q863" s="861" t="s">
        <v>4743</v>
      </c>
      <c r="R863" s="861"/>
      <c r="S863" s="861" t="s">
        <v>868</v>
      </c>
      <c r="T863" s="866" t="s">
        <v>4744</v>
      </c>
      <c r="U863" s="865"/>
    </row>
    <row r="864" spans="1:21" ht="15">
      <c r="A864" s="672"/>
      <c r="B864" s="861" t="s">
        <v>4745</v>
      </c>
      <c r="C864" s="861" t="s">
        <v>4746</v>
      </c>
      <c r="D864" s="861" t="s">
        <v>371</v>
      </c>
      <c r="E864" s="861"/>
      <c r="F864" s="862"/>
      <c r="G864" s="869">
        <v>6.3199462390000001</v>
      </c>
      <c r="H864" s="874">
        <v>36334129.780000001</v>
      </c>
      <c r="I864" s="871"/>
      <c r="J864" s="863" t="s">
        <v>1697</v>
      </c>
      <c r="K864" s="868">
        <f t="shared" si="74"/>
        <v>316</v>
      </c>
      <c r="L864" s="861"/>
      <c r="M864" s="671">
        <f t="shared" si="75"/>
        <v>862</v>
      </c>
      <c r="N864" s="671" t="str">
        <f t="shared" si="76"/>
        <v>N/A</v>
      </c>
      <c r="O864" s="671" t="str">
        <f t="shared" si="77"/>
        <v>N/A</v>
      </c>
      <c r="P864" s="861" t="s">
        <v>2776</v>
      </c>
      <c r="Q864" s="861"/>
      <c r="R864" s="861"/>
      <c r="S864" s="861" t="s">
        <v>1760</v>
      </c>
      <c r="T864" s="866" t="s">
        <v>4747</v>
      </c>
      <c r="U864" s="865"/>
    </row>
    <row r="865" spans="1:21" ht="15">
      <c r="A865" s="857"/>
      <c r="B865" s="861" t="s">
        <v>4748</v>
      </c>
      <c r="C865" s="861" t="s">
        <v>4749</v>
      </c>
      <c r="D865" s="861" t="s">
        <v>371</v>
      </c>
      <c r="E865" s="861"/>
      <c r="F865" s="862"/>
      <c r="G865" s="870" t="s">
        <v>4750</v>
      </c>
      <c r="H865" s="874">
        <v>36256261.299999997</v>
      </c>
      <c r="I865" s="871"/>
      <c r="J865" s="862">
        <v>0.191</v>
      </c>
      <c r="K865" s="868">
        <f t="shared" si="74"/>
        <v>316</v>
      </c>
      <c r="L865" s="861"/>
      <c r="M865" s="671">
        <f t="shared" si="75"/>
        <v>863</v>
      </c>
      <c r="N865" s="671" t="str">
        <f t="shared" si="76"/>
        <v>N/A</v>
      </c>
      <c r="O865" s="671">
        <f t="shared" si="77"/>
        <v>270</v>
      </c>
      <c r="P865" s="861" t="s">
        <v>1341</v>
      </c>
      <c r="Q865" s="861" t="s">
        <v>4751</v>
      </c>
      <c r="R865" s="861"/>
      <c r="S865" s="861" t="s">
        <v>1404</v>
      </c>
      <c r="T865" s="866" t="s">
        <v>4752</v>
      </c>
      <c r="U865" s="865"/>
    </row>
    <row r="866" spans="1:21" ht="15">
      <c r="A866" s="672"/>
      <c r="B866" s="861" t="s">
        <v>4753</v>
      </c>
      <c r="C866" s="861" t="s">
        <v>4754</v>
      </c>
      <c r="D866" s="861" t="s">
        <v>371</v>
      </c>
      <c r="E866" s="861"/>
      <c r="F866" s="862"/>
      <c r="G866" s="869">
        <v>109.763627</v>
      </c>
      <c r="H866" s="874">
        <v>36130198.75</v>
      </c>
      <c r="I866" s="871"/>
      <c r="J866" s="863" t="s">
        <v>4755</v>
      </c>
      <c r="K866" s="868">
        <f t="shared" si="74"/>
        <v>316</v>
      </c>
      <c r="L866" s="861"/>
      <c r="M866" s="671">
        <f t="shared" si="75"/>
        <v>864</v>
      </c>
      <c r="N866" s="671" t="str">
        <f t="shared" si="76"/>
        <v>N/A</v>
      </c>
      <c r="O866" s="671" t="str">
        <f t="shared" si="77"/>
        <v>N/A</v>
      </c>
      <c r="P866" s="861" t="s">
        <v>1866</v>
      </c>
      <c r="Q866" s="861" t="s">
        <v>2651</v>
      </c>
      <c r="R866" s="861"/>
      <c r="S866" s="861" t="s">
        <v>4756</v>
      </c>
      <c r="T866" s="866" t="s">
        <v>4757</v>
      </c>
      <c r="U866" s="865"/>
    </row>
    <row r="867" spans="1:21" ht="15">
      <c r="A867" s="857"/>
      <c r="B867" s="861" t="s">
        <v>4758</v>
      </c>
      <c r="C867" s="861" t="s">
        <v>4759</v>
      </c>
      <c r="D867" s="861" t="s">
        <v>371</v>
      </c>
      <c r="E867" s="861"/>
      <c r="F867" s="862"/>
      <c r="G867" s="870" t="s">
        <v>4760</v>
      </c>
      <c r="H867" s="874">
        <v>36122648.159999996</v>
      </c>
      <c r="I867" s="871">
        <v>87.78</v>
      </c>
      <c r="J867" s="862">
        <v>0.105</v>
      </c>
      <c r="K867" s="868">
        <f t="shared" si="74"/>
        <v>316</v>
      </c>
      <c r="L867" s="861" t="s">
        <v>4127</v>
      </c>
      <c r="M867" s="671">
        <f t="shared" si="75"/>
        <v>865</v>
      </c>
      <c r="N867" s="671">
        <f t="shared" si="76"/>
        <v>42</v>
      </c>
      <c r="O867" s="671">
        <f t="shared" si="77"/>
        <v>472</v>
      </c>
      <c r="P867" s="861" t="s">
        <v>2400</v>
      </c>
      <c r="Q867" s="861"/>
      <c r="R867" s="861" t="s">
        <v>1497</v>
      </c>
      <c r="S867" s="861" t="s">
        <v>4761</v>
      </c>
      <c r="T867" s="866" t="s">
        <v>4762</v>
      </c>
      <c r="U867" s="865"/>
    </row>
    <row r="868" spans="1:21" ht="15">
      <c r="A868" s="672"/>
      <c r="B868" s="861" t="s">
        <v>4763</v>
      </c>
      <c r="C868" s="861" t="s">
        <v>4764</v>
      </c>
      <c r="D868" s="861" t="s">
        <v>371</v>
      </c>
      <c r="E868" s="861"/>
      <c r="F868" s="862"/>
      <c r="G868" s="869">
        <v>8.2708146999999996E-2</v>
      </c>
      <c r="H868" s="874">
        <v>36088048.329999998</v>
      </c>
      <c r="I868" s="872" t="s">
        <v>4765</v>
      </c>
      <c r="J868" s="862">
        <v>0.10100000000000001</v>
      </c>
      <c r="K868" s="868">
        <f t="shared" si="74"/>
        <v>316</v>
      </c>
      <c r="L868" s="861"/>
      <c r="M868" s="671">
        <f t="shared" si="75"/>
        <v>866</v>
      </c>
      <c r="N868" s="671" t="str">
        <f t="shared" si="76"/>
        <v>N/A</v>
      </c>
      <c r="O868" s="671">
        <f t="shared" si="77"/>
        <v>492</v>
      </c>
      <c r="P868" s="861"/>
      <c r="Q868" s="861"/>
      <c r="R868" s="861"/>
      <c r="S868" s="861" t="s">
        <v>1852</v>
      </c>
      <c r="T868" s="866" t="s">
        <v>4766</v>
      </c>
      <c r="U868" s="865"/>
    </row>
    <row r="869" spans="1:21" ht="15">
      <c r="A869" s="857"/>
      <c r="B869" s="861" t="s">
        <v>4767</v>
      </c>
      <c r="C869" s="861" t="s">
        <v>4768</v>
      </c>
      <c r="D869" s="861" t="s">
        <v>371</v>
      </c>
      <c r="E869" s="861"/>
      <c r="F869" s="862"/>
      <c r="G869" s="869">
        <v>1.422574185</v>
      </c>
      <c r="H869" s="874">
        <v>36020641.240000002</v>
      </c>
      <c r="I869" s="871"/>
      <c r="J869" s="862">
        <v>0.14699999999999999</v>
      </c>
      <c r="K869" s="868">
        <f t="shared" si="74"/>
        <v>316</v>
      </c>
      <c r="L869" s="861"/>
      <c r="M869" s="671">
        <f t="shared" si="75"/>
        <v>867</v>
      </c>
      <c r="N869" s="671" t="str">
        <f t="shared" si="76"/>
        <v>N/A</v>
      </c>
      <c r="O869" s="671">
        <f t="shared" si="77"/>
        <v>352</v>
      </c>
      <c r="P869" s="861"/>
      <c r="Q869" s="861"/>
      <c r="R869" s="861"/>
      <c r="S869" s="861" t="s">
        <v>1475</v>
      </c>
      <c r="T869" s="866" t="s">
        <v>4769</v>
      </c>
      <c r="U869" s="865"/>
    </row>
    <row r="870" spans="1:21" ht="15">
      <c r="A870" s="672"/>
      <c r="B870" s="861" t="s">
        <v>4770</v>
      </c>
      <c r="C870" s="861" t="s">
        <v>4771</v>
      </c>
      <c r="D870" s="861" t="s">
        <v>371</v>
      </c>
      <c r="E870" s="861"/>
      <c r="F870" s="862">
        <v>3.5000000000000003E-2</v>
      </c>
      <c r="G870" s="870" t="s">
        <v>4772</v>
      </c>
      <c r="H870" s="874">
        <v>35988488.600000001</v>
      </c>
      <c r="I870" s="871"/>
      <c r="J870" s="862">
        <v>0.25700000000000001</v>
      </c>
      <c r="K870" s="868">
        <f t="shared" si="74"/>
        <v>272</v>
      </c>
      <c r="L870" s="861"/>
      <c r="M870" s="671">
        <f t="shared" si="75"/>
        <v>868</v>
      </c>
      <c r="N870" s="671" t="str">
        <f t="shared" si="76"/>
        <v>N/A</v>
      </c>
      <c r="O870" s="671">
        <f t="shared" si="77"/>
        <v>171</v>
      </c>
      <c r="P870" s="861" t="s">
        <v>868</v>
      </c>
      <c r="Q870" s="861" t="s">
        <v>4773</v>
      </c>
      <c r="R870" s="861"/>
      <c r="S870" s="861" t="s">
        <v>4774</v>
      </c>
      <c r="T870" s="866" t="s">
        <v>4775</v>
      </c>
      <c r="U870" s="865"/>
    </row>
    <row r="871" spans="1:21" ht="15">
      <c r="A871" s="857"/>
      <c r="B871" s="861" t="s">
        <v>4776</v>
      </c>
      <c r="C871" s="861" t="s">
        <v>4777</v>
      </c>
      <c r="D871" s="861" t="s">
        <v>371</v>
      </c>
      <c r="E871" s="861"/>
      <c r="F871" s="862"/>
      <c r="G871" s="869">
        <v>0.167971809</v>
      </c>
      <c r="H871" s="874">
        <v>35784244.520000003</v>
      </c>
      <c r="I871" s="871"/>
      <c r="J871" s="863" t="s">
        <v>4778</v>
      </c>
      <c r="K871" s="868">
        <f t="shared" si="74"/>
        <v>316</v>
      </c>
      <c r="L871" s="861"/>
      <c r="M871" s="671">
        <f t="shared" si="75"/>
        <v>869</v>
      </c>
      <c r="N871" s="671" t="str">
        <f t="shared" si="76"/>
        <v>N/A</v>
      </c>
      <c r="O871" s="671" t="str">
        <f t="shared" si="77"/>
        <v>N/A</v>
      </c>
      <c r="P871" s="861" t="s">
        <v>790</v>
      </c>
      <c r="Q871" s="861"/>
      <c r="R871" s="861"/>
      <c r="S871" s="861" t="s">
        <v>4137</v>
      </c>
      <c r="T871" s="866" t="s">
        <v>4779</v>
      </c>
      <c r="U871" s="865"/>
    </row>
    <row r="872" spans="1:21" ht="15">
      <c r="A872" s="672"/>
      <c r="B872" s="861" t="s">
        <v>4780</v>
      </c>
      <c r="C872" s="861" t="s">
        <v>4781</v>
      </c>
      <c r="D872" s="861" t="s">
        <v>371</v>
      </c>
      <c r="E872" s="861"/>
      <c r="F872" s="862"/>
      <c r="G872" s="869">
        <v>3.4339358849999999</v>
      </c>
      <c r="H872" s="874">
        <v>35760772.920000002</v>
      </c>
      <c r="I872" s="871"/>
      <c r="J872" s="863"/>
      <c r="K872" s="868">
        <f t="shared" si="74"/>
        <v>316</v>
      </c>
      <c r="L872" s="861"/>
      <c r="M872" s="671">
        <f t="shared" si="75"/>
        <v>870</v>
      </c>
      <c r="N872" s="671" t="str">
        <f t="shared" si="76"/>
        <v>N/A</v>
      </c>
      <c r="O872" s="671">
        <f t="shared" si="77"/>
        <v>708</v>
      </c>
      <c r="P872" s="861" t="s">
        <v>1319</v>
      </c>
      <c r="Q872" s="861"/>
      <c r="R872" s="861"/>
      <c r="S872" s="861" t="s">
        <v>2420</v>
      </c>
      <c r="T872" s="866" t="s">
        <v>4782</v>
      </c>
      <c r="U872" s="865"/>
    </row>
    <row r="873" spans="1:21" ht="15">
      <c r="A873" s="857"/>
      <c r="B873" s="861" t="s">
        <v>4783</v>
      </c>
      <c r="C873" s="861" t="s">
        <v>4784</v>
      </c>
      <c r="D873" s="861" t="s">
        <v>371</v>
      </c>
      <c r="E873" s="861"/>
      <c r="F873" s="862"/>
      <c r="G873" s="869">
        <v>0</v>
      </c>
      <c r="H873" s="874">
        <v>35567207.479999997</v>
      </c>
      <c r="I873" s="871"/>
      <c r="J873" s="862">
        <v>3.9E-2</v>
      </c>
      <c r="K873" s="868">
        <f t="shared" si="74"/>
        <v>316</v>
      </c>
      <c r="L873" s="861" t="s">
        <v>487</v>
      </c>
      <c r="M873" s="671">
        <f t="shared" si="75"/>
        <v>871</v>
      </c>
      <c r="N873" s="671" t="str">
        <f t="shared" si="76"/>
        <v>N/A</v>
      </c>
      <c r="O873" s="671">
        <f t="shared" si="77"/>
        <v>631</v>
      </c>
      <c r="P873" s="861" t="s">
        <v>4785</v>
      </c>
      <c r="Q873" s="861" t="s">
        <v>4786</v>
      </c>
      <c r="R873" s="861"/>
      <c r="S873" s="861" t="s">
        <v>661</v>
      </c>
      <c r="T873" s="866" t="s">
        <v>4787</v>
      </c>
      <c r="U873" s="865"/>
    </row>
    <row r="874" spans="1:21" ht="15">
      <c r="A874" s="672"/>
      <c r="B874" s="861" t="s">
        <v>4788</v>
      </c>
      <c r="C874" s="861" t="s">
        <v>4789</v>
      </c>
      <c r="D874" s="861" t="s">
        <v>371</v>
      </c>
      <c r="E874" s="861"/>
      <c r="F874" s="862"/>
      <c r="G874" s="870" t="s">
        <v>4790</v>
      </c>
      <c r="H874" s="874">
        <v>35417291.100000001</v>
      </c>
      <c r="I874" s="871"/>
      <c r="J874" s="863" t="s">
        <v>4791</v>
      </c>
      <c r="K874" s="868">
        <f t="shared" si="74"/>
        <v>316</v>
      </c>
      <c r="L874" s="861"/>
      <c r="M874" s="671">
        <f t="shared" si="75"/>
        <v>872</v>
      </c>
      <c r="N874" s="671" t="str">
        <f t="shared" si="76"/>
        <v>N/A</v>
      </c>
      <c r="O874" s="671" t="str">
        <f t="shared" si="77"/>
        <v>N/A</v>
      </c>
      <c r="P874" s="861" t="s">
        <v>4792</v>
      </c>
      <c r="Q874" s="861"/>
      <c r="R874" s="861"/>
      <c r="S874" s="861" t="s">
        <v>404</v>
      </c>
      <c r="T874" s="866" t="s">
        <v>4793</v>
      </c>
      <c r="U874" s="865"/>
    </row>
    <row r="875" spans="1:21" ht="15">
      <c r="A875" s="857"/>
      <c r="B875" s="861" t="s">
        <v>4794</v>
      </c>
      <c r="C875" s="861" t="s">
        <v>4795</v>
      </c>
      <c r="D875" s="861" t="s">
        <v>371</v>
      </c>
      <c r="E875" s="861"/>
      <c r="F875" s="862"/>
      <c r="G875" s="870" t="s">
        <v>4796</v>
      </c>
      <c r="H875" s="874">
        <v>35280902.880000003</v>
      </c>
      <c r="I875" s="871">
        <v>97.68</v>
      </c>
      <c r="J875" s="863"/>
      <c r="K875" s="868">
        <f t="shared" si="74"/>
        <v>316</v>
      </c>
      <c r="L875" s="861"/>
      <c r="M875" s="671">
        <f t="shared" si="75"/>
        <v>873</v>
      </c>
      <c r="N875" s="671">
        <f t="shared" si="76"/>
        <v>35</v>
      </c>
      <c r="O875" s="671">
        <f t="shared" si="77"/>
        <v>708</v>
      </c>
      <c r="P875" s="861" t="s">
        <v>4797</v>
      </c>
      <c r="Q875" s="861"/>
      <c r="R875" s="861"/>
      <c r="S875" s="861" t="s">
        <v>392</v>
      </c>
      <c r="T875" s="866" t="s">
        <v>4798</v>
      </c>
      <c r="U875" s="865"/>
    </row>
    <row r="876" spans="1:21" ht="15">
      <c r="A876" s="672"/>
      <c r="B876" s="861" t="s">
        <v>4799</v>
      </c>
      <c r="C876" s="861" t="s">
        <v>4800</v>
      </c>
      <c r="D876" s="861" t="s">
        <v>371</v>
      </c>
      <c r="E876" s="861"/>
      <c r="F876" s="862"/>
      <c r="G876" s="869">
        <v>0</v>
      </c>
      <c r="H876" s="874">
        <v>35271030.939999998</v>
      </c>
      <c r="I876" s="871"/>
      <c r="J876" s="863" t="s">
        <v>4801</v>
      </c>
      <c r="K876" s="868">
        <f t="shared" si="74"/>
        <v>316</v>
      </c>
      <c r="L876" s="861"/>
      <c r="M876" s="671">
        <f t="shared" si="75"/>
        <v>874</v>
      </c>
      <c r="N876" s="671" t="str">
        <f t="shared" si="76"/>
        <v>N/A</v>
      </c>
      <c r="O876" s="671" t="str">
        <f t="shared" si="77"/>
        <v>N/A</v>
      </c>
      <c r="P876" s="861" t="s">
        <v>1691</v>
      </c>
      <c r="Q876" s="861"/>
      <c r="R876" s="861"/>
      <c r="S876" s="861" t="s">
        <v>904</v>
      </c>
      <c r="T876" s="866" t="s">
        <v>4802</v>
      </c>
      <c r="U876" s="865"/>
    </row>
    <row r="877" spans="1:21" ht="15">
      <c r="A877" s="857"/>
      <c r="B877" s="861" t="s">
        <v>4803</v>
      </c>
      <c r="C877" s="861" t="s">
        <v>4804</v>
      </c>
      <c r="D877" s="861" t="s">
        <v>371</v>
      </c>
      <c r="E877" s="861"/>
      <c r="F877" s="862">
        <v>-0.3</v>
      </c>
      <c r="G877" s="870" t="s">
        <v>4805</v>
      </c>
      <c r="H877" s="874">
        <v>35261206.439999998</v>
      </c>
      <c r="I877" s="871"/>
      <c r="J877" s="862">
        <v>0.22600000000000001</v>
      </c>
      <c r="K877" s="868">
        <f t="shared" si="74"/>
        <v>446</v>
      </c>
      <c r="L877" s="861"/>
      <c r="M877" s="671">
        <f t="shared" si="75"/>
        <v>875</v>
      </c>
      <c r="N877" s="671" t="str">
        <f t="shared" si="76"/>
        <v>N/A</v>
      </c>
      <c r="O877" s="671">
        <f t="shared" si="77"/>
        <v>216</v>
      </c>
      <c r="P877" s="861" t="s">
        <v>1724</v>
      </c>
      <c r="Q877" s="861" t="s">
        <v>1566</v>
      </c>
      <c r="R877" s="861"/>
      <c r="S877" s="861" t="s">
        <v>1440</v>
      </c>
      <c r="T877" s="866" t="s">
        <v>4806</v>
      </c>
      <c r="U877" s="865"/>
    </row>
    <row r="878" spans="1:21" ht="15">
      <c r="A878" s="672"/>
      <c r="B878" s="861" t="s">
        <v>4807</v>
      </c>
      <c r="C878" s="861" t="s">
        <v>4808</v>
      </c>
      <c r="D878" s="861" t="s">
        <v>371</v>
      </c>
      <c r="E878" s="861"/>
      <c r="F878" s="862">
        <v>-9.8000000000000004E-2</v>
      </c>
      <c r="G878" s="870" t="s">
        <v>4809</v>
      </c>
      <c r="H878" s="874">
        <v>35251757.079999998</v>
      </c>
      <c r="I878" s="871"/>
      <c r="J878" s="863" t="s">
        <v>4810</v>
      </c>
      <c r="K878" s="868">
        <f t="shared" si="74"/>
        <v>379</v>
      </c>
      <c r="L878" s="861"/>
      <c r="M878" s="671">
        <f t="shared" si="75"/>
        <v>876</v>
      </c>
      <c r="N878" s="671" t="str">
        <f t="shared" si="76"/>
        <v>N/A</v>
      </c>
      <c r="O878" s="671" t="str">
        <f t="shared" si="77"/>
        <v>N/A</v>
      </c>
      <c r="P878" s="861" t="s">
        <v>1530</v>
      </c>
      <c r="Q878" s="861"/>
      <c r="R878" s="861"/>
      <c r="S878" s="861" t="s">
        <v>392</v>
      </c>
      <c r="T878" s="866" t="s">
        <v>4811</v>
      </c>
      <c r="U878" s="865"/>
    </row>
    <row r="879" spans="1:21" ht="15">
      <c r="A879" s="857"/>
      <c r="B879" s="861" t="s">
        <v>4812</v>
      </c>
      <c r="C879" s="861" t="s">
        <v>4813</v>
      </c>
      <c r="D879" s="861" t="s">
        <v>371</v>
      </c>
      <c r="E879" s="861"/>
      <c r="F879" s="862"/>
      <c r="G879" s="870" t="s">
        <v>4814</v>
      </c>
      <c r="H879" s="874">
        <v>34824870.170000002</v>
      </c>
      <c r="I879" s="871"/>
      <c r="J879" s="863" t="s">
        <v>4815</v>
      </c>
      <c r="K879" s="868">
        <f t="shared" si="74"/>
        <v>316</v>
      </c>
      <c r="L879" s="861"/>
      <c r="M879" s="671">
        <f t="shared" si="75"/>
        <v>877</v>
      </c>
      <c r="N879" s="671" t="str">
        <f t="shared" si="76"/>
        <v>N/A</v>
      </c>
      <c r="O879" s="671" t="str">
        <f t="shared" si="77"/>
        <v>N/A</v>
      </c>
      <c r="P879" s="861" t="s">
        <v>4816</v>
      </c>
      <c r="Q879" s="861"/>
      <c r="R879" s="861"/>
      <c r="S879" s="861" t="s">
        <v>404</v>
      </c>
      <c r="T879" s="866" t="s">
        <v>4817</v>
      </c>
      <c r="U879" s="865"/>
    </row>
    <row r="880" spans="1:21" ht="15">
      <c r="A880" s="672"/>
      <c r="B880" s="861" t="s">
        <v>4818</v>
      </c>
      <c r="C880" s="861" t="s">
        <v>4819</v>
      </c>
      <c r="D880" s="861" t="s">
        <v>371</v>
      </c>
      <c r="E880" s="861"/>
      <c r="F880" s="862"/>
      <c r="G880" s="869">
        <v>1.533824938</v>
      </c>
      <c r="H880" s="874">
        <v>34655173.609999999</v>
      </c>
      <c r="I880" s="871"/>
      <c r="J880" s="863" t="s">
        <v>4820</v>
      </c>
      <c r="K880" s="868">
        <f t="shared" si="74"/>
        <v>316</v>
      </c>
      <c r="L880" s="861" t="s">
        <v>1497</v>
      </c>
      <c r="M880" s="671">
        <f t="shared" si="75"/>
        <v>878</v>
      </c>
      <c r="N880" s="671" t="str">
        <f t="shared" si="76"/>
        <v>N/A</v>
      </c>
      <c r="O880" s="671" t="str">
        <f t="shared" si="77"/>
        <v>N/A</v>
      </c>
      <c r="P880" s="861" t="s">
        <v>4821</v>
      </c>
      <c r="Q880" s="861" t="s">
        <v>2836</v>
      </c>
      <c r="R880" s="861"/>
      <c r="S880" s="861" t="s">
        <v>4822</v>
      </c>
      <c r="T880" s="866" t="s">
        <v>4823</v>
      </c>
      <c r="U880" s="865"/>
    </row>
    <row r="881" spans="1:21" ht="15">
      <c r="A881" s="857"/>
      <c r="B881" s="861" t="s">
        <v>4824</v>
      </c>
      <c r="C881" s="861" t="s">
        <v>4825</v>
      </c>
      <c r="D881" s="861" t="s">
        <v>371</v>
      </c>
      <c r="E881" s="861"/>
      <c r="F881" s="862"/>
      <c r="G881" s="870" t="s">
        <v>4826</v>
      </c>
      <c r="H881" s="874">
        <v>34508791.090000004</v>
      </c>
      <c r="I881" s="871">
        <v>3.34</v>
      </c>
      <c r="J881" s="862">
        <v>6.3E-2</v>
      </c>
      <c r="K881" s="868">
        <f t="shared" si="74"/>
        <v>316</v>
      </c>
      <c r="L881" s="861"/>
      <c r="M881" s="671">
        <f t="shared" si="75"/>
        <v>879</v>
      </c>
      <c r="N881" s="671">
        <f t="shared" si="76"/>
        <v>286</v>
      </c>
      <c r="O881" s="671">
        <f t="shared" si="77"/>
        <v>573</v>
      </c>
      <c r="P881" s="861" t="s">
        <v>1550</v>
      </c>
      <c r="Q881" s="861"/>
      <c r="R881" s="861"/>
      <c r="S881" s="861" t="s">
        <v>2629</v>
      </c>
      <c r="T881" s="866" t="s">
        <v>4827</v>
      </c>
      <c r="U881" s="865"/>
    </row>
    <row r="882" spans="1:21" ht="15">
      <c r="A882" s="672"/>
      <c r="B882" s="861" t="s">
        <v>4828</v>
      </c>
      <c r="C882" s="861" t="s">
        <v>4829</v>
      </c>
      <c r="D882" s="861" t="s">
        <v>371</v>
      </c>
      <c r="E882" s="861"/>
      <c r="F882" s="862"/>
      <c r="G882" s="869">
        <v>3.0979648169999998</v>
      </c>
      <c r="H882" s="874">
        <v>34257172.950000003</v>
      </c>
      <c r="I882" s="871">
        <v>24</v>
      </c>
      <c r="J882" s="863" t="s">
        <v>4830</v>
      </c>
      <c r="K882" s="868">
        <f t="shared" si="74"/>
        <v>316</v>
      </c>
      <c r="L882" s="861"/>
      <c r="M882" s="671">
        <f t="shared" si="75"/>
        <v>880</v>
      </c>
      <c r="N882" s="671">
        <f t="shared" si="76"/>
        <v>165</v>
      </c>
      <c r="O882" s="671" t="str">
        <f t="shared" si="77"/>
        <v>N/A</v>
      </c>
      <c r="P882" s="861" t="s">
        <v>547</v>
      </c>
      <c r="Q882" s="861"/>
      <c r="R882" s="861"/>
      <c r="S882" s="861" t="s">
        <v>734</v>
      </c>
      <c r="T882" s="866" t="s">
        <v>4831</v>
      </c>
      <c r="U882" s="865"/>
    </row>
    <row r="883" spans="1:21" ht="15">
      <c r="A883" s="857"/>
      <c r="B883" s="861" t="s">
        <v>4832</v>
      </c>
      <c r="C883" s="861" t="s">
        <v>4833</v>
      </c>
      <c r="D883" s="861" t="s">
        <v>371</v>
      </c>
      <c r="E883" s="861"/>
      <c r="F883" s="862">
        <v>-0.20200000000000001</v>
      </c>
      <c r="G883" s="869">
        <v>0</v>
      </c>
      <c r="H883" s="874">
        <v>34099500</v>
      </c>
      <c r="I883" s="871"/>
      <c r="J883" s="863"/>
      <c r="K883" s="868">
        <f t="shared" si="74"/>
        <v>417</v>
      </c>
      <c r="L883" s="861" t="s">
        <v>1370</v>
      </c>
      <c r="M883" s="671">
        <f t="shared" si="75"/>
        <v>881</v>
      </c>
      <c r="N883" s="671" t="str">
        <f t="shared" si="76"/>
        <v>N/A</v>
      </c>
      <c r="O883" s="671">
        <f t="shared" si="77"/>
        <v>708</v>
      </c>
      <c r="P883" s="861" t="s">
        <v>1881</v>
      </c>
      <c r="Q883" s="861" t="s">
        <v>4019</v>
      </c>
      <c r="R883" s="861" t="s">
        <v>4298</v>
      </c>
      <c r="S883" s="861" t="s">
        <v>4834</v>
      </c>
      <c r="T883" s="866" t="s">
        <v>4835</v>
      </c>
      <c r="U883" s="865"/>
    </row>
    <row r="884" spans="1:21" ht="15">
      <c r="A884" s="672"/>
      <c r="B884" s="861" t="s">
        <v>4836</v>
      </c>
      <c r="C884" s="861" t="s">
        <v>4837</v>
      </c>
      <c r="D884" s="861" t="s">
        <v>371</v>
      </c>
      <c r="E884" s="861"/>
      <c r="F884" s="862"/>
      <c r="G884" s="870" t="s">
        <v>4838</v>
      </c>
      <c r="H884" s="874">
        <v>33850875.189999998</v>
      </c>
      <c r="I884" s="871"/>
      <c r="J884" s="863"/>
      <c r="K884" s="868">
        <f t="shared" si="74"/>
        <v>316</v>
      </c>
      <c r="L884" s="861"/>
      <c r="M884" s="671">
        <f t="shared" si="75"/>
        <v>882</v>
      </c>
      <c r="N884" s="671" t="str">
        <f t="shared" si="76"/>
        <v>N/A</v>
      </c>
      <c r="O884" s="671">
        <f t="shared" si="77"/>
        <v>708</v>
      </c>
      <c r="P884" s="861" t="s">
        <v>1497</v>
      </c>
      <c r="Q884" s="861"/>
      <c r="R884" s="861"/>
      <c r="S884" s="861" t="s">
        <v>424</v>
      </c>
      <c r="T884" s="866" t="s">
        <v>4839</v>
      </c>
      <c r="U884" s="865"/>
    </row>
    <row r="885" spans="1:21" ht="15">
      <c r="A885" s="857"/>
      <c r="B885" s="861" t="s">
        <v>4840</v>
      </c>
      <c r="C885" s="861" t="s">
        <v>4841</v>
      </c>
      <c r="D885" s="861" t="s">
        <v>371</v>
      </c>
      <c r="E885" s="861"/>
      <c r="F885" s="862"/>
      <c r="G885" s="869" t="e">
        <v>#DIV/0!</v>
      </c>
      <c r="H885" s="874">
        <v>33789094.390000001</v>
      </c>
      <c r="I885" s="871">
        <v>102.44</v>
      </c>
      <c r="J885" s="863" t="s">
        <v>1025</v>
      </c>
      <c r="K885" s="868">
        <f t="shared" si="74"/>
        <v>316</v>
      </c>
      <c r="L885" s="861"/>
      <c r="M885" s="671">
        <f t="shared" si="75"/>
        <v>883</v>
      </c>
      <c r="N885" s="671">
        <f t="shared" si="76"/>
        <v>32</v>
      </c>
      <c r="O885" s="671" t="str">
        <f t="shared" si="77"/>
        <v>N/A</v>
      </c>
      <c r="P885" s="861" t="s">
        <v>4842</v>
      </c>
      <c r="Q885" s="861"/>
      <c r="R885" s="861"/>
      <c r="S885" s="861" t="s">
        <v>540</v>
      </c>
      <c r="T885" s="866" t="s">
        <v>4843</v>
      </c>
      <c r="U885" s="865"/>
    </row>
    <row r="886" spans="1:21" ht="15">
      <c r="A886" s="672"/>
      <c r="B886" s="861" t="s">
        <v>4844</v>
      </c>
      <c r="C886" s="861" t="s">
        <v>4845</v>
      </c>
      <c r="D886" s="861" t="s">
        <v>371</v>
      </c>
      <c r="E886" s="861"/>
      <c r="F886" s="862">
        <v>-5.2999999999999999E-2</v>
      </c>
      <c r="G886" s="870" t="s">
        <v>4846</v>
      </c>
      <c r="H886" s="874">
        <v>33777411.57</v>
      </c>
      <c r="I886" s="871"/>
      <c r="J886" s="862">
        <v>0.14699999999999999</v>
      </c>
      <c r="K886" s="868">
        <f t="shared" si="74"/>
        <v>345</v>
      </c>
      <c r="L886" s="861"/>
      <c r="M886" s="671">
        <f t="shared" si="75"/>
        <v>884</v>
      </c>
      <c r="N886" s="671" t="str">
        <f t="shared" si="76"/>
        <v>N/A</v>
      </c>
      <c r="O886" s="671">
        <f t="shared" si="77"/>
        <v>352</v>
      </c>
      <c r="P886" s="861"/>
      <c r="Q886" s="861"/>
      <c r="R886" s="861"/>
      <c r="S886" s="861" t="s">
        <v>424</v>
      </c>
      <c r="T886" s="866" t="s">
        <v>4847</v>
      </c>
      <c r="U886" s="865"/>
    </row>
    <row r="887" spans="1:21" ht="15">
      <c r="A887" s="857"/>
      <c r="B887" s="861" t="s">
        <v>4848</v>
      </c>
      <c r="C887" s="861" t="s">
        <v>4849</v>
      </c>
      <c r="D887" s="861" t="s">
        <v>371</v>
      </c>
      <c r="E887" s="861"/>
      <c r="F887" s="862">
        <v>-6.9000000000000006E-2</v>
      </c>
      <c r="G887" s="870" t="s">
        <v>4850</v>
      </c>
      <c r="H887" s="874">
        <v>33720719.310000002</v>
      </c>
      <c r="I887" s="871"/>
      <c r="J887" s="862">
        <v>0.13700000000000001</v>
      </c>
      <c r="K887" s="868">
        <f t="shared" si="74"/>
        <v>363</v>
      </c>
      <c r="L887" s="861"/>
      <c r="M887" s="671">
        <f t="shared" si="75"/>
        <v>885</v>
      </c>
      <c r="N887" s="671" t="str">
        <f t="shared" si="76"/>
        <v>N/A</v>
      </c>
      <c r="O887" s="671">
        <f t="shared" si="77"/>
        <v>376</v>
      </c>
      <c r="P887" s="863" t="s">
        <v>4851</v>
      </c>
      <c r="Q887" s="863" t="s">
        <v>4852</v>
      </c>
      <c r="R887" s="861"/>
      <c r="S887" s="861" t="s">
        <v>424</v>
      </c>
      <c r="T887" s="866" t="s">
        <v>4119</v>
      </c>
      <c r="U887" s="865"/>
    </row>
    <row r="888" spans="1:21" ht="15">
      <c r="A888" s="672"/>
      <c r="B888" s="861" t="s">
        <v>4853</v>
      </c>
      <c r="C888" s="861" t="s">
        <v>4854</v>
      </c>
      <c r="D888" s="861" t="s">
        <v>371</v>
      </c>
      <c r="E888" s="861"/>
      <c r="F888" s="862"/>
      <c r="G888" s="869">
        <v>1.0468698949999999</v>
      </c>
      <c r="H888" s="874">
        <v>33585310.399999999</v>
      </c>
      <c r="I888" s="871">
        <v>25.74</v>
      </c>
      <c r="J888" s="863" t="s">
        <v>4855</v>
      </c>
      <c r="K888" s="868">
        <f t="shared" si="74"/>
        <v>316</v>
      </c>
      <c r="L888" s="863" t="s">
        <v>3167</v>
      </c>
      <c r="M888" s="671">
        <f t="shared" si="75"/>
        <v>886</v>
      </c>
      <c r="N888" s="671">
        <f t="shared" si="76"/>
        <v>157</v>
      </c>
      <c r="O888" s="671" t="str">
        <f t="shared" si="77"/>
        <v>N/A</v>
      </c>
      <c r="P888" s="861" t="s">
        <v>1816</v>
      </c>
      <c r="Q888" s="861"/>
      <c r="R888" s="863" t="s">
        <v>945</v>
      </c>
      <c r="S888" s="861" t="s">
        <v>526</v>
      </c>
      <c r="T888" s="866" t="s">
        <v>4856</v>
      </c>
      <c r="U888" s="865"/>
    </row>
    <row r="889" spans="1:21" ht="15">
      <c r="A889" s="857"/>
      <c r="B889" s="861" t="s">
        <v>4857</v>
      </c>
      <c r="C889" s="861" t="s">
        <v>4858</v>
      </c>
      <c r="D889" s="861" t="s">
        <v>371</v>
      </c>
      <c r="E889" s="861"/>
      <c r="F889" s="862"/>
      <c r="G889" s="869">
        <v>0</v>
      </c>
      <c r="H889" s="874">
        <v>33441204.239999998</v>
      </c>
      <c r="I889" s="871"/>
      <c r="J889" s="863"/>
      <c r="K889" s="868">
        <f t="shared" si="74"/>
        <v>316</v>
      </c>
      <c r="L889" s="861"/>
      <c r="M889" s="671">
        <f t="shared" si="75"/>
        <v>887</v>
      </c>
      <c r="N889" s="671" t="str">
        <f t="shared" si="76"/>
        <v>N/A</v>
      </c>
      <c r="O889" s="671">
        <f t="shared" si="77"/>
        <v>708</v>
      </c>
      <c r="P889" s="861" t="s">
        <v>1475</v>
      </c>
      <c r="Q889" s="861"/>
      <c r="R889" s="861"/>
      <c r="S889" s="861" t="s">
        <v>734</v>
      </c>
      <c r="T889" s="866" t="s">
        <v>4859</v>
      </c>
      <c r="U889" s="865"/>
    </row>
    <row r="890" spans="1:21" ht="15">
      <c r="A890" s="672"/>
      <c r="B890" s="861" t="s">
        <v>4860</v>
      </c>
      <c r="C890" s="861" t="s">
        <v>4861</v>
      </c>
      <c r="D890" s="861" t="s">
        <v>371</v>
      </c>
      <c r="E890" s="861"/>
      <c r="F890" s="862"/>
      <c r="G890" s="869">
        <v>1.130471239</v>
      </c>
      <c r="H890" s="874">
        <v>33432801.489999998</v>
      </c>
      <c r="I890" s="871"/>
      <c r="J890" s="863" t="s">
        <v>4862</v>
      </c>
      <c r="K890" s="868">
        <f t="shared" si="74"/>
        <v>316</v>
      </c>
      <c r="L890" s="861"/>
      <c r="M890" s="671">
        <f t="shared" si="75"/>
        <v>888</v>
      </c>
      <c r="N890" s="671" t="str">
        <f t="shared" si="76"/>
        <v>N/A</v>
      </c>
      <c r="O890" s="671" t="str">
        <f t="shared" si="77"/>
        <v>N/A</v>
      </c>
      <c r="P890" s="861"/>
      <c r="Q890" s="861"/>
      <c r="R890" s="861"/>
      <c r="S890" s="861" t="s">
        <v>424</v>
      </c>
      <c r="T890" s="866" t="s">
        <v>4863</v>
      </c>
      <c r="U890" s="865"/>
    </row>
    <row r="891" spans="1:21" ht="15">
      <c r="A891" s="857"/>
      <c r="B891" s="861" t="s">
        <v>4864</v>
      </c>
      <c r="C891" s="861" t="s">
        <v>4865</v>
      </c>
      <c r="D891" s="861" t="s">
        <v>371</v>
      </c>
      <c r="E891" s="861"/>
      <c r="F891" s="862"/>
      <c r="G891" s="869">
        <v>0</v>
      </c>
      <c r="H891" s="874">
        <v>33386100.600000001</v>
      </c>
      <c r="I891" s="871"/>
      <c r="J891" s="862">
        <v>0.16400000000000001</v>
      </c>
      <c r="K891" s="868">
        <f t="shared" si="74"/>
        <v>316</v>
      </c>
      <c r="L891" s="861"/>
      <c r="M891" s="671">
        <f t="shared" si="75"/>
        <v>889</v>
      </c>
      <c r="N891" s="671" t="str">
        <f t="shared" si="76"/>
        <v>N/A</v>
      </c>
      <c r="O891" s="671">
        <f t="shared" si="77"/>
        <v>311</v>
      </c>
      <c r="P891" s="861" t="s">
        <v>2290</v>
      </c>
      <c r="Q891" s="861" t="s">
        <v>4533</v>
      </c>
      <c r="R891" s="861"/>
      <c r="S891" s="861" t="s">
        <v>4866</v>
      </c>
      <c r="T891" s="866" t="s">
        <v>4867</v>
      </c>
      <c r="U891" s="865"/>
    </row>
    <row r="892" spans="1:21" ht="15">
      <c r="A892" s="672"/>
      <c r="B892" s="861" t="s">
        <v>4868</v>
      </c>
      <c r="C892" s="861" t="s">
        <v>4869</v>
      </c>
      <c r="D892" s="861" t="s">
        <v>371</v>
      </c>
      <c r="E892" s="861"/>
      <c r="F892" s="862"/>
      <c r="G892" s="869">
        <v>110.6908397</v>
      </c>
      <c r="H892" s="874">
        <v>33041758.199999999</v>
      </c>
      <c r="I892" s="871"/>
      <c r="J892" s="862">
        <v>0.19</v>
      </c>
      <c r="K892" s="868">
        <f t="shared" si="74"/>
        <v>316</v>
      </c>
      <c r="L892" s="861" t="s">
        <v>487</v>
      </c>
      <c r="M892" s="671">
        <f t="shared" si="75"/>
        <v>890</v>
      </c>
      <c r="N892" s="671" t="str">
        <f t="shared" si="76"/>
        <v>N/A</v>
      </c>
      <c r="O892" s="671">
        <f t="shared" si="77"/>
        <v>272</v>
      </c>
      <c r="P892" s="861" t="s">
        <v>4870</v>
      </c>
      <c r="Q892" s="861" t="s">
        <v>4871</v>
      </c>
      <c r="R892" s="861" t="s">
        <v>563</v>
      </c>
      <c r="S892" s="861" t="s">
        <v>3363</v>
      </c>
      <c r="T892" s="866" t="s">
        <v>4872</v>
      </c>
      <c r="U892" s="865"/>
    </row>
    <row r="893" spans="1:21" ht="15">
      <c r="A893" s="857"/>
      <c r="B893" s="861" t="s">
        <v>4873</v>
      </c>
      <c r="C893" s="861" t="s">
        <v>4874</v>
      </c>
      <c r="D893" s="861" t="s">
        <v>371</v>
      </c>
      <c r="E893" s="861"/>
      <c r="F893" s="862"/>
      <c r="G893" s="869">
        <v>1.358419585</v>
      </c>
      <c r="H893" s="874">
        <v>32544979.32</v>
      </c>
      <c r="I893" s="871"/>
      <c r="J893" s="863"/>
      <c r="K893" s="868">
        <f t="shared" si="74"/>
        <v>316</v>
      </c>
      <c r="L893" s="861"/>
      <c r="M893" s="671">
        <f t="shared" si="75"/>
        <v>891</v>
      </c>
      <c r="N893" s="671" t="str">
        <f t="shared" si="76"/>
        <v>N/A</v>
      </c>
      <c r="O893" s="671">
        <f t="shared" si="77"/>
        <v>708</v>
      </c>
      <c r="P893" s="861"/>
      <c r="Q893" s="861"/>
      <c r="R893" s="861"/>
      <c r="S893" s="861" t="s">
        <v>1168</v>
      </c>
      <c r="T893" s="866" t="s">
        <v>4875</v>
      </c>
      <c r="U893" s="865"/>
    </row>
    <row r="894" spans="1:21" ht="15">
      <c r="A894" s="672"/>
      <c r="B894" s="861" t="s">
        <v>4876</v>
      </c>
      <c r="C894" s="861" t="s">
        <v>4877</v>
      </c>
      <c r="D894" s="861" t="s">
        <v>371</v>
      </c>
      <c r="E894" s="861"/>
      <c r="F894" s="862"/>
      <c r="G894" s="870" t="s">
        <v>4878</v>
      </c>
      <c r="H894" s="874">
        <v>32290043.899999999</v>
      </c>
      <c r="I894" s="871"/>
      <c r="J894" s="862">
        <v>0.48499999999999999</v>
      </c>
      <c r="K894" s="868">
        <f t="shared" si="74"/>
        <v>316</v>
      </c>
      <c r="L894" s="861" t="s">
        <v>2331</v>
      </c>
      <c r="M894" s="671">
        <f t="shared" si="75"/>
        <v>892</v>
      </c>
      <c r="N894" s="671" t="str">
        <f t="shared" si="76"/>
        <v>N/A</v>
      </c>
      <c r="O894" s="671">
        <f t="shared" si="77"/>
        <v>28</v>
      </c>
      <c r="P894" s="861" t="s">
        <v>4879</v>
      </c>
      <c r="Q894" s="861"/>
      <c r="R894" s="861" t="s">
        <v>771</v>
      </c>
      <c r="S894" s="861" t="s">
        <v>4880</v>
      </c>
      <c r="T894" s="866" t="s">
        <v>4881</v>
      </c>
      <c r="U894" s="865"/>
    </row>
    <row r="895" spans="1:21" ht="15">
      <c r="A895" s="857"/>
      <c r="B895" s="861" t="s">
        <v>4882</v>
      </c>
      <c r="C895" s="861" t="s">
        <v>4883</v>
      </c>
      <c r="D895" s="861" t="s">
        <v>371</v>
      </c>
      <c r="E895" s="861"/>
      <c r="F895" s="862"/>
      <c r="G895" s="869">
        <v>0.16920523600000001</v>
      </c>
      <c r="H895" s="874">
        <v>32260084.289999999</v>
      </c>
      <c r="I895" s="871"/>
      <c r="J895" s="862">
        <v>0.13</v>
      </c>
      <c r="K895" s="868">
        <f t="shared" si="74"/>
        <v>316</v>
      </c>
      <c r="L895" s="861"/>
      <c r="M895" s="671">
        <f t="shared" si="75"/>
        <v>893</v>
      </c>
      <c r="N895" s="671" t="str">
        <f t="shared" si="76"/>
        <v>N/A</v>
      </c>
      <c r="O895" s="671">
        <f t="shared" si="77"/>
        <v>398</v>
      </c>
      <c r="P895" s="861" t="s">
        <v>1425</v>
      </c>
      <c r="Q895" s="861" t="s">
        <v>4884</v>
      </c>
      <c r="R895" s="861"/>
      <c r="S895" s="861" t="s">
        <v>1732</v>
      </c>
      <c r="T895" s="866" t="s">
        <v>4885</v>
      </c>
      <c r="U895" s="865"/>
    </row>
    <row r="896" spans="1:21" ht="15">
      <c r="A896" s="672"/>
      <c r="B896" s="861" t="s">
        <v>4886</v>
      </c>
      <c r="C896" s="861" t="s">
        <v>4887</v>
      </c>
      <c r="D896" s="861" t="s">
        <v>371</v>
      </c>
      <c r="E896" s="861"/>
      <c r="F896" s="862"/>
      <c r="G896" s="869">
        <v>1.167737053</v>
      </c>
      <c r="H896" s="874">
        <v>32175634.379999999</v>
      </c>
      <c r="I896" s="872" t="s">
        <v>4888</v>
      </c>
      <c r="J896" s="862">
        <v>7.2999999999999995E-2</v>
      </c>
      <c r="K896" s="868">
        <f t="shared" si="74"/>
        <v>316</v>
      </c>
      <c r="L896" s="861"/>
      <c r="M896" s="671">
        <f t="shared" si="75"/>
        <v>894</v>
      </c>
      <c r="N896" s="671" t="str">
        <f t="shared" si="76"/>
        <v>N/A</v>
      </c>
      <c r="O896" s="671">
        <f t="shared" si="77"/>
        <v>554</v>
      </c>
      <c r="P896" s="861" t="s">
        <v>2559</v>
      </c>
      <c r="Q896" s="861"/>
      <c r="R896" s="861"/>
      <c r="S896" s="861" t="s">
        <v>473</v>
      </c>
      <c r="T896" s="866" t="s">
        <v>4889</v>
      </c>
      <c r="U896" s="865"/>
    </row>
    <row r="897" spans="1:21" ht="15">
      <c r="A897" s="857"/>
      <c r="B897" s="861" t="s">
        <v>4890</v>
      </c>
      <c r="C897" s="861" t="s">
        <v>4891</v>
      </c>
      <c r="D897" s="861" t="s">
        <v>371</v>
      </c>
      <c r="E897" s="861"/>
      <c r="F897" s="862"/>
      <c r="G897" s="869">
        <v>1.016651977</v>
      </c>
      <c r="H897" s="874">
        <v>32011696.559999999</v>
      </c>
      <c r="I897" s="871"/>
      <c r="J897" s="862">
        <v>0.21199999999999999</v>
      </c>
      <c r="K897" s="868">
        <f t="shared" si="74"/>
        <v>316</v>
      </c>
      <c r="L897" s="861"/>
      <c r="M897" s="671">
        <f t="shared" si="75"/>
        <v>895</v>
      </c>
      <c r="N897" s="671" t="str">
        <f t="shared" si="76"/>
        <v>N/A</v>
      </c>
      <c r="O897" s="671">
        <f t="shared" si="77"/>
        <v>234</v>
      </c>
      <c r="P897" s="861" t="s">
        <v>1617</v>
      </c>
      <c r="Q897" s="861" t="s">
        <v>4892</v>
      </c>
      <c r="R897" s="861"/>
      <c r="S897" s="861" t="s">
        <v>4893</v>
      </c>
      <c r="T897" s="866" t="s">
        <v>4894</v>
      </c>
      <c r="U897" s="865"/>
    </row>
    <row r="898" spans="1:21" ht="15">
      <c r="A898" s="672"/>
      <c r="B898" s="861" t="s">
        <v>4895</v>
      </c>
      <c r="C898" s="861" t="s">
        <v>4896</v>
      </c>
      <c r="D898" s="861" t="s">
        <v>371</v>
      </c>
      <c r="E898" s="861"/>
      <c r="F898" s="862"/>
      <c r="G898" s="869">
        <v>0.186159503</v>
      </c>
      <c r="H898" s="874">
        <v>31918037.719999999</v>
      </c>
      <c r="I898" s="871"/>
      <c r="J898" s="863" t="s">
        <v>4897</v>
      </c>
      <c r="K898" s="868">
        <f t="shared" si="74"/>
        <v>316</v>
      </c>
      <c r="L898" s="861" t="s">
        <v>1497</v>
      </c>
      <c r="M898" s="671">
        <f t="shared" si="75"/>
        <v>896</v>
      </c>
      <c r="N898" s="671" t="str">
        <f t="shared" si="76"/>
        <v>N/A</v>
      </c>
      <c r="O898" s="671" t="str">
        <f t="shared" si="77"/>
        <v>N/A</v>
      </c>
      <c r="P898" s="861" t="s">
        <v>1360</v>
      </c>
      <c r="Q898" s="861" t="s">
        <v>3584</v>
      </c>
      <c r="R898" s="861" t="s">
        <v>904</v>
      </c>
      <c r="S898" s="861" t="s">
        <v>540</v>
      </c>
      <c r="T898" s="866" t="s">
        <v>4898</v>
      </c>
      <c r="U898" s="865"/>
    </row>
    <row r="899" spans="1:21" ht="15">
      <c r="A899" s="857"/>
      <c r="B899" s="861" t="s">
        <v>4899</v>
      </c>
      <c r="C899" s="861" t="s">
        <v>4900</v>
      </c>
      <c r="D899" s="861" t="s">
        <v>371</v>
      </c>
      <c r="E899" s="861"/>
      <c r="F899" s="862"/>
      <c r="G899" s="870" t="s">
        <v>4901</v>
      </c>
      <c r="H899" s="874">
        <v>31582006.030000001</v>
      </c>
      <c r="I899" s="871"/>
      <c r="J899" s="862">
        <v>0.17299999999999999</v>
      </c>
      <c r="K899" s="868">
        <f t="shared" si="74"/>
        <v>316</v>
      </c>
      <c r="L899" s="861"/>
      <c r="M899" s="671">
        <f t="shared" si="75"/>
        <v>897</v>
      </c>
      <c r="N899" s="671" t="str">
        <f t="shared" si="76"/>
        <v>N/A</v>
      </c>
      <c r="O899" s="671">
        <f t="shared" si="77"/>
        <v>299</v>
      </c>
      <c r="P899" s="861" t="s">
        <v>4902</v>
      </c>
      <c r="Q899" s="861" t="s">
        <v>4903</v>
      </c>
      <c r="R899" s="861"/>
      <c r="S899" s="861" t="s">
        <v>674</v>
      </c>
      <c r="T899" s="866" t="s">
        <v>4904</v>
      </c>
      <c r="U899" s="865"/>
    </row>
    <row r="900" spans="1:21" ht="15">
      <c r="A900" s="672"/>
      <c r="B900" s="861" t="s">
        <v>4905</v>
      </c>
      <c r="C900" s="861" t="s">
        <v>4906</v>
      </c>
      <c r="D900" s="861" t="s">
        <v>371</v>
      </c>
      <c r="E900" s="861"/>
      <c r="F900" s="862"/>
      <c r="G900" s="869">
        <v>15.0941622</v>
      </c>
      <c r="H900" s="874">
        <v>31448095.050000001</v>
      </c>
      <c r="I900" s="872" t="s">
        <v>4907</v>
      </c>
      <c r="J900" s="862">
        <v>7.1999999999999995E-2</v>
      </c>
      <c r="K900" s="868">
        <f t="shared" ref="K900:K963" si="78">IFERROR(_xlfn.RANK.EQ(F900,F$3:F$1770),"N/A")</f>
        <v>316</v>
      </c>
      <c r="L900" s="861"/>
      <c r="M900" s="671">
        <f t="shared" ref="M900:M963" si="79">IFERROR(_xlfn.RANK.EQ(H900,H$3:H$1770),"N/A")</f>
        <v>898</v>
      </c>
      <c r="N900" s="671" t="str">
        <f t="shared" ref="N900:N963" si="80">IFERROR(_xlfn.RANK.EQ(I900,I$3:I$1770),"N/A")</f>
        <v>N/A</v>
      </c>
      <c r="O900" s="671">
        <f t="shared" ref="O900:O963" si="81">IFERROR(_xlfn.RANK.EQ(J900,J$3:J$1770),"N/A")</f>
        <v>558</v>
      </c>
      <c r="P900" s="861" t="s">
        <v>3149</v>
      </c>
      <c r="Q900" s="861" t="s">
        <v>4908</v>
      </c>
      <c r="R900" s="861"/>
      <c r="S900" s="861" t="s">
        <v>1031</v>
      </c>
      <c r="T900" s="866" t="s">
        <v>4909</v>
      </c>
      <c r="U900" s="865"/>
    </row>
    <row r="901" spans="1:21" ht="15">
      <c r="A901" s="857"/>
      <c r="B901" s="861" t="s">
        <v>4910</v>
      </c>
      <c r="C901" s="861" t="s">
        <v>4911</v>
      </c>
      <c r="D901" s="861" t="s">
        <v>371</v>
      </c>
      <c r="E901" s="861"/>
      <c r="F901" s="862"/>
      <c r="G901" s="869">
        <v>0.96117675000000002</v>
      </c>
      <c r="H901" s="874">
        <v>31302925.800000001</v>
      </c>
      <c r="I901" s="872" t="s">
        <v>4912</v>
      </c>
      <c r="J901" s="862">
        <v>0.16900000000000001</v>
      </c>
      <c r="K901" s="868">
        <f t="shared" si="78"/>
        <v>316</v>
      </c>
      <c r="L901" s="861" t="s">
        <v>964</v>
      </c>
      <c r="M901" s="671">
        <f t="shared" si="79"/>
        <v>899</v>
      </c>
      <c r="N901" s="671" t="str">
        <f t="shared" si="80"/>
        <v>N/A</v>
      </c>
      <c r="O901" s="671">
        <f t="shared" si="81"/>
        <v>306</v>
      </c>
      <c r="P901" s="861" t="s">
        <v>4913</v>
      </c>
      <c r="Q901" s="861" t="s">
        <v>4914</v>
      </c>
      <c r="R901" s="861" t="s">
        <v>1127</v>
      </c>
      <c r="S901" s="861" t="s">
        <v>4915</v>
      </c>
      <c r="T901" s="866" t="s">
        <v>4916</v>
      </c>
      <c r="U901" s="865"/>
    </row>
    <row r="902" spans="1:21" ht="15">
      <c r="A902" s="672"/>
      <c r="B902" s="861" t="s">
        <v>4917</v>
      </c>
      <c r="C902" s="861" t="s">
        <v>4918</v>
      </c>
      <c r="D902" s="861" t="s">
        <v>371</v>
      </c>
      <c r="E902" s="861"/>
      <c r="F902" s="862"/>
      <c r="G902" s="869">
        <v>0.172935162</v>
      </c>
      <c r="H902" s="874">
        <v>31272582.859999999</v>
      </c>
      <c r="I902" s="871"/>
      <c r="J902" s="863" t="s">
        <v>4919</v>
      </c>
      <c r="K902" s="868">
        <f t="shared" si="78"/>
        <v>316</v>
      </c>
      <c r="L902" s="863" t="s">
        <v>937</v>
      </c>
      <c r="M902" s="671">
        <f t="shared" si="79"/>
        <v>900</v>
      </c>
      <c r="N902" s="671" t="str">
        <f t="shared" si="80"/>
        <v>N/A</v>
      </c>
      <c r="O902" s="671" t="str">
        <f t="shared" si="81"/>
        <v>N/A</v>
      </c>
      <c r="P902" s="863" t="s">
        <v>4632</v>
      </c>
      <c r="Q902" s="863" t="s">
        <v>4920</v>
      </c>
      <c r="R902" s="861"/>
      <c r="S902" s="861" t="s">
        <v>931</v>
      </c>
      <c r="T902" s="866" t="s">
        <v>4921</v>
      </c>
      <c r="U902" s="865"/>
    </row>
    <row r="903" spans="1:21" ht="15">
      <c r="A903" s="857"/>
      <c r="B903" s="861" t="s">
        <v>4922</v>
      </c>
      <c r="C903" s="861" t="s">
        <v>4923</v>
      </c>
      <c r="D903" s="861" t="s">
        <v>371</v>
      </c>
      <c r="E903" s="861"/>
      <c r="F903" s="862"/>
      <c r="G903" s="870" t="s">
        <v>4924</v>
      </c>
      <c r="H903" s="874">
        <v>31205803.379999999</v>
      </c>
      <c r="I903" s="871"/>
      <c r="J903" s="862">
        <v>0.30299999999999999</v>
      </c>
      <c r="K903" s="868">
        <f t="shared" si="78"/>
        <v>316</v>
      </c>
      <c r="L903" s="861"/>
      <c r="M903" s="671">
        <f t="shared" si="79"/>
        <v>901</v>
      </c>
      <c r="N903" s="671" t="str">
        <f t="shared" si="80"/>
        <v>N/A</v>
      </c>
      <c r="O903" s="671">
        <f t="shared" si="81"/>
        <v>126</v>
      </c>
      <c r="P903" s="861"/>
      <c r="Q903" s="861"/>
      <c r="R903" s="861"/>
      <c r="S903" s="861" t="s">
        <v>424</v>
      </c>
      <c r="T903" s="866" t="s">
        <v>4925</v>
      </c>
      <c r="U903" s="865"/>
    </row>
    <row r="904" spans="1:21" ht="15">
      <c r="A904" s="672"/>
      <c r="B904" s="861" t="s">
        <v>4926</v>
      </c>
      <c r="C904" s="861" t="s">
        <v>4927</v>
      </c>
      <c r="D904" s="861" t="s">
        <v>371</v>
      </c>
      <c r="E904" s="861"/>
      <c r="F904" s="862">
        <v>3.2000000000000001E-2</v>
      </c>
      <c r="G904" s="869">
        <v>3.1627906979999998</v>
      </c>
      <c r="H904" s="874">
        <v>31196538.77</v>
      </c>
      <c r="I904" s="871"/>
      <c r="J904" s="862">
        <v>4.3999999999999997E-2</v>
      </c>
      <c r="K904" s="868">
        <f t="shared" si="78"/>
        <v>280</v>
      </c>
      <c r="L904" s="861"/>
      <c r="M904" s="671">
        <f t="shared" si="79"/>
        <v>902</v>
      </c>
      <c r="N904" s="671" t="str">
        <f t="shared" si="80"/>
        <v>N/A</v>
      </c>
      <c r="O904" s="671">
        <f t="shared" si="81"/>
        <v>614</v>
      </c>
      <c r="P904" s="861" t="s">
        <v>4928</v>
      </c>
      <c r="Q904" s="861" t="s">
        <v>4929</v>
      </c>
      <c r="R904" s="861"/>
      <c r="S904" s="861" t="s">
        <v>1977</v>
      </c>
      <c r="T904" s="866" t="s">
        <v>4930</v>
      </c>
      <c r="U904" s="865"/>
    </row>
    <row r="905" spans="1:21" ht="15">
      <c r="A905" s="857"/>
      <c r="B905" s="861" t="s">
        <v>4931</v>
      </c>
      <c r="C905" s="861" t="s">
        <v>4932</v>
      </c>
      <c r="D905" s="861" t="s">
        <v>371</v>
      </c>
      <c r="E905" s="861"/>
      <c r="F905" s="862"/>
      <c r="G905" s="869">
        <v>5.4755490599999996</v>
      </c>
      <c r="H905" s="874">
        <v>31183037.170000002</v>
      </c>
      <c r="I905" s="872" t="s">
        <v>4933</v>
      </c>
      <c r="J905" s="862">
        <v>0.19600000000000001</v>
      </c>
      <c r="K905" s="868">
        <f t="shared" si="78"/>
        <v>316</v>
      </c>
      <c r="L905" s="861"/>
      <c r="M905" s="671">
        <f t="shared" si="79"/>
        <v>903</v>
      </c>
      <c r="N905" s="671" t="str">
        <f t="shared" si="80"/>
        <v>N/A</v>
      </c>
      <c r="O905" s="671">
        <f t="shared" si="81"/>
        <v>261</v>
      </c>
      <c r="P905" s="861" t="s">
        <v>1168</v>
      </c>
      <c r="Q905" s="861"/>
      <c r="R905" s="861"/>
      <c r="S905" s="861" t="s">
        <v>507</v>
      </c>
      <c r="T905" s="866" t="s">
        <v>4934</v>
      </c>
      <c r="U905" s="865"/>
    </row>
    <row r="906" spans="1:21" ht="15">
      <c r="A906" s="672"/>
      <c r="B906" s="861" t="s">
        <v>4935</v>
      </c>
      <c r="C906" s="861" t="s">
        <v>4936</v>
      </c>
      <c r="D906" s="861" t="s">
        <v>371</v>
      </c>
      <c r="E906" s="861"/>
      <c r="F906" s="862"/>
      <c r="G906" s="869">
        <v>0.16976227899999999</v>
      </c>
      <c r="H906" s="874">
        <v>31051079.699999999</v>
      </c>
      <c r="I906" s="871"/>
      <c r="J906" s="861"/>
      <c r="K906" s="868">
        <f t="shared" si="78"/>
        <v>316</v>
      </c>
      <c r="L906" s="861"/>
      <c r="M906" s="671">
        <f t="shared" si="79"/>
        <v>904</v>
      </c>
      <c r="N906" s="671" t="str">
        <f t="shared" si="80"/>
        <v>N/A</v>
      </c>
      <c r="O906" s="671">
        <f t="shared" si="81"/>
        <v>708</v>
      </c>
      <c r="P906" s="861" t="s">
        <v>4937</v>
      </c>
      <c r="Q906" s="861" t="s">
        <v>4938</v>
      </c>
      <c r="R906" s="861"/>
      <c r="S906" s="861" t="s">
        <v>4939</v>
      </c>
      <c r="T906" s="866" t="s">
        <v>4940</v>
      </c>
      <c r="U906" s="865"/>
    </row>
    <row r="907" spans="1:21" ht="15">
      <c r="A907" s="857"/>
      <c r="B907" s="861" t="s">
        <v>4941</v>
      </c>
      <c r="C907" s="861" t="s">
        <v>4942</v>
      </c>
      <c r="D907" s="861" t="s">
        <v>371</v>
      </c>
      <c r="E907" s="861"/>
      <c r="F907" s="862"/>
      <c r="G907" s="869">
        <v>0.246437291</v>
      </c>
      <c r="H907" s="874">
        <v>30950384</v>
      </c>
      <c r="I907" s="871"/>
      <c r="J907" s="861"/>
      <c r="K907" s="868">
        <f t="shared" si="78"/>
        <v>316</v>
      </c>
      <c r="L907" s="861"/>
      <c r="M907" s="671">
        <f t="shared" si="79"/>
        <v>905</v>
      </c>
      <c r="N907" s="671" t="str">
        <f t="shared" si="80"/>
        <v>N/A</v>
      </c>
      <c r="O907" s="671">
        <f t="shared" si="81"/>
        <v>708</v>
      </c>
      <c r="P907" s="861" t="s">
        <v>4943</v>
      </c>
      <c r="Q907" s="861"/>
      <c r="R907" s="861"/>
      <c r="S907" s="861" t="s">
        <v>4944</v>
      </c>
      <c r="T907" s="866" t="s">
        <v>4945</v>
      </c>
      <c r="U907" s="865"/>
    </row>
    <row r="908" spans="1:21" ht="15">
      <c r="A908" s="672"/>
      <c r="B908" s="861" t="s">
        <v>4946</v>
      </c>
      <c r="C908" s="861" t="s">
        <v>4947</v>
      </c>
      <c r="D908" s="861" t="s">
        <v>371</v>
      </c>
      <c r="E908" s="861"/>
      <c r="F908" s="862"/>
      <c r="G908" s="869">
        <v>49.273553319999998</v>
      </c>
      <c r="H908" s="874">
        <v>30914398.210000001</v>
      </c>
      <c r="I908" s="871"/>
      <c r="J908" s="862">
        <v>0.104</v>
      </c>
      <c r="K908" s="868">
        <f t="shared" si="78"/>
        <v>316</v>
      </c>
      <c r="L908" s="861"/>
      <c r="M908" s="671">
        <f t="shared" si="79"/>
        <v>906</v>
      </c>
      <c r="N908" s="671" t="str">
        <f t="shared" si="80"/>
        <v>N/A</v>
      </c>
      <c r="O908" s="671">
        <f t="shared" si="81"/>
        <v>475</v>
      </c>
      <c r="P908" s="861" t="s">
        <v>3715</v>
      </c>
      <c r="Q908" s="861" t="s">
        <v>4948</v>
      </c>
      <c r="R908" s="861"/>
      <c r="S908" s="861" t="s">
        <v>390</v>
      </c>
      <c r="T908" s="866" t="s">
        <v>4949</v>
      </c>
      <c r="U908" s="865"/>
    </row>
    <row r="909" spans="1:21" ht="15">
      <c r="A909" s="857"/>
      <c r="B909" s="861" t="s">
        <v>4950</v>
      </c>
      <c r="C909" s="861" t="s">
        <v>4951</v>
      </c>
      <c r="D909" s="861" t="s">
        <v>371</v>
      </c>
      <c r="E909" s="861"/>
      <c r="F909" s="862"/>
      <c r="G909" s="869">
        <v>9.4272550000000007E-3</v>
      </c>
      <c r="H909" s="874">
        <v>30639971.68</v>
      </c>
      <c r="I909" s="871"/>
      <c r="J909" s="863" t="s">
        <v>4952</v>
      </c>
      <c r="K909" s="868">
        <f t="shared" si="78"/>
        <v>316</v>
      </c>
      <c r="L909" s="861"/>
      <c r="M909" s="671">
        <f t="shared" si="79"/>
        <v>907</v>
      </c>
      <c r="N909" s="671" t="str">
        <f t="shared" si="80"/>
        <v>N/A</v>
      </c>
      <c r="O909" s="671" t="str">
        <f t="shared" si="81"/>
        <v>N/A</v>
      </c>
      <c r="P909" s="861" t="s">
        <v>506</v>
      </c>
      <c r="Q909" s="861" t="s">
        <v>672</v>
      </c>
      <c r="R909" s="861"/>
      <c r="S909" s="861" t="s">
        <v>2080</v>
      </c>
      <c r="T909" s="866" t="s">
        <v>4953</v>
      </c>
      <c r="U909" s="865"/>
    </row>
    <row r="910" spans="1:21" ht="15">
      <c r="A910" s="672"/>
      <c r="B910" s="861" t="s">
        <v>4954</v>
      </c>
      <c r="C910" s="861" t="s">
        <v>4955</v>
      </c>
      <c r="D910" s="861" t="s">
        <v>371</v>
      </c>
      <c r="E910" s="861"/>
      <c r="F910" s="862"/>
      <c r="G910" s="870" t="s">
        <v>4956</v>
      </c>
      <c r="H910" s="874">
        <v>30587539.949999999</v>
      </c>
      <c r="I910" s="871"/>
      <c r="J910" s="863" t="s">
        <v>4957</v>
      </c>
      <c r="K910" s="868">
        <f t="shared" si="78"/>
        <v>316</v>
      </c>
      <c r="L910" s="861"/>
      <c r="M910" s="671">
        <f t="shared" si="79"/>
        <v>908</v>
      </c>
      <c r="N910" s="671" t="str">
        <f t="shared" si="80"/>
        <v>N/A</v>
      </c>
      <c r="O910" s="671" t="str">
        <f t="shared" si="81"/>
        <v>N/A</v>
      </c>
      <c r="P910" s="861" t="s">
        <v>4958</v>
      </c>
      <c r="Q910" s="861"/>
      <c r="R910" s="861"/>
      <c r="S910" s="861" t="s">
        <v>467</v>
      </c>
      <c r="T910" s="866" t="s">
        <v>4959</v>
      </c>
      <c r="U910" s="865"/>
    </row>
    <row r="911" spans="1:21" ht="15">
      <c r="A911" s="857"/>
      <c r="B911" s="861" t="s">
        <v>4960</v>
      </c>
      <c r="C911" s="861" t="s">
        <v>4961</v>
      </c>
      <c r="D911" s="861" t="s">
        <v>371</v>
      </c>
      <c r="E911" s="861"/>
      <c r="F911" s="862"/>
      <c r="G911" s="870" t="s">
        <v>4962</v>
      </c>
      <c r="H911" s="874">
        <v>30507717.949999999</v>
      </c>
      <c r="I911" s="871"/>
      <c r="J911" s="862">
        <v>8.5999999999999993E-2</v>
      </c>
      <c r="K911" s="868">
        <f t="shared" si="78"/>
        <v>316</v>
      </c>
      <c r="L911" s="861"/>
      <c r="M911" s="671">
        <f t="shared" si="79"/>
        <v>909</v>
      </c>
      <c r="N911" s="671" t="str">
        <f t="shared" si="80"/>
        <v>N/A</v>
      </c>
      <c r="O911" s="671">
        <f t="shared" si="81"/>
        <v>529</v>
      </c>
      <c r="P911" s="861"/>
      <c r="Q911" s="861"/>
      <c r="R911" s="861"/>
      <c r="S911" s="861" t="s">
        <v>424</v>
      </c>
      <c r="T911" s="866" t="s">
        <v>4963</v>
      </c>
      <c r="U911" s="865"/>
    </row>
    <row r="912" spans="1:21" ht="15">
      <c r="A912" s="672"/>
      <c r="B912" s="861" t="s">
        <v>4964</v>
      </c>
      <c r="C912" s="861" t="s">
        <v>4965</v>
      </c>
      <c r="D912" s="861" t="s">
        <v>371</v>
      </c>
      <c r="E912" s="861"/>
      <c r="F912" s="862"/>
      <c r="G912" s="869">
        <v>5.8642036749999997</v>
      </c>
      <c r="H912" s="874">
        <v>30207730.390000001</v>
      </c>
      <c r="I912" s="871"/>
      <c r="J912" s="863"/>
      <c r="K912" s="868">
        <f t="shared" si="78"/>
        <v>316</v>
      </c>
      <c r="L912" s="861"/>
      <c r="M912" s="671">
        <f t="shared" si="79"/>
        <v>910</v>
      </c>
      <c r="N912" s="671" t="str">
        <f t="shared" si="80"/>
        <v>N/A</v>
      </c>
      <c r="O912" s="671">
        <f t="shared" si="81"/>
        <v>708</v>
      </c>
      <c r="P912" s="861"/>
      <c r="Q912" s="861"/>
      <c r="R912" s="861"/>
      <c r="S912" s="861"/>
      <c r="T912" s="866" t="s">
        <v>2801</v>
      </c>
      <c r="U912" s="865"/>
    </row>
    <row r="913" spans="1:21" ht="15">
      <c r="A913" s="857"/>
      <c r="B913" s="861" t="s">
        <v>4966</v>
      </c>
      <c r="C913" s="861" t="s">
        <v>4967</v>
      </c>
      <c r="D913" s="861" t="s">
        <v>371</v>
      </c>
      <c r="E913" s="861"/>
      <c r="F913" s="862"/>
      <c r="G913" s="869">
        <v>1.1936992E-2</v>
      </c>
      <c r="H913" s="874">
        <v>30008753.559999999</v>
      </c>
      <c r="I913" s="871"/>
      <c r="J913" s="862">
        <v>3.5000000000000003E-2</v>
      </c>
      <c r="K913" s="868">
        <f t="shared" si="78"/>
        <v>316</v>
      </c>
      <c r="L913" s="861"/>
      <c r="M913" s="671">
        <f t="shared" si="79"/>
        <v>911</v>
      </c>
      <c r="N913" s="671" t="str">
        <f t="shared" si="80"/>
        <v>N/A</v>
      </c>
      <c r="O913" s="671">
        <f t="shared" si="81"/>
        <v>641</v>
      </c>
      <c r="P913" s="861" t="s">
        <v>449</v>
      </c>
      <c r="Q913" s="861" t="s">
        <v>4968</v>
      </c>
      <c r="R913" s="861"/>
      <c r="S913" s="861" t="s">
        <v>812</v>
      </c>
      <c r="T913" s="866" t="s">
        <v>4969</v>
      </c>
      <c r="U913" s="865"/>
    </row>
    <row r="914" spans="1:21" ht="15">
      <c r="A914" s="672"/>
      <c r="B914" s="861" t="s">
        <v>4970</v>
      </c>
      <c r="C914" s="861" t="s">
        <v>4971</v>
      </c>
      <c r="D914" s="861" t="s">
        <v>371</v>
      </c>
      <c r="E914" s="861"/>
      <c r="F914" s="862"/>
      <c r="G914" s="870" t="s">
        <v>4972</v>
      </c>
      <c r="H914" s="874">
        <v>30006663.5</v>
      </c>
      <c r="I914" s="872" t="s">
        <v>4973</v>
      </c>
      <c r="J914" s="862">
        <v>0.14499999999999999</v>
      </c>
      <c r="K914" s="868">
        <f t="shared" si="78"/>
        <v>316</v>
      </c>
      <c r="L914" s="861"/>
      <c r="M914" s="671">
        <f t="shared" si="79"/>
        <v>912</v>
      </c>
      <c r="N914" s="671" t="str">
        <f t="shared" si="80"/>
        <v>N/A</v>
      </c>
      <c r="O914" s="671">
        <f t="shared" si="81"/>
        <v>358</v>
      </c>
      <c r="P914" s="861" t="s">
        <v>4974</v>
      </c>
      <c r="Q914" s="861"/>
      <c r="R914" s="861"/>
      <c r="S914" s="861" t="s">
        <v>1252</v>
      </c>
      <c r="T914" s="866" t="s">
        <v>4975</v>
      </c>
      <c r="U914" s="865"/>
    </row>
    <row r="915" spans="1:21" ht="15">
      <c r="A915" s="857"/>
      <c r="B915" s="861" t="s">
        <v>4976</v>
      </c>
      <c r="C915" s="861" t="s">
        <v>4977</v>
      </c>
      <c r="D915" s="861" t="s">
        <v>371</v>
      </c>
      <c r="E915" s="861"/>
      <c r="F915" s="862"/>
      <c r="G915" s="869">
        <v>0</v>
      </c>
      <c r="H915" s="874">
        <v>29928752.07</v>
      </c>
      <c r="I915" s="871"/>
      <c r="J915" s="862">
        <v>7.2999999999999995E-2</v>
      </c>
      <c r="K915" s="868">
        <f t="shared" si="78"/>
        <v>316</v>
      </c>
      <c r="L915" s="861" t="s">
        <v>1469</v>
      </c>
      <c r="M915" s="671">
        <f t="shared" si="79"/>
        <v>913</v>
      </c>
      <c r="N915" s="671" t="str">
        <f t="shared" si="80"/>
        <v>N/A</v>
      </c>
      <c r="O915" s="671">
        <f t="shared" si="81"/>
        <v>554</v>
      </c>
      <c r="P915" s="861" t="s">
        <v>4978</v>
      </c>
      <c r="Q915" s="861" t="s">
        <v>4979</v>
      </c>
      <c r="R915" s="861" t="s">
        <v>1866</v>
      </c>
      <c r="S915" s="861" t="s">
        <v>4980</v>
      </c>
      <c r="T915" s="866" t="s">
        <v>4981</v>
      </c>
      <c r="U915" s="865"/>
    </row>
    <row r="916" spans="1:21" ht="15">
      <c r="A916" s="672"/>
      <c r="B916" s="861" t="s">
        <v>4982</v>
      </c>
      <c r="C916" s="861" t="s">
        <v>4983</v>
      </c>
      <c r="D916" s="861" t="s">
        <v>371</v>
      </c>
      <c r="E916" s="861"/>
      <c r="F916" s="862">
        <v>0.13100000000000001</v>
      </c>
      <c r="G916" s="869">
        <v>1.787301587</v>
      </c>
      <c r="H916" s="874">
        <v>29917361.850000001</v>
      </c>
      <c r="I916" s="871"/>
      <c r="J916" s="862">
        <v>0.313</v>
      </c>
      <c r="K916" s="868">
        <f t="shared" si="78"/>
        <v>165</v>
      </c>
      <c r="L916" s="861" t="s">
        <v>3239</v>
      </c>
      <c r="M916" s="671">
        <f t="shared" si="79"/>
        <v>914</v>
      </c>
      <c r="N916" s="671" t="str">
        <f t="shared" si="80"/>
        <v>N/A</v>
      </c>
      <c r="O916" s="671">
        <f t="shared" si="81"/>
        <v>110</v>
      </c>
      <c r="P916" s="861" t="s">
        <v>4984</v>
      </c>
      <c r="Q916" s="861" t="s">
        <v>4985</v>
      </c>
      <c r="R916" s="861" t="s">
        <v>959</v>
      </c>
      <c r="S916" s="861" t="s">
        <v>4986</v>
      </c>
      <c r="T916" s="866" t="s">
        <v>4987</v>
      </c>
      <c r="U916" s="865"/>
    </row>
    <row r="917" spans="1:21" ht="15">
      <c r="A917" s="857"/>
      <c r="B917" s="861" t="s">
        <v>4988</v>
      </c>
      <c r="C917" s="861" t="s">
        <v>4989</v>
      </c>
      <c r="D917" s="861" t="s">
        <v>371</v>
      </c>
      <c r="E917" s="861"/>
      <c r="F917" s="862"/>
      <c r="G917" s="869">
        <v>16.15160375</v>
      </c>
      <c r="H917" s="874">
        <v>29794749.969999999</v>
      </c>
      <c r="I917" s="871"/>
      <c r="J917" s="862">
        <v>0.187</v>
      </c>
      <c r="K917" s="868">
        <f t="shared" si="78"/>
        <v>316</v>
      </c>
      <c r="L917" s="861"/>
      <c r="M917" s="671">
        <f t="shared" si="79"/>
        <v>915</v>
      </c>
      <c r="N917" s="671" t="str">
        <f t="shared" si="80"/>
        <v>N/A</v>
      </c>
      <c r="O917" s="671">
        <f t="shared" si="81"/>
        <v>276</v>
      </c>
      <c r="P917" s="861" t="s">
        <v>4990</v>
      </c>
      <c r="Q917" s="861"/>
      <c r="R917" s="861"/>
      <c r="S917" s="861" t="s">
        <v>392</v>
      </c>
      <c r="T917" s="866" t="s">
        <v>4991</v>
      </c>
      <c r="U917" s="865"/>
    </row>
    <row r="918" spans="1:21" ht="15">
      <c r="A918" s="672"/>
      <c r="B918" s="861" t="s">
        <v>4992</v>
      </c>
      <c r="C918" s="861" t="s">
        <v>4993</v>
      </c>
      <c r="D918" s="861" t="s">
        <v>371</v>
      </c>
      <c r="E918" s="861"/>
      <c r="F918" s="862"/>
      <c r="G918" s="869">
        <v>2.5762395E-2</v>
      </c>
      <c r="H918" s="874">
        <v>29762880.850000001</v>
      </c>
      <c r="I918" s="871"/>
      <c r="J918" s="863" t="s">
        <v>4994</v>
      </c>
      <c r="K918" s="868">
        <f t="shared" si="78"/>
        <v>316</v>
      </c>
      <c r="L918" s="861"/>
      <c r="M918" s="671">
        <f t="shared" si="79"/>
        <v>916</v>
      </c>
      <c r="N918" s="671" t="str">
        <f t="shared" si="80"/>
        <v>N/A</v>
      </c>
      <c r="O918" s="671" t="str">
        <f t="shared" si="81"/>
        <v>N/A</v>
      </c>
      <c r="P918" s="861" t="s">
        <v>4995</v>
      </c>
      <c r="Q918" s="861" t="s">
        <v>4996</v>
      </c>
      <c r="R918" s="861"/>
      <c r="S918" s="861" t="s">
        <v>3033</v>
      </c>
      <c r="T918" s="866" t="s">
        <v>4997</v>
      </c>
      <c r="U918" s="865"/>
    </row>
    <row r="919" spans="1:21" ht="15">
      <c r="A919" s="857"/>
      <c r="B919" s="861" t="s">
        <v>4998</v>
      </c>
      <c r="C919" s="861" t="s">
        <v>4999</v>
      </c>
      <c r="D919" s="861" t="s">
        <v>371</v>
      </c>
      <c r="E919" s="861"/>
      <c r="F919" s="862"/>
      <c r="G919" s="870" t="s">
        <v>5000</v>
      </c>
      <c r="H919" s="874">
        <v>29488060.940000001</v>
      </c>
      <c r="I919" s="871"/>
      <c r="J919" s="862">
        <v>0.13700000000000001</v>
      </c>
      <c r="K919" s="868">
        <f t="shared" si="78"/>
        <v>316</v>
      </c>
      <c r="L919" s="861" t="s">
        <v>1370</v>
      </c>
      <c r="M919" s="671">
        <f t="shared" si="79"/>
        <v>917</v>
      </c>
      <c r="N919" s="671" t="str">
        <f t="shared" si="80"/>
        <v>N/A</v>
      </c>
      <c r="O919" s="671">
        <f t="shared" si="81"/>
        <v>376</v>
      </c>
      <c r="P919" s="861" t="s">
        <v>4692</v>
      </c>
      <c r="Q919" s="861" t="s">
        <v>5001</v>
      </c>
      <c r="R919" s="861" t="s">
        <v>3024</v>
      </c>
      <c r="S919" s="861" t="s">
        <v>5002</v>
      </c>
      <c r="T919" s="866" t="s">
        <v>5003</v>
      </c>
      <c r="U919" s="865"/>
    </row>
    <row r="920" spans="1:21" ht="15">
      <c r="A920" s="672"/>
      <c r="B920" s="861" t="s">
        <v>5004</v>
      </c>
      <c r="C920" s="861" t="s">
        <v>5005</v>
      </c>
      <c r="D920" s="861" t="s">
        <v>371</v>
      </c>
      <c r="E920" s="861"/>
      <c r="F920" s="862"/>
      <c r="G920" s="869">
        <v>0.35995280600000001</v>
      </c>
      <c r="H920" s="874">
        <v>29235821.420000002</v>
      </c>
      <c r="I920" s="871"/>
      <c r="J920" s="862">
        <v>9.8000000000000004E-2</v>
      </c>
      <c r="K920" s="868">
        <f t="shared" si="78"/>
        <v>316</v>
      </c>
      <c r="L920" s="861"/>
      <c r="M920" s="671">
        <f t="shared" si="79"/>
        <v>918</v>
      </c>
      <c r="N920" s="671" t="str">
        <f t="shared" si="80"/>
        <v>N/A</v>
      </c>
      <c r="O920" s="671">
        <f t="shared" si="81"/>
        <v>504</v>
      </c>
      <c r="P920" s="861"/>
      <c r="Q920" s="861"/>
      <c r="R920" s="861"/>
      <c r="S920" s="861"/>
      <c r="T920" s="866"/>
      <c r="U920" s="865"/>
    </row>
    <row r="921" spans="1:21" ht="15">
      <c r="A921" s="857"/>
      <c r="B921" s="861" t="s">
        <v>5006</v>
      </c>
      <c r="C921" s="861" t="s">
        <v>5007</v>
      </c>
      <c r="D921" s="861" t="s">
        <v>371</v>
      </c>
      <c r="E921" s="861"/>
      <c r="F921" s="862"/>
      <c r="G921" s="869">
        <v>0.19273589799999999</v>
      </c>
      <c r="H921" s="874">
        <v>29181399.780000001</v>
      </c>
      <c r="I921" s="871"/>
      <c r="J921" s="861"/>
      <c r="K921" s="868">
        <f t="shared" si="78"/>
        <v>316</v>
      </c>
      <c r="L921" s="861"/>
      <c r="M921" s="671">
        <f t="shared" si="79"/>
        <v>919</v>
      </c>
      <c r="N921" s="671" t="str">
        <f t="shared" si="80"/>
        <v>N/A</v>
      </c>
      <c r="O921" s="671">
        <f t="shared" si="81"/>
        <v>708</v>
      </c>
      <c r="P921" s="861" t="s">
        <v>3118</v>
      </c>
      <c r="Q921" s="861"/>
      <c r="R921" s="861" t="s">
        <v>2069</v>
      </c>
      <c r="S921" s="861" t="s">
        <v>803</v>
      </c>
      <c r="T921" s="866" t="s">
        <v>5008</v>
      </c>
      <c r="U921" s="865"/>
    </row>
    <row r="922" spans="1:21" ht="15">
      <c r="A922" s="672"/>
      <c r="B922" s="861" t="s">
        <v>5009</v>
      </c>
      <c r="C922" s="861" t="s">
        <v>5010</v>
      </c>
      <c r="D922" s="861" t="s">
        <v>371</v>
      </c>
      <c r="E922" s="861"/>
      <c r="F922" s="862"/>
      <c r="G922" s="869">
        <v>0.10295501899999999</v>
      </c>
      <c r="H922" s="874">
        <v>29154582.07</v>
      </c>
      <c r="I922" s="871"/>
      <c r="J922" s="863"/>
      <c r="K922" s="868">
        <f t="shared" si="78"/>
        <v>316</v>
      </c>
      <c r="L922" s="863" t="s">
        <v>4400</v>
      </c>
      <c r="M922" s="671">
        <f t="shared" si="79"/>
        <v>920</v>
      </c>
      <c r="N922" s="671" t="str">
        <f t="shared" si="80"/>
        <v>N/A</v>
      </c>
      <c r="O922" s="671">
        <f t="shared" si="81"/>
        <v>708</v>
      </c>
      <c r="P922" s="861" t="s">
        <v>781</v>
      </c>
      <c r="Q922" s="861"/>
      <c r="R922" s="863" t="s">
        <v>4564</v>
      </c>
      <c r="S922" s="861" t="s">
        <v>1165</v>
      </c>
      <c r="T922" s="866" t="s">
        <v>5011</v>
      </c>
      <c r="U922" s="865"/>
    </row>
    <row r="923" spans="1:21" ht="15">
      <c r="A923" s="857"/>
      <c r="B923" s="861" t="s">
        <v>5012</v>
      </c>
      <c r="C923" s="861" t="s">
        <v>5013</v>
      </c>
      <c r="D923" s="861" t="s">
        <v>371</v>
      </c>
      <c r="E923" s="861"/>
      <c r="F923" s="862"/>
      <c r="G923" s="869">
        <v>0</v>
      </c>
      <c r="H923" s="874">
        <v>29127857.510000002</v>
      </c>
      <c r="I923" s="871"/>
      <c r="J923" s="863" t="s">
        <v>5014</v>
      </c>
      <c r="K923" s="868">
        <f t="shared" si="78"/>
        <v>316</v>
      </c>
      <c r="L923" s="863" t="s">
        <v>1032</v>
      </c>
      <c r="M923" s="671">
        <f t="shared" si="79"/>
        <v>921</v>
      </c>
      <c r="N923" s="671" t="str">
        <f t="shared" si="80"/>
        <v>N/A</v>
      </c>
      <c r="O923" s="671" t="str">
        <f t="shared" si="81"/>
        <v>N/A</v>
      </c>
      <c r="P923" s="861" t="s">
        <v>653</v>
      </c>
      <c r="Q923" s="861"/>
      <c r="R923" s="861" t="s">
        <v>1640</v>
      </c>
      <c r="S923" s="861" t="s">
        <v>2111</v>
      </c>
      <c r="T923" s="866" t="s">
        <v>5015</v>
      </c>
      <c r="U923" s="865"/>
    </row>
    <row r="924" spans="1:21" ht="15">
      <c r="A924" s="672"/>
      <c r="B924" s="861" t="s">
        <v>5016</v>
      </c>
      <c r="C924" s="861" t="s">
        <v>5017</v>
      </c>
      <c r="D924" s="861" t="s">
        <v>371</v>
      </c>
      <c r="E924" s="861"/>
      <c r="F924" s="862"/>
      <c r="G924" s="869">
        <v>5.5083280659999998</v>
      </c>
      <c r="H924" s="874">
        <v>28978127.760000002</v>
      </c>
      <c r="I924" s="871"/>
      <c r="J924" s="862">
        <v>8.5000000000000006E-2</v>
      </c>
      <c r="K924" s="868">
        <f t="shared" si="78"/>
        <v>316</v>
      </c>
      <c r="L924" s="861"/>
      <c r="M924" s="671">
        <f t="shared" si="79"/>
        <v>922</v>
      </c>
      <c r="N924" s="671" t="str">
        <f t="shared" si="80"/>
        <v>N/A</v>
      </c>
      <c r="O924" s="671">
        <f t="shared" si="81"/>
        <v>532</v>
      </c>
      <c r="P924" s="861" t="s">
        <v>1307</v>
      </c>
      <c r="Q924" s="861" t="s">
        <v>5018</v>
      </c>
      <c r="R924" s="861"/>
      <c r="S924" s="861" t="s">
        <v>3211</v>
      </c>
      <c r="T924" s="866" t="s">
        <v>5019</v>
      </c>
      <c r="U924" s="865"/>
    </row>
    <row r="925" spans="1:21" ht="15">
      <c r="A925" s="857"/>
      <c r="B925" s="861" t="s">
        <v>5020</v>
      </c>
      <c r="C925" s="861" t="s">
        <v>5021</v>
      </c>
      <c r="D925" s="861" t="s">
        <v>371</v>
      </c>
      <c r="E925" s="861"/>
      <c r="F925" s="862"/>
      <c r="G925" s="869">
        <v>7.6486649570000003</v>
      </c>
      <c r="H925" s="874">
        <v>28917986.489999998</v>
      </c>
      <c r="I925" s="871"/>
      <c r="J925" s="863" t="s">
        <v>5022</v>
      </c>
      <c r="K925" s="868">
        <f t="shared" si="78"/>
        <v>316</v>
      </c>
      <c r="L925" s="863" t="s">
        <v>5023</v>
      </c>
      <c r="M925" s="671">
        <f t="shared" si="79"/>
        <v>923</v>
      </c>
      <c r="N925" s="671" t="str">
        <f t="shared" si="80"/>
        <v>N/A</v>
      </c>
      <c r="O925" s="671" t="str">
        <f t="shared" si="81"/>
        <v>N/A</v>
      </c>
      <c r="P925" s="861" t="s">
        <v>3715</v>
      </c>
      <c r="Q925" s="861" t="s">
        <v>5024</v>
      </c>
      <c r="R925" s="861" t="s">
        <v>1866</v>
      </c>
      <c r="S925" s="861" t="s">
        <v>5025</v>
      </c>
      <c r="T925" s="866" t="s">
        <v>5026</v>
      </c>
      <c r="U925" s="865"/>
    </row>
    <row r="926" spans="1:21" ht="15">
      <c r="A926" s="672"/>
      <c r="B926" s="861" t="s">
        <v>5027</v>
      </c>
      <c r="C926" s="861" t="s">
        <v>5028</v>
      </c>
      <c r="D926" s="861" t="s">
        <v>371</v>
      </c>
      <c r="E926" s="861"/>
      <c r="F926" s="862"/>
      <c r="G926" s="870" t="s">
        <v>5029</v>
      </c>
      <c r="H926" s="874">
        <v>28789412.25</v>
      </c>
      <c r="I926" s="871"/>
      <c r="J926" s="862">
        <v>0.16700000000000001</v>
      </c>
      <c r="K926" s="868">
        <f t="shared" si="78"/>
        <v>316</v>
      </c>
      <c r="L926" s="861"/>
      <c r="M926" s="671">
        <f t="shared" si="79"/>
        <v>924</v>
      </c>
      <c r="N926" s="671" t="str">
        <f t="shared" si="80"/>
        <v>N/A</v>
      </c>
      <c r="O926" s="671">
        <f t="shared" si="81"/>
        <v>310</v>
      </c>
      <c r="P926" s="861" t="s">
        <v>5030</v>
      </c>
      <c r="Q926" s="861" t="s">
        <v>673</v>
      </c>
      <c r="R926" s="861"/>
      <c r="S926" s="861" t="s">
        <v>2459</v>
      </c>
      <c r="T926" s="866" t="s">
        <v>5031</v>
      </c>
      <c r="U926" s="865"/>
    </row>
    <row r="927" spans="1:21" ht="15">
      <c r="A927" s="857"/>
      <c r="B927" s="861" t="s">
        <v>5032</v>
      </c>
      <c r="C927" s="861" t="s">
        <v>5033</v>
      </c>
      <c r="D927" s="861" t="s">
        <v>371</v>
      </c>
      <c r="E927" s="861"/>
      <c r="F927" s="862"/>
      <c r="G927" s="869">
        <v>1.408802756</v>
      </c>
      <c r="H927" s="874">
        <v>28750734.949999999</v>
      </c>
      <c r="I927" s="871"/>
      <c r="J927" s="862">
        <v>5.1999999999999998E-2</v>
      </c>
      <c r="K927" s="868">
        <f t="shared" si="78"/>
        <v>316</v>
      </c>
      <c r="L927" s="861" t="s">
        <v>1772</v>
      </c>
      <c r="M927" s="671">
        <f t="shared" si="79"/>
        <v>925</v>
      </c>
      <c r="N927" s="671" t="str">
        <f t="shared" si="80"/>
        <v>N/A</v>
      </c>
      <c r="O927" s="671">
        <f t="shared" si="81"/>
        <v>596</v>
      </c>
      <c r="P927" s="861" t="s">
        <v>5034</v>
      </c>
      <c r="Q927" s="861" t="s">
        <v>1486</v>
      </c>
      <c r="R927" s="861" t="s">
        <v>3535</v>
      </c>
      <c r="S927" s="861" t="s">
        <v>5035</v>
      </c>
      <c r="T927" s="866" t="s">
        <v>5036</v>
      </c>
      <c r="U927" s="865"/>
    </row>
    <row r="928" spans="1:21" ht="15">
      <c r="A928" s="672"/>
      <c r="B928" s="861" t="s">
        <v>5037</v>
      </c>
      <c r="C928" s="861" t="s">
        <v>5038</v>
      </c>
      <c r="D928" s="861" t="s">
        <v>371</v>
      </c>
      <c r="E928" s="861"/>
      <c r="F928" s="862"/>
      <c r="G928" s="870" t="s">
        <v>5039</v>
      </c>
      <c r="H928" s="874">
        <v>28709146</v>
      </c>
      <c r="I928" s="871"/>
      <c r="J928" s="862">
        <v>0.11600000000000001</v>
      </c>
      <c r="K928" s="868">
        <f t="shared" si="78"/>
        <v>316</v>
      </c>
      <c r="L928" s="861"/>
      <c r="M928" s="671">
        <f t="shared" si="79"/>
        <v>926</v>
      </c>
      <c r="N928" s="671" t="str">
        <f t="shared" si="80"/>
        <v>N/A</v>
      </c>
      <c r="O928" s="671">
        <f t="shared" si="81"/>
        <v>442</v>
      </c>
      <c r="P928" s="861" t="s">
        <v>2876</v>
      </c>
      <c r="Q928" s="861"/>
      <c r="R928" s="861"/>
      <c r="S928" s="861" t="s">
        <v>563</v>
      </c>
      <c r="T928" s="866" t="s">
        <v>5040</v>
      </c>
      <c r="U928" s="865"/>
    </row>
    <row r="929" spans="1:21" ht="15">
      <c r="A929" s="857"/>
      <c r="B929" s="861" t="s">
        <v>5041</v>
      </c>
      <c r="C929" s="861" t="s">
        <v>5042</v>
      </c>
      <c r="D929" s="861" t="s">
        <v>371</v>
      </c>
      <c r="E929" s="861"/>
      <c r="F929" s="862"/>
      <c r="G929" s="870" t="s">
        <v>5043</v>
      </c>
      <c r="H929" s="874">
        <v>28655329.199999999</v>
      </c>
      <c r="I929" s="871">
        <v>28.55</v>
      </c>
      <c r="J929" s="863" t="s">
        <v>5044</v>
      </c>
      <c r="K929" s="868">
        <f t="shared" si="78"/>
        <v>316</v>
      </c>
      <c r="L929" s="861"/>
      <c r="M929" s="671">
        <f t="shared" si="79"/>
        <v>927</v>
      </c>
      <c r="N929" s="671">
        <f t="shared" si="80"/>
        <v>148</v>
      </c>
      <c r="O929" s="671" t="str">
        <f t="shared" si="81"/>
        <v>N/A</v>
      </c>
      <c r="P929" s="861" t="s">
        <v>5045</v>
      </c>
      <c r="Q929" s="861"/>
      <c r="R929" s="861"/>
      <c r="S929" s="861" t="s">
        <v>5046</v>
      </c>
      <c r="T929" s="866" t="s">
        <v>5047</v>
      </c>
      <c r="U929" s="865"/>
    </row>
    <row r="930" spans="1:21" ht="15">
      <c r="A930" s="672"/>
      <c r="B930" s="861" t="s">
        <v>5048</v>
      </c>
      <c r="C930" s="861" t="s">
        <v>5049</v>
      </c>
      <c r="D930" s="861" t="s">
        <v>371</v>
      </c>
      <c r="E930" s="861"/>
      <c r="F930" s="862"/>
      <c r="G930" s="869">
        <v>0</v>
      </c>
      <c r="H930" s="874">
        <v>28615507.120000001</v>
      </c>
      <c r="I930" s="871"/>
      <c r="J930" s="862">
        <v>8.3000000000000004E-2</v>
      </c>
      <c r="K930" s="868">
        <f t="shared" si="78"/>
        <v>316</v>
      </c>
      <c r="L930" s="861"/>
      <c r="M930" s="671">
        <f t="shared" si="79"/>
        <v>928</v>
      </c>
      <c r="N930" s="671" t="str">
        <f t="shared" si="80"/>
        <v>N/A</v>
      </c>
      <c r="O930" s="671">
        <f t="shared" si="81"/>
        <v>537</v>
      </c>
      <c r="P930" s="861" t="s">
        <v>547</v>
      </c>
      <c r="Q930" s="861" t="s">
        <v>4773</v>
      </c>
      <c r="R930" s="861"/>
      <c r="S930" s="861" t="s">
        <v>1715</v>
      </c>
      <c r="T930" s="866" t="s">
        <v>5050</v>
      </c>
      <c r="U930" s="865"/>
    </row>
    <row r="931" spans="1:21" ht="15">
      <c r="A931" s="857"/>
      <c r="B931" s="861" t="s">
        <v>5051</v>
      </c>
      <c r="C931" s="861" t="s">
        <v>5052</v>
      </c>
      <c r="D931" s="861" t="s">
        <v>371</v>
      </c>
      <c r="E931" s="861"/>
      <c r="F931" s="862"/>
      <c r="G931" s="869">
        <v>2.6389306000000001E-2</v>
      </c>
      <c r="H931" s="874">
        <v>28590609.34</v>
      </c>
      <c r="I931" s="871"/>
      <c r="J931" s="863" t="s">
        <v>5053</v>
      </c>
      <c r="K931" s="868">
        <f t="shared" si="78"/>
        <v>316</v>
      </c>
      <c r="L931" s="861" t="s">
        <v>1738</v>
      </c>
      <c r="M931" s="671">
        <f t="shared" si="79"/>
        <v>929</v>
      </c>
      <c r="N931" s="671" t="str">
        <f t="shared" si="80"/>
        <v>N/A</v>
      </c>
      <c r="O931" s="671" t="str">
        <f t="shared" si="81"/>
        <v>N/A</v>
      </c>
      <c r="P931" s="861" t="s">
        <v>432</v>
      </c>
      <c r="Q931" s="861"/>
      <c r="R931" s="863" t="s">
        <v>4566</v>
      </c>
      <c r="S931" s="861" t="s">
        <v>5054</v>
      </c>
      <c r="T931" s="866" t="s">
        <v>5055</v>
      </c>
      <c r="U931" s="865"/>
    </row>
    <row r="932" spans="1:21" ht="15">
      <c r="A932" s="672"/>
      <c r="B932" s="861" t="s">
        <v>5056</v>
      </c>
      <c r="C932" s="861" t="s">
        <v>5057</v>
      </c>
      <c r="D932" s="861" t="s">
        <v>371</v>
      </c>
      <c r="E932" s="861"/>
      <c r="F932" s="862"/>
      <c r="G932" s="870" t="s">
        <v>5058</v>
      </c>
      <c r="H932" s="874">
        <v>28536867.829999998</v>
      </c>
      <c r="I932" s="871"/>
      <c r="J932" s="862">
        <v>3.5000000000000003E-2</v>
      </c>
      <c r="K932" s="868">
        <f t="shared" si="78"/>
        <v>316</v>
      </c>
      <c r="L932" s="863" t="s">
        <v>448</v>
      </c>
      <c r="M932" s="671">
        <f t="shared" si="79"/>
        <v>930</v>
      </c>
      <c r="N932" s="671" t="str">
        <f t="shared" si="80"/>
        <v>N/A</v>
      </c>
      <c r="O932" s="671">
        <f t="shared" si="81"/>
        <v>641</v>
      </c>
      <c r="P932" s="861" t="s">
        <v>3220</v>
      </c>
      <c r="Q932" s="861" t="s">
        <v>5059</v>
      </c>
      <c r="R932" s="863" t="s">
        <v>4085</v>
      </c>
      <c r="S932" s="861" t="s">
        <v>1039</v>
      </c>
      <c r="T932" s="866" t="s">
        <v>5060</v>
      </c>
      <c r="U932" s="865"/>
    </row>
    <row r="933" spans="1:21" ht="15">
      <c r="A933" s="857"/>
      <c r="B933" s="861" t="s">
        <v>5061</v>
      </c>
      <c r="C933" s="861" t="s">
        <v>5062</v>
      </c>
      <c r="D933" s="861" t="s">
        <v>371</v>
      </c>
      <c r="E933" s="861"/>
      <c r="F933" s="862"/>
      <c r="G933" s="869">
        <v>2.2040359999999999E-3</v>
      </c>
      <c r="H933" s="874">
        <v>28454624.489999998</v>
      </c>
      <c r="I933" s="871"/>
      <c r="J933" s="862">
        <v>1.9E-2</v>
      </c>
      <c r="K933" s="868">
        <f t="shared" si="78"/>
        <v>316</v>
      </c>
      <c r="L933" s="861" t="s">
        <v>1475</v>
      </c>
      <c r="M933" s="671">
        <f t="shared" si="79"/>
        <v>931</v>
      </c>
      <c r="N933" s="671" t="str">
        <f t="shared" si="80"/>
        <v>N/A</v>
      </c>
      <c r="O933" s="671">
        <f t="shared" si="81"/>
        <v>668</v>
      </c>
      <c r="P933" s="861" t="s">
        <v>4070</v>
      </c>
      <c r="Q933" s="861" t="s">
        <v>5063</v>
      </c>
      <c r="R933" s="861" t="s">
        <v>526</v>
      </c>
      <c r="S933" s="861" t="s">
        <v>2772</v>
      </c>
      <c r="T933" s="866" t="s">
        <v>5064</v>
      </c>
      <c r="U933" s="865"/>
    </row>
    <row r="934" spans="1:21" ht="15">
      <c r="A934" s="672"/>
      <c r="B934" s="861" t="s">
        <v>5065</v>
      </c>
      <c r="C934" s="861" t="s">
        <v>5066</v>
      </c>
      <c r="D934" s="861" t="s">
        <v>371</v>
      </c>
      <c r="E934" s="861"/>
      <c r="F934" s="862"/>
      <c r="G934" s="870" t="s">
        <v>5067</v>
      </c>
      <c r="H934" s="874">
        <v>28399992.359999999</v>
      </c>
      <c r="I934" s="871"/>
      <c r="J934" s="863" t="s">
        <v>5068</v>
      </c>
      <c r="K934" s="868">
        <f t="shared" si="78"/>
        <v>316</v>
      </c>
      <c r="L934" s="861"/>
      <c r="M934" s="671">
        <f t="shared" si="79"/>
        <v>932</v>
      </c>
      <c r="N934" s="671" t="str">
        <f t="shared" si="80"/>
        <v>N/A</v>
      </c>
      <c r="O934" s="671" t="str">
        <f t="shared" si="81"/>
        <v>N/A</v>
      </c>
      <c r="P934" s="861"/>
      <c r="Q934" s="861"/>
      <c r="R934" s="861"/>
      <c r="S934" s="861" t="s">
        <v>768</v>
      </c>
      <c r="T934" s="866" t="s">
        <v>5069</v>
      </c>
      <c r="U934" s="865"/>
    </row>
    <row r="935" spans="1:21" ht="15">
      <c r="A935" s="857"/>
      <c r="B935" s="861" t="s">
        <v>5070</v>
      </c>
      <c r="C935" s="861" t="s">
        <v>5071</v>
      </c>
      <c r="D935" s="861" t="s">
        <v>371</v>
      </c>
      <c r="E935" s="861"/>
      <c r="F935" s="862"/>
      <c r="G935" s="870" t="s">
        <v>5072</v>
      </c>
      <c r="H935" s="874">
        <v>28299872.940000001</v>
      </c>
      <c r="I935" s="871"/>
      <c r="J935" s="863"/>
      <c r="K935" s="868">
        <f t="shared" si="78"/>
        <v>316</v>
      </c>
      <c r="L935" s="861"/>
      <c r="M935" s="671">
        <f t="shared" si="79"/>
        <v>933</v>
      </c>
      <c r="N935" s="671" t="str">
        <f t="shared" si="80"/>
        <v>N/A</v>
      </c>
      <c r="O935" s="671">
        <f t="shared" si="81"/>
        <v>708</v>
      </c>
      <c r="P935" s="861" t="s">
        <v>951</v>
      </c>
      <c r="Q935" s="861" t="s">
        <v>5073</v>
      </c>
      <c r="R935" s="861"/>
      <c r="S935" s="861" t="s">
        <v>4636</v>
      </c>
      <c r="T935" s="866" t="s">
        <v>5074</v>
      </c>
      <c r="U935" s="865"/>
    </row>
    <row r="936" spans="1:21" ht="15">
      <c r="A936" s="672"/>
      <c r="B936" s="861" t="s">
        <v>5075</v>
      </c>
      <c r="C936" s="861" t="s">
        <v>5076</v>
      </c>
      <c r="D936" s="861" t="s">
        <v>371</v>
      </c>
      <c r="E936" s="861"/>
      <c r="F936" s="862"/>
      <c r="G936" s="870" t="s">
        <v>5077</v>
      </c>
      <c r="H936" s="874">
        <v>28227904</v>
      </c>
      <c r="I936" s="871"/>
      <c r="J936" s="861"/>
      <c r="K936" s="868">
        <f t="shared" si="78"/>
        <v>316</v>
      </c>
      <c r="L936" s="861"/>
      <c r="M936" s="671">
        <f t="shared" si="79"/>
        <v>934</v>
      </c>
      <c r="N936" s="671" t="str">
        <f t="shared" si="80"/>
        <v>N/A</v>
      </c>
      <c r="O936" s="671">
        <f t="shared" si="81"/>
        <v>708</v>
      </c>
      <c r="P936" s="861"/>
      <c r="Q936" s="861"/>
      <c r="R936" s="861"/>
      <c r="S936" s="861" t="s">
        <v>1574</v>
      </c>
      <c r="T936" s="866" t="s">
        <v>5078</v>
      </c>
      <c r="U936" s="865"/>
    </row>
    <row r="937" spans="1:21" ht="15">
      <c r="A937" s="857"/>
      <c r="B937" s="861" t="s">
        <v>5079</v>
      </c>
      <c r="C937" s="861" t="s">
        <v>5080</v>
      </c>
      <c r="D937" s="861" t="s">
        <v>371</v>
      </c>
      <c r="E937" s="861"/>
      <c r="F937" s="862"/>
      <c r="G937" s="869" t="e">
        <v>#DIV/0!</v>
      </c>
      <c r="H937" s="874">
        <v>28212217.5</v>
      </c>
      <c r="I937" s="871">
        <v>51.72</v>
      </c>
      <c r="J937" s="863" t="s">
        <v>2371</v>
      </c>
      <c r="K937" s="868">
        <f t="shared" si="78"/>
        <v>316</v>
      </c>
      <c r="L937" s="861"/>
      <c r="M937" s="671">
        <f t="shared" si="79"/>
        <v>935</v>
      </c>
      <c r="N937" s="671">
        <f t="shared" si="80"/>
        <v>84</v>
      </c>
      <c r="O937" s="671" t="str">
        <f t="shared" si="81"/>
        <v>N/A</v>
      </c>
      <c r="P937" s="861" t="s">
        <v>1760</v>
      </c>
      <c r="Q937" s="861"/>
      <c r="R937" s="861"/>
      <c r="S937" s="861" t="s">
        <v>563</v>
      </c>
      <c r="T937" s="866" t="s">
        <v>5081</v>
      </c>
      <c r="U937" s="865"/>
    </row>
    <row r="938" spans="1:21" ht="15">
      <c r="A938" s="672"/>
      <c r="B938" s="861" t="s">
        <v>5082</v>
      </c>
      <c r="C938" s="861" t="s">
        <v>5083</v>
      </c>
      <c r="D938" s="861" t="s">
        <v>371</v>
      </c>
      <c r="E938" s="861"/>
      <c r="F938" s="862"/>
      <c r="G938" s="870" t="s">
        <v>5084</v>
      </c>
      <c r="H938" s="874">
        <v>28136266.07</v>
      </c>
      <c r="I938" s="871"/>
      <c r="J938" s="863" t="s">
        <v>2347</v>
      </c>
      <c r="K938" s="868">
        <f t="shared" si="78"/>
        <v>316</v>
      </c>
      <c r="L938" s="861"/>
      <c r="M938" s="671">
        <f t="shared" si="79"/>
        <v>936</v>
      </c>
      <c r="N938" s="671" t="str">
        <f t="shared" si="80"/>
        <v>N/A</v>
      </c>
      <c r="O938" s="671" t="str">
        <f t="shared" si="81"/>
        <v>N/A</v>
      </c>
      <c r="P938" s="861" t="s">
        <v>4620</v>
      </c>
      <c r="Q938" s="861" t="s">
        <v>5085</v>
      </c>
      <c r="R938" s="861"/>
      <c r="S938" s="861" t="s">
        <v>3975</v>
      </c>
      <c r="T938" s="866" t="s">
        <v>5086</v>
      </c>
      <c r="U938" s="865"/>
    </row>
    <row r="939" spans="1:21" ht="15">
      <c r="A939" s="857"/>
      <c r="B939" s="861" t="s">
        <v>5087</v>
      </c>
      <c r="C939" s="861" t="s">
        <v>5088</v>
      </c>
      <c r="D939" s="861" t="s">
        <v>371</v>
      </c>
      <c r="E939" s="861"/>
      <c r="F939" s="862"/>
      <c r="G939" s="870" t="s">
        <v>5089</v>
      </c>
      <c r="H939" s="874">
        <v>28043472.18</v>
      </c>
      <c r="I939" s="871"/>
      <c r="J939" s="863" t="s">
        <v>5090</v>
      </c>
      <c r="K939" s="868">
        <f t="shared" si="78"/>
        <v>316</v>
      </c>
      <c r="L939" s="861"/>
      <c r="M939" s="671">
        <f t="shared" si="79"/>
        <v>937</v>
      </c>
      <c r="N939" s="671" t="str">
        <f t="shared" si="80"/>
        <v>N/A</v>
      </c>
      <c r="O939" s="671" t="str">
        <f t="shared" si="81"/>
        <v>N/A</v>
      </c>
      <c r="P939" s="861" t="s">
        <v>550</v>
      </c>
      <c r="Q939" s="861" t="s">
        <v>3462</v>
      </c>
      <c r="R939" s="861"/>
      <c r="S939" s="861" t="s">
        <v>454</v>
      </c>
      <c r="T939" s="866" t="s">
        <v>2412</v>
      </c>
      <c r="U939" s="865"/>
    </row>
    <row r="940" spans="1:21" ht="15">
      <c r="A940" s="672"/>
      <c r="B940" s="861" t="s">
        <v>5091</v>
      </c>
      <c r="C940" s="861" t="s">
        <v>5092</v>
      </c>
      <c r="D940" s="861" t="s">
        <v>371</v>
      </c>
      <c r="E940" s="861"/>
      <c r="F940" s="862"/>
      <c r="G940" s="870" t="s">
        <v>5093</v>
      </c>
      <c r="H940" s="874">
        <v>27862244.25</v>
      </c>
      <c r="I940" s="871"/>
      <c r="J940" s="863" t="s">
        <v>5094</v>
      </c>
      <c r="K940" s="868">
        <f t="shared" si="78"/>
        <v>316</v>
      </c>
      <c r="L940" s="861"/>
      <c r="M940" s="671">
        <f t="shared" si="79"/>
        <v>938</v>
      </c>
      <c r="N940" s="671" t="str">
        <f t="shared" si="80"/>
        <v>N/A</v>
      </c>
      <c r="O940" s="671" t="str">
        <f t="shared" si="81"/>
        <v>N/A</v>
      </c>
      <c r="P940" s="861" t="s">
        <v>5095</v>
      </c>
      <c r="Q940" s="861"/>
      <c r="R940" s="861"/>
      <c r="S940" s="861" t="s">
        <v>1852</v>
      </c>
      <c r="T940" s="866" t="s">
        <v>5096</v>
      </c>
      <c r="U940" s="865"/>
    </row>
    <row r="941" spans="1:21" ht="15">
      <c r="A941" s="857"/>
      <c r="B941" s="861" t="s">
        <v>5097</v>
      </c>
      <c r="C941" s="861" t="s">
        <v>5098</v>
      </c>
      <c r="D941" s="861" t="s">
        <v>371</v>
      </c>
      <c r="E941" s="861"/>
      <c r="F941" s="862"/>
      <c r="G941" s="869">
        <v>0.137094258</v>
      </c>
      <c r="H941" s="874">
        <v>27856706.73</v>
      </c>
      <c r="I941" s="871"/>
      <c r="J941" s="862">
        <v>9.7000000000000003E-2</v>
      </c>
      <c r="K941" s="868">
        <f t="shared" si="78"/>
        <v>316</v>
      </c>
      <c r="L941" s="861"/>
      <c r="M941" s="671">
        <f t="shared" si="79"/>
        <v>939</v>
      </c>
      <c r="N941" s="671" t="str">
        <f t="shared" si="80"/>
        <v>N/A</v>
      </c>
      <c r="O941" s="671">
        <f t="shared" si="81"/>
        <v>510</v>
      </c>
      <c r="P941" s="861"/>
      <c r="Q941" s="861"/>
      <c r="R941" s="861"/>
      <c r="S941" s="861" t="s">
        <v>2190</v>
      </c>
      <c r="T941" s="866" t="s">
        <v>5099</v>
      </c>
      <c r="U941" s="865"/>
    </row>
    <row r="942" spans="1:21" ht="15">
      <c r="A942" s="672"/>
      <c r="B942" s="861" t="s">
        <v>5100</v>
      </c>
      <c r="C942" s="861" t="s">
        <v>5101</v>
      </c>
      <c r="D942" s="861" t="s">
        <v>371</v>
      </c>
      <c r="E942" s="861"/>
      <c r="F942" s="862"/>
      <c r="G942" s="869">
        <v>1.101018442</v>
      </c>
      <c r="H942" s="874">
        <v>27829716.25</v>
      </c>
      <c r="I942" s="871"/>
      <c r="J942" s="863" t="s">
        <v>5102</v>
      </c>
      <c r="K942" s="868">
        <f t="shared" si="78"/>
        <v>316</v>
      </c>
      <c r="L942" s="861"/>
      <c r="M942" s="671">
        <f t="shared" si="79"/>
        <v>940</v>
      </c>
      <c r="N942" s="671" t="str">
        <f t="shared" si="80"/>
        <v>N/A</v>
      </c>
      <c r="O942" s="671" t="str">
        <f t="shared" si="81"/>
        <v>N/A</v>
      </c>
      <c r="P942" s="861" t="s">
        <v>2949</v>
      </c>
      <c r="Q942" s="861" t="s">
        <v>5103</v>
      </c>
      <c r="R942" s="861" t="s">
        <v>2069</v>
      </c>
      <c r="S942" s="861" t="s">
        <v>524</v>
      </c>
      <c r="T942" s="866" t="s">
        <v>5104</v>
      </c>
      <c r="U942" s="865"/>
    </row>
    <row r="943" spans="1:21" ht="15">
      <c r="A943" s="857"/>
      <c r="B943" s="861" t="s">
        <v>5105</v>
      </c>
      <c r="C943" s="861" t="s">
        <v>5106</v>
      </c>
      <c r="D943" s="861" t="s">
        <v>371</v>
      </c>
      <c r="E943" s="861"/>
      <c r="F943" s="862"/>
      <c r="G943" s="870" t="s">
        <v>5107</v>
      </c>
      <c r="H943" s="874">
        <v>27809547.140000001</v>
      </c>
      <c r="I943" s="871"/>
      <c r="J943" s="861"/>
      <c r="K943" s="868">
        <f t="shared" si="78"/>
        <v>316</v>
      </c>
      <c r="L943" s="861"/>
      <c r="M943" s="671">
        <f t="shared" si="79"/>
        <v>941</v>
      </c>
      <c r="N943" s="671" t="str">
        <f t="shared" si="80"/>
        <v>N/A</v>
      </c>
      <c r="O943" s="671">
        <f t="shared" si="81"/>
        <v>708</v>
      </c>
      <c r="P943" s="861" t="s">
        <v>1127</v>
      </c>
      <c r="Q943" s="861" t="s">
        <v>889</v>
      </c>
      <c r="R943" s="861"/>
      <c r="S943" s="861" t="s">
        <v>424</v>
      </c>
      <c r="T943" s="866" t="s">
        <v>5108</v>
      </c>
      <c r="U943" s="865"/>
    </row>
    <row r="944" spans="1:21" ht="15">
      <c r="A944" s="672"/>
      <c r="B944" s="861" t="s">
        <v>5109</v>
      </c>
      <c r="C944" s="861" t="s">
        <v>5110</v>
      </c>
      <c r="D944" s="861" t="s">
        <v>371</v>
      </c>
      <c r="E944" s="861"/>
      <c r="F944" s="862">
        <v>0.121</v>
      </c>
      <c r="G944" s="869">
        <v>0.56334170800000005</v>
      </c>
      <c r="H944" s="874">
        <v>27807891.100000001</v>
      </c>
      <c r="I944" s="871"/>
      <c r="J944" s="863" t="s">
        <v>5111</v>
      </c>
      <c r="K944" s="868">
        <f t="shared" si="78"/>
        <v>173</v>
      </c>
      <c r="L944" s="861"/>
      <c r="M944" s="671">
        <f t="shared" si="79"/>
        <v>942</v>
      </c>
      <c r="N944" s="671" t="str">
        <f t="shared" si="80"/>
        <v>N/A</v>
      </c>
      <c r="O944" s="671" t="str">
        <f t="shared" si="81"/>
        <v>N/A</v>
      </c>
      <c r="P944" s="861" t="s">
        <v>882</v>
      </c>
      <c r="Q944" s="861" t="s">
        <v>5112</v>
      </c>
      <c r="R944" s="861"/>
      <c r="S944" s="861" t="s">
        <v>1475</v>
      </c>
      <c r="T944" s="866" t="s">
        <v>5113</v>
      </c>
      <c r="U944" s="865"/>
    </row>
    <row r="945" spans="1:21" ht="15">
      <c r="A945" s="857"/>
      <c r="B945" s="861" t="s">
        <v>5114</v>
      </c>
      <c r="C945" s="861" t="s">
        <v>5115</v>
      </c>
      <c r="D945" s="861" t="s">
        <v>371</v>
      </c>
      <c r="E945" s="861"/>
      <c r="F945" s="862"/>
      <c r="G945" s="870" t="s">
        <v>5116</v>
      </c>
      <c r="H945" s="874">
        <v>27651483.699999999</v>
      </c>
      <c r="I945" s="871"/>
      <c r="J945" s="862">
        <v>0.183</v>
      </c>
      <c r="K945" s="868">
        <f t="shared" si="78"/>
        <v>316</v>
      </c>
      <c r="L945" s="861"/>
      <c r="M945" s="671">
        <f t="shared" si="79"/>
        <v>943</v>
      </c>
      <c r="N945" s="671" t="str">
        <f t="shared" si="80"/>
        <v>N/A</v>
      </c>
      <c r="O945" s="671">
        <f t="shared" si="81"/>
        <v>281</v>
      </c>
      <c r="P945" s="861"/>
      <c r="Q945" s="861"/>
      <c r="R945" s="861"/>
      <c r="S945" s="861" t="s">
        <v>1475</v>
      </c>
      <c r="T945" s="866" t="s">
        <v>5117</v>
      </c>
      <c r="U945" s="865"/>
    </row>
    <row r="946" spans="1:21" ht="15">
      <c r="A946" s="672"/>
      <c r="B946" s="861" t="s">
        <v>5118</v>
      </c>
      <c r="C946" s="861" t="s">
        <v>5119</v>
      </c>
      <c r="D946" s="861" t="s">
        <v>371</v>
      </c>
      <c r="E946" s="861"/>
      <c r="F946" s="862"/>
      <c r="G946" s="869">
        <v>0</v>
      </c>
      <c r="H946" s="874">
        <v>27622640.530000001</v>
      </c>
      <c r="I946" s="871"/>
      <c r="J946" s="863" t="s">
        <v>4295</v>
      </c>
      <c r="K946" s="868">
        <f t="shared" si="78"/>
        <v>316</v>
      </c>
      <c r="L946" s="861"/>
      <c r="M946" s="671">
        <f t="shared" si="79"/>
        <v>944</v>
      </c>
      <c r="N946" s="671" t="str">
        <f t="shared" si="80"/>
        <v>N/A</v>
      </c>
      <c r="O946" s="671" t="str">
        <f t="shared" si="81"/>
        <v>N/A</v>
      </c>
      <c r="P946" s="861" t="s">
        <v>5120</v>
      </c>
      <c r="Q946" s="861" t="s">
        <v>5121</v>
      </c>
      <c r="R946" s="861"/>
      <c r="S946" s="861" t="s">
        <v>2434</v>
      </c>
      <c r="T946" s="866" t="s">
        <v>5122</v>
      </c>
      <c r="U946" s="865"/>
    </row>
    <row r="947" spans="1:21" ht="15">
      <c r="A947" s="857"/>
      <c r="B947" s="861" t="s">
        <v>5123</v>
      </c>
      <c r="C947" s="861" t="s">
        <v>5124</v>
      </c>
      <c r="D947" s="861" t="s">
        <v>371</v>
      </c>
      <c r="E947" s="861"/>
      <c r="F947" s="862"/>
      <c r="G947" s="869">
        <v>1.546998272</v>
      </c>
      <c r="H947" s="874">
        <v>27314248.309999999</v>
      </c>
      <c r="I947" s="871">
        <v>101.35</v>
      </c>
      <c r="J947" s="862">
        <v>4.8000000000000001E-2</v>
      </c>
      <c r="K947" s="868">
        <f t="shared" si="78"/>
        <v>316</v>
      </c>
      <c r="L947" s="861"/>
      <c r="M947" s="671">
        <f t="shared" si="79"/>
        <v>945</v>
      </c>
      <c r="N947" s="671">
        <f t="shared" si="80"/>
        <v>33</v>
      </c>
      <c r="O947" s="671">
        <f t="shared" si="81"/>
        <v>607</v>
      </c>
      <c r="P947" s="861" t="s">
        <v>2096</v>
      </c>
      <c r="Q947" s="861"/>
      <c r="R947" s="861"/>
      <c r="S947" s="861" t="s">
        <v>1665</v>
      </c>
      <c r="T947" s="866" t="s">
        <v>5125</v>
      </c>
      <c r="U947" s="865"/>
    </row>
    <row r="948" spans="1:21" ht="15">
      <c r="A948" s="672"/>
      <c r="B948" s="861" t="s">
        <v>5126</v>
      </c>
      <c r="C948" s="861" t="s">
        <v>5127</v>
      </c>
      <c r="D948" s="861" t="s">
        <v>371</v>
      </c>
      <c r="E948" s="861"/>
      <c r="F948" s="862"/>
      <c r="G948" s="870" t="s">
        <v>5128</v>
      </c>
      <c r="H948" s="874">
        <v>27243541.039999999</v>
      </c>
      <c r="I948" s="871">
        <v>77.41</v>
      </c>
      <c r="J948" s="862">
        <v>8.5000000000000006E-2</v>
      </c>
      <c r="K948" s="868">
        <f t="shared" si="78"/>
        <v>316</v>
      </c>
      <c r="L948" s="861"/>
      <c r="M948" s="671">
        <f t="shared" si="79"/>
        <v>946</v>
      </c>
      <c r="N948" s="671">
        <f t="shared" si="80"/>
        <v>49</v>
      </c>
      <c r="O948" s="671">
        <f t="shared" si="81"/>
        <v>532</v>
      </c>
      <c r="P948" s="861" t="s">
        <v>5129</v>
      </c>
      <c r="Q948" s="861"/>
      <c r="R948" s="861" t="s">
        <v>424</v>
      </c>
      <c r="S948" s="861" t="s">
        <v>1538</v>
      </c>
      <c r="T948" s="866" t="s">
        <v>5130</v>
      </c>
      <c r="U948" s="865"/>
    </row>
    <row r="949" spans="1:21" ht="15">
      <c r="A949" s="857"/>
      <c r="B949" s="861" t="s">
        <v>5131</v>
      </c>
      <c r="C949" s="861" t="s">
        <v>5132</v>
      </c>
      <c r="D949" s="861" t="s">
        <v>371</v>
      </c>
      <c r="E949" s="861"/>
      <c r="F949" s="862"/>
      <c r="G949" s="869">
        <v>2.0278217139999999</v>
      </c>
      <c r="H949" s="874">
        <v>27057484.870000001</v>
      </c>
      <c r="I949" s="871"/>
      <c r="J949" s="861"/>
      <c r="K949" s="868">
        <f t="shared" si="78"/>
        <v>316</v>
      </c>
      <c r="L949" s="861"/>
      <c r="M949" s="671">
        <f t="shared" si="79"/>
        <v>947</v>
      </c>
      <c r="N949" s="671" t="str">
        <f t="shared" si="80"/>
        <v>N/A</v>
      </c>
      <c r="O949" s="671">
        <f t="shared" si="81"/>
        <v>708</v>
      </c>
      <c r="P949" s="861" t="s">
        <v>1529</v>
      </c>
      <c r="Q949" s="861" t="s">
        <v>5133</v>
      </c>
      <c r="R949" s="861"/>
      <c r="S949" s="861" t="s">
        <v>454</v>
      </c>
      <c r="T949" s="866" t="s">
        <v>5134</v>
      </c>
      <c r="U949" s="865"/>
    </row>
    <row r="950" spans="1:21" ht="15">
      <c r="A950" s="672"/>
      <c r="B950" s="861" t="s">
        <v>5135</v>
      </c>
      <c r="C950" s="861" t="s">
        <v>5136</v>
      </c>
      <c r="D950" s="861" t="s">
        <v>371</v>
      </c>
      <c r="E950" s="861"/>
      <c r="F950" s="862"/>
      <c r="G950" s="869" t="e">
        <v>#DIV/0!</v>
      </c>
      <c r="H950" s="874">
        <v>26956360.75</v>
      </c>
      <c r="I950" s="871"/>
      <c r="J950" s="863" t="s">
        <v>5137</v>
      </c>
      <c r="K950" s="868">
        <f t="shared" si="78"/>
        <v>316</v>
      </c>
      <c r="L950" s="861" t="s">
        <v>2161</v>
      </c>
      <c r="M950" s="671">
        <f t="shared" si="79"/>
        <v>948</v>
      </c>
      <c r="N950" s="671" t="str">
        <f t="shared" si="80"/>
        <v>N/A</v>
      </c>
      <c r="O950" s="671" t="str">
        <f t="shared" si="81"/>
        <v>N/A</v>
      </c>
      <c r="P950" s="861" t="s">
        <v>803</v>
      </c>
      <c r="Q950" s="861" t="s">
        <v>5138</v>
      </c>
      <c r="R950" s="861" t="s">
        <v>1469</v>
      </c>
      <c r="S950" s="861" t="s">
        <v>398</v>
      </c>
      <c r="T950" s="866" t="s">
        <v>5139</v>
      </c>
      <c r="U950" s="865"/>
    </row>
    <row r="951" spans="1:21" ht="15">
      <c r="A951" s="857"/>
      <c r="B951" s="861" t="s">
        <v>5140</v>
      </c>
      <c r="C951" s="861" t="s">
        <v>5141</v>
      </c>
      <c r="D951" s="861" t="s">
        <v>371</v>
      </c>
      <c r="E951" s="861"/>
      <c r="F951" s="862"/>
      <c r="G951" s="869">
        <v>0</v>
      </c>
      <c r="H951" s="874">
        <v>26950595.449999999</v>
      </c>
      <c r="I951" s="871"/>
      <c r="J951" s="863" t="s">
        <v>5142</v>
      </c>
      <c r="K951" s="868">
        <f t="shared" si="78"/>
        <v>316</v>
      </c>
      <c r="L951" s="863" t="s">
        <v>2330</v>
      </c>
      <c r="M951" s="671">
        <f t="shared" si="79"/>
        <v>949</v>
      </c>
      <c r="N951" s="671" t="str">
        <f t="shared" si="80"/>
        <v>N/A</v>
      </c>
      <c r="O951" s="671" t="str">
        <f t="shared" si="81"/>
        <v>N/A</v>
      </c>
      <c r="P951" s="861" t="s">
        <v>2967</v>
      </c>
      <c r="Q951" s="861"/>
      <c r="R951" s="863" t="s">
        <v>2330</v>
      </c>
      <c r="S951" s="861" t="s">
        <v>2851</v>
      </c>
      <c r="T951" s="866" t="s">
        <v>5143</v>
      </c>
      <c r="U951" s="865"/>
    </row>
    <row r="952" spans="1:21" ht="15">
      <c r="A952" s="672"/>
      <c r="B952" s="861" t="s">
        <v>5144</v>
      </c>
      <c r="C952" s="861" t="s">
        <v>5145</v>
      </c>
      <c r="D952" s="861" t="s">
        <v>371</v>
      </c>
      <c r="E952" s="861"/>
      <c r="F952" s="862"/>
      <c r="G952" s="869">
        <v>0.17735171999999999</v>
      </c>
      <c r="H952" s="874">
        <v>26758857.530000001</v>
      </c>
      <c r="I952" s="871"/>
      <c r="J952" s="861"/>
      <c r="K952" s="868">
        <f t="shared" si="78"/>
        <v>316</v>
      </c>
      <c r="L952" s="861"/>
      <c r="M952" s="671">
        <f t="shared" si="79"/>
        <v>950</v>
      </c>
      <c r="N952" s="671" t="str">
        <f t="shared" si="80"/>
        <v>N/A</v>
      </c>
      <c r="O952" s="671">
        <f t="shared" si="81"/>
        <v>708</v>
      </c>
      <c r="P952" s="861" t="s">
        <v>3023</v>
      </c>
      <c r="Q952" s="861" t="s">
        <v>5146</v>
      </c>
      <c r="R952" s="861"/>
      <c r="S952" s="861" t="s">
        <v>1308</v>
      </c>
      <c r="T952" s="866" t="s">
        <v>5147</v>
      </c>
      <c r="U952" s="865"/>
    </row>
    <row r="953" spans="1:21" ht="15">
      <c r="A953" s="857"/>
      <c r="B953" s="861" t="s">
        <v>5148</v>
      </c>
      <c r="C953" s="861" t="s">
        <v>5149</v>
      </c>
      <c r="D953" s="861" t="s">
        <v>371</v>
      </c>
      <c r="E953" s="861"/>
      <c r="F953" s="862"/>
      <c r="G953" s="869" t="e">
        <v>#DIV/0!</v>
      </c>
      <c r="H953" s="874">
        <v>26457020.120000001</v>
      </c>
      <c r="I953" s="871"/>
      <c r="J953" s="863" t="s">
        <v>5150</v>
      </c>
      <c r="K953" s="868">
        <f t="shared" si="78"/>
        <v>316</v>
      </c>
      <c r="L953" s="861" t="s">
        <v>5151</v>
      </c>
      <c r="M953" s="671">
        <f t="shared" si="79"/>
        <v>951</v>
      </c>
      <c r="N953" s="671" t="str">
        <f t="shared" si="80"/>
        <v>N/A</v>
      </c>
      <c r="O953" s="671" t="str">
        <f t="shared" si="81"/>
        <v>N/A</v>
      </c>
      <c r="P953" s="861" t="s">
        <v>5152</v>
      </c>
      <c r="Q953" s="861" t="s">
        <v>5153</v>
      </c>
      <c r="R953" s="861" t="s">
        <v>784</v>
      </c>
      <c r="S953" s="861" t="s">
        <v>5054</v>
      </c>
      <c r="T953" s="866" t="s">
        <v>5154</v>
      </c>
      <c r="U953" s="865"/>
    </row>
    <row r="954" spans="1:21" ht="15">
      <c r="A954" s="672"/>
      <c r="B954" s="861" t="s">
        <v>5155</v>
      </c>
      <c r="C954" s="861" t="s">
        <v>5156</v>
      </c>
      <c r="D954" s="861" t="s">
        <v>371</v>
      </c>
      <c r="E954" s="861"/>
      <c r="F954" s="862"/>
      <c r="G954" s="870" t="s">
        <v>5157</v>
      </c>
      <c r="H954" s="874">
        <v>26037022.609999999</v>
      </c>
      <c r="I954" s="871"/>
      <c r="J954" s="862">
        <v>0.12</v>
      </c>
      <c r="K954" s="868">
        <f t="shared" si="78"/>
        <v>316</v>
      </c>
      <c r="L954" s="861"/>
      <c r="M954" s="671">
        <f t="shared" si="79"/>
        <v>952</v>
      </c>
      <c r="N954" s="671" t="str">
        <f t="shared" si="80"/>
        <v>N/A</v>
      </c>
      <c r="O954" s="671">
        <f t="shared" si="81"/>
        <v>424</v>
      </c>
      <c r="P954" s="861" t="s">
        <v>3630</v>
      </c>
      <c r="Q954" s="861" t="s">
        <v>5158</v>
      </c>
      <c r="R954" s="861"/>
      <c r="S954" s="861" t="s">
        <v>2007</v>
      </c>
      <c r="T954" s="866" t="s">
        <v>5159</v>
      </c>
      <c r="U954" s="865"/>
    </row>
    <row r="955" spans="1:21" ht="15">
      <c r="A955" s="857"/>
      <c r="B955" s="861" t="s">
        <v>5160</v>
      </c>
      <c r="C955" s="861" t="s">
        <v>5161</v>
      </c>
      <c r="D955" s="861" t="s">
        <v>371</v>
      </c>
      <c r="E955" s="861"/>
      <c r="F955" s="862"/>
      <c r="G955" s="869">
        <v>0</v>
      </c>
      <c r="H955" s="874">
        <v>25995465.350000001</v>
      </c>
      <c r="I955" s="872" t="s">
        <v>5162</v>
      </c>
      <c r="J955" s="862">
        <v>8.7999999999999995E-2</v>
      </c>
      <c r="K955" s="868">
        <f t="shared" si="78"/>
        <v>316</v>
      </c>
      <c r="L955" s="861"/>
      <c r="M955" s="671">
        <f t="shared" si="79"/>
        <v>953</v>
      </c>
      <c r="N955" s="671" t="str">
        <f t="shared" si="80"/>
        <v>N/A</v>
      </c>
      <c r="O955" s="671">
        <f t="shared" si="81"/>
        <v>524</v>
      </c>
      <c r="P955" s="861" t="s">
        <v>5163</v>
      </c>
      <c r="Q955" s="861"/>
      <c r="R955" s="861"/>
      <c r="S955" s="861" t="s">
        <v>1703</v>
      </c>
      <c r="T955" s="866" t="s">
        <v>5164</v>
      </c>
      <c r="U955" s="865"/>
    </row>
    <row r="956" spans="1:21" ht="15">
      <c r="A956" s="672"/>
      <c r="B956" s="861" t="s">
        <v>5165</v>
      </c>
      <c r="C956" s="861" t="s">
        <v>5166</v>
      </c>
      <c r="D956" s="861" t="s">
        <v>371</v>
      </c>
      <c r="E956" s="861"/>
      <c r="F956" s="862"/>
      <c r="G956" s="869">
        <v>0</v>
      </c>
      <c r="H956" s="874">
        <v>25915780.219999999</v>
      </c>
      <c r="I956" s="871"/>
      <c r="J956" s="862">
        <v>0.12</v>
      </c>
      <c r="K956" s="868">
        <f t="shared" si="78"/>
        <v>316</v>
      </c>
      <c r="L956" s="861"/>
      <c r="M956" s="671">
        <f t="shared" si="79"/>
        <v>954</v>
      </c>
      <c r="N956" s="671" t="str">
        <f t="shared" si="80"/>
        <v>N/A</v>
      </c>
      <c r="O956" s="671">
        <f t="shared" si="81"/>
        <v>424</v>
      </c>
      <c r="P956" s="861" t="s">
        <v>465</v>
      </c>
      <c r="Q956" s="861"/>
      <c r="R956" s="861"/>
      <c r="S956" s="861" t="s">
        <v>1369</v>
      </c>
      <c r="T956" s="866" t="s">
        <v>5167</v>
      </c>
      <c r="U956" s="865"/>
    </row>
    <row r="957" spans="1:21" ht="15">
      <c r="A957" s="857"/>
      <c r="B957" s="861" t="s">
        <v>5168</v>
      </c>
      <c r="C957" s="861" t="s">
        <v>5169</v>
      </c>
      <c r="D957" s="861" t="s">
        <v>371</v>
      </c>
      <c r="E957" s="861"/>
      <c r="F957" s="862">
        <v>0.28899999999999998</v>
      </c>
      <c r="G957" s="869">
        <v>0.24816086300000001</v>
      </c>
      <c r="H957" s="874">
        <v>25639642.859999999</v>
      </c>
      <c r="I957" s="871"/>
      <c r="J957" s="863"/>
      <c r="K957" s="868">
        <f t="shared" si="78"/>
        <v>56</v>
      </c>
      <c r="L957" s="861" t="s">
        <v>5170</v>
      </c>
      <c r="M957" s="671">
        <f t="shared" si="79"/>
        <v>955</v>
      </c>
      <c r="N957" s="671" t="str">
        <f t="shared" si="80"/>
        <v>N/A</v>
      </c>
      <c r="O957" s="671">
        <f t="shared" si="81"/>
        <v>708</v>
      </c>
      <c r="P957" s="861" t="s">
        <v>5171</v>
      </c>
      <c r="Q957" s="861" t="s">
        <v>5172</v>
      </c>
      <c r="R957" s="861" t="s">
        <v>994</v>
      </c>
      <c r="S957" s="861" t="s">
        <v>5173</v>
      </c>
      <c r="T957" s="866" t="s">
        <v>5174</v>
      </c>
      <c r="U957" s="865"/>
    </row>
    <row r="958" spans="1:21" ht="15">
      <c r="A958" s="672"/>
      <c r="B958" s="861" t="s">
        <v>5175</v>
      </c>
      <c r="C958" s="861" t="s">
        <v>5176</v>
      </c>
      <c r="D958" s="861" t="s">
        <v>371</v>
      </c>
      <c r="E958" s="861"/>
      <c r="F958" s="862"/>
      <c r="G958" s="869">
        <v>0</v>
      </c>
      <c r="H958" s="874">
        <v>25593123.350000001</v>
      </c>
      <c r="I958" s="871"/>
      <c r="J958" s="863" t="s">
        <v>5177</v>
      </c>
      <c r="K958" s="868">
        <f t="shared" si="78"/>
        <v>316</v>
      </c>
      <c r="L958" s="863" t="s">
        <v>5178</v>
      </c>
      <c r="M958" s="671">
        <f t="shared" si="79"/>
        <v>956</v>
      </c>
      <c r="N958" s="671" t="str">
        <f t="shared" si="80"/>
        <v>N/A</v>
      </c>
      <c r="O958" s="671" t="str">
        <f t="shared" si="81"/>
        <v>N/A</v>
      </c>
      <c r="P958" s="861" t="s">
        <v>517</v>
      </c>
      <c r="Q958" s="861"/>
      <c r="R958" s="863" t="s">
        <v>5179</v>
      </c>
      <c r="S958" s="861" t="s">
        <v>526</v>
      </c>
      <c r="T958" s="866" t="s">
        <v>5180</v>
      </c>
      <c r="U958" s="865"/>
    </row>
    <row r="959" spans="1:21" ht="15">
      <c r="A959" s="857"/>
      <c r="B959" s="861" t="s">
        <v>5181</v>
      </c>
      <c r="C959" s="861" t="s">
        <v>5182</v>
      </c>
      <c r="D959" s="861" t="s">
        <v>371</v>
      </c>
      <c r="E959" s="861"/>
      <c r="F959" s="862"/>
      <c r="G959" s="870" t="s">
        <v>5183</v>
      </c>
      <c r="H959" s="874">
        <v>25589266.199999999</v>
      </c>
      <c r="I959" s="871">
        <v>1.37</v>
      </c>
      <c r="J959" s="862">
        <v>3.9E-2</v>
      </c>
      <c r="K959" s="868">
        <f t="shared" si="78"/>
        <v>316</v>
      </c>
      <c r="L959" s="861"/>
      <c r="M959" s="671">
        <f t="shared" si="79"/>
        <v>957</v>
      </c>
      <c r="N959" s="671">
        <f t="shared" si="80"/>
        <v>301</v>
      </c>
      <c r="O959" s="671">
        <f t="shared" si="81"/>
        <v>631</v>
      </c>
      <c r="P959" s="861" t="s">
        <v>1406</v>
      </c>
      <c r="Q959" s="861" t="s">
        <v>907</v>
      </c>
      <c r="R959" s="861"/>
      <c r="S959" s="861" t="s">
        <v>5184</v>
      </c>
      <c r="T959" s="866" t="s">
        <v>5185</v>
      </c>
      <c r="U959" s="865"/>
    </row>
    <row r="960" spans="1:21" ht="15">
      <c r="A960" s="672"/>
      <c r="B960" s="861" t="s">
        <v>5186</v>
      </c>
      <c r="C960" s="861" t="s">
        <v>5187</v>
      </c>
      <c r="D960" s="861" t="s">
        <v>371</v>
      </c>
      <c r="E960" s="861"/>
      <c r="F960" s="862"/>
      <c r="G960" s="869">
        <v>3.2328809060000001</v>
      </c>
      <c r="H960" s="874">
        <v>25534573.210000001</v>
      </c>
      <c r="I960" s="871"/>
      <c r="J960" s="862">
        <v>6.5000000000000002E-2</v>
      </c>
      <c r="K960" s="868">
        <f t="shared" si="78"/>
        <v>316</v>
      </c>
      <c r="L960" s="863" t="s">
        <v>1017</v>
      </c>
      <c r="M960" s="671">
        <f t="shared" si="79"/>
        <v>958</v>
      </c>
      <c r="N960" s="671" t="str">
        <f t="shared" si="80"/>
        <v>N/A</v>
      </c>
      <c r="O960" s="671">
        <f t="shared" si="81"/>
        <v>570</v>
      </c>
      <c r="P960" s="861" t="s">
        <v>5188</v>
      </c>
      <c r="Q960" s="861" t="s">
        <v>5189</v>
      </c>
      <c r="R960" s="861"/>
      <c r="S960" s="861" t="s">
        <v>557</v>
      </c>
      <c r="T960" s="866" t="s">
        <v>5190</v>
      </c>
      <c r="U960" s="865"/>
    </row>
    <row r="961" spans="1:21" ht="15">
      <c r="A961" s="857"/>
      <c r="B961" s="861" t="s">
        <v>5191</v>
      </c>
      <c r="C961" s="861" t="s">
        <v>5192</v>
      </c>
      <c r="D961" s="861" t="s">
        <v>371</v>
      </c>
      <c r="E961" s="861"/>
      <c r="F961" s="862"/>
      <c r="G961" s="869">
        <v>22.637675999999999</v>
      </c>
      <c r="H961" s="874">
        <v>25472473.780000001</v>
      </c>
      <c r="I961" s="871">
        <v>20.09</v>
      </c>
      <c r="J961" s="862">
        <v>0.112</v>
      </c>
      <c r="K961" s="868">
        <f t="shared" si="78"/>
        <v>316</v>
      </c>
      <c r="L961" s="861"/>
      <c r="M961" s="671">
        <f t="shared" si="79"/>
        <v>959</v>
      </c>
      <c r="N961" s="671">
        <f t="shared" si="80"/>
        <v>177</v>
      </c>
      <c r="O961" s="671">
        <f t="shared" si="81"/>
        <v>452</v>
      </c>
      <c r="P961" s="861" t="s">
        <v>1031</v>
      </c>
      <c r="Q961" s="861"/>
      <c r="R961" s="861"/>
      <c r="S961" s="861" t="s">
        <v>404</v>
      </c>
      <c r="T961" s="866" t="s">
        <v>5193</v>
      </c>
      <c r="U961" s="865"/>
    </row>
    <row r="962" spans="1:21" ht="15">
      <c r="A962" s="672"/>
      <c r="B962" s="861" t="s">
        <v>5194</v>
      </c>
      <c r="C962" s="861" t="s">
        <v>5195</v>
      </c>
      <c r="D962" s="861" t="s">
        <v>371</v>
      </c>
      <c r="E962" s="861"/>
      <c r="F962" s="862"/>
      <c r="G962" s="870" t="s">
        <v>5196</v>
      </c>
      <c r="H962" s="874">
        <v>25133975.969999999</v>
      </c>
      <c r="I962" s="871"/>
      <c r="J962" s="862">
        <v>2.7E-2</v>
      </c>
      <c r="K962" s="868">
        <f t="shared" si="78"/>
        <v>316</v>
      </c>
      <c r="L962" s="861"/>
      <c r="M962" s="671">
        <f t="shared" si="79"/>
        <v>960</v>
      </c>
      <c r="N962" s="671" t="str">
        <f t="shared" si="80"/>
        <v>N/A</v>
      </c>
      <c r="O962" s="671">
        <f t="shared" si="81"/>
        <v>656</v>
      </c>
      <c r="P962" s="861"/>
      <c r="Q962" s="861"/>
      <c r="R962" s="861"/>
      <c r="S962" s="861"/>
      <c r="T962" s="866" t="s">
        <v>5197</v>
      </c>
      <c r="U962" s="865"/>
    </row>
    <row r="963" spans="1:21" ht="15">
      <c r="A963" s="857"/>
      <c r="B963" s="861" t="s">
        <v>5198</v>
      </c>
      <c r="C963" s="861" t="s">
        <v>5199</v>
      </c>
      <c r="D963" s="861" t="s">
        <v>371</v>
      </c>
      <c r="E963" s="861"/>
      <c r="F963" s="862"/>
      <c r="G963" s="869">
        <v>0</v>
      </c>
      <c r="H963" s="874">
        <v>25069770.25</v>
      </c>
      <c r="I963" s="871"/>
      <c r="J963" s="863" t="s">
        <v>3322</v>
      </c>
      <c r="K963" s="868">
        <f t="shared" si="78"/>
        <v>316</v>
      </c>
      <c r="L963" s="861"/>
      <c r="M963" s="671">
        <f t="shared" si="79"/>
        <v>961</v>
      </c>
      <c r="N963" s="671" t="str">
        <f t="shared" si="80"/>
        <v>N/A</v>
      </c>
      <c r="O963" s="671" t="str">
        <f t="shared" si="81"/>
        <v>N/A</v>
      </c>
      <c r="P963" s="861" t="s">
        <v>1724</v>
      </c>
      <c r="Q963" s="861" t="s">
        <v>5200</v>
      </c>
      <c r="R963" s="861"/>
      <c r="S963" s="861" t="s">
        <v>844</v>
      </c>
      <c r="T963" s="866" t="s">
        <v>5201</v>
      </c>
      <c r="U963" s="865"/>
    </row>
    <row r="964" spans="1:21" ht="15">
      <c r="A964" s="672"/>
      <c r="B964" s="861" t="s">
        <v>5202</v>
      </c>
      <c r="C964" s="861" t="s">
        <v>5203</v>
      </c>
      <c r="D964" s="861" t="s">
        <v>371</v>
      </c>
      <c r="E964" s="861"/>
      <c r="F964" s="862"/>
      <c r="G964" s="870" t="s">
        <v>5204</v>
      </c>
      <c r="H964" s="874">
        <v>25038441.68</v>
      </c>
      <c r="I964" s="871"/>
      <c r="J964" s="863" t="s">
        <v>1653</v>
      </c>
      <c r="K964" s="868">
        <f t="shared" ref="K964:K1027" si="82">IFERROR(_xlfn.RANK.EQ(F964,F$3:F$1770),"N/A")</f>
        <v>316</v>
      </c>
      <c r="L964" s="861"/>
      <c r="M964" s="671">
        <f t="shared" ref="M964:M1027" si="83">IFERROR(_xlfn.RANK.EQ(H964,H$3:H$1770),"N/A")</f>
        <v>962</v>
      </c>
      <c r="N964" s="671" t="str">
        <f t="shared" ref="N964:N1027" si="84">IFERROR(_xlfn.RANK.EQ(I964,I$3:I$1770),"N/A")</f>
        <v>N/A</v>
      </c>
      <c r="O964" s="671" t="str">
        <f t="shared" ref="O964:O1027" si="85">IFERROR(_xlfn.RANK.EQ(J964,J$3:J$1770),"N/A")</f>
        <v>N/A</v>
      </c>
      <c r="P964" s="861"/>
      <c r="Q964" s="861"/>
      <c r="R964" s="861"/>
      <c r="S964" s="861" t="s">
        <v>868</v>
      </c>
      <c r="T964" s="866" t="s">
        <v>5205</v>
      </c>
      <c r="U964" s="865"/>
    </row>
    <row r="965" spans="1:21" ht="15">
      <c r="A965" s="857"/>
      <c r="B965" s="861" t="s">
        <v>5206</v>
      </c>
      <c r="C965" s="861" t="s">
        <v>5207</v>
      </c>
      <c r="D965" s="861" t="s">
        <v>371</v>
      </c>
      <c r="E965" s="861"/>
      <c r="F965" s="862"/>
      <c r="G965" s="869">
        <v>0</v>
      </c>
      <c r="H965" s="874">
        <v>24786164.969999999</v>
      </c>
      <c r="I965" s="871"/>
      <c r="J965" s="862">
        <v>1E-3</v>
      </c>
      <c r="K965" s="868">
        <f t="shared" si="82"/>
        <v>316</v>
      </c>
      <c r="L965" s="861"/>
      <c r="M965" s="671">
        <f t="shared" si="83"/>
        <v>963</v>
      </c>
      <c r="N965" s="671" t="str">
        <f t="shared" si="84"/>
        <v>N/A</v>
      </c>
      <c r="O965" s="671">
        <f t="shared" si="85"/>
        <v>703</v>
      </c>
      <c r="P965" s="861" t="s">
        <v>1647</v>
      </c>
      <c r="Q965" s="861" t="s">
        <v>5208</v>
      </c>
      <c r="R965" s="863" t="s">
        <v>2330</v>
      </c>
      <c r="S965" s="861" t="s">
        <v>2136</v>
      </c>
      <c r="T965" s="866" t="s">
        <v>5209</v>
      </c>
      <c r="U965" s="865"/>
    </row>
    <row r="966" spans="1:21" ht="15">
      <c r="A966" s="672"/>
      <c r="B966" s="861" t="s">
        <v>5210</v>
      </c>
      <c r="C966" s="861" t="s">
        <v>5211</v>
      </c>
      <c r="D966" s="861" t="s">
        <v>371</v>
      </c>
      <c r="E966" s="861"/>
      <c r="F966" s="862"/>
      <c r="G966" s="870" t="s">
        <v>5212</v>
      </c>
      <c r="H966" s="874">
        <v>24784972.48</v>
      </c>
      <c r="I966" s="871"/>
      <c r="J966" s="863" t="s">
        <v>5213</v>
      </c>
      <c r="K966" s="868">
        <f t="shared" si="82"/>
        <v>316</v>
      </c>
      <c r="L966" s="861"/>
      <c r="M966" s="671">
        <f t="shared" si="83"/>
        <v>964</v>
      </c>
      <c r="N966" s="671" t="str">
        <f t="shared" si="84"/>
        <v>N/A</v>
      </c>
      <c r="O966" s="671" t="str">
        <f t="shared" si="85"/>
        <v>N/A</v>
      </c>
      <c r="P966" s="861" t="s">
        <v>1002</v>
      </c>
      <c r="Q966" s="861" t="s">
        <v>5214</v>
      </c>
      <c r="R966" s="861"/>
      <c r="S966" s="861" t="s">
        <v>517</v>
      </c>
      <c r="T966" s="866" t="s">
        <v>5215</v>
      </c>
      <c r="U966" s="865"/>
    </row>
    <row r="967" spans="1:21" ht="15">
      <c r="A967" s="857"/>
      <c r="B967" s="861" t="s">
        <v>5216</v>
      </c>
      <c r="C967" s="861" t="s">
        <v>5217</v>
      </c>
      <c r="D967" s="861" t="s">
        <v>371</v>
      </c>
      <c r="E967" s="861"/>
      <c r="F967" s="862"/>
      <c r="G967" s="870" t="s">
        <v>5218</v>
      </c>
      <c r="H967" s="874">
        <v>24612305.02</v>
      </c>
      <c r="I967" s="871"/>
      <c r="J967" s="863" t="s">
        <v>2446</v>
      </c>
      <c r="K967" s="868">
        <f t="shared" si="82"/>
        <v>316</v>
      </c>
      <c r="L967" s="861"/>
      <c r="M967" s="671">
        <f t="shared" si="83"/>
        <v>965</v>
      </c>
      <c r="N967" s="671" t="str">
        <f t="shared" si="84"/>
        <v>N/A</v>
      </c>
      <c r="O967" s="671" t="str">
        <f t="shared" si="85"/>
        <v>N/A</v>
      </c>
      <c r="P967" s="861" t="s">
        <v>2081</v>
      </c>
      <c r="Q967" s="861"/>
      <c r="R967" s="861"/>
      <c r="S967" s="861" t="s">
        <v>4404</v>
      </c>
      <c r="T967" s="866" t="s">
        <v>5219</v>
      </c>
      <c r="U967" s="865"/>
    </row>
    <row r="968" spans="1:21" ht="15">
      <c r="A968" s="672"/>
      <c r="B968" s="861" t="s">
        <v>5220</v>
      </c>
      <c r="C968" s="861" t="s">
        <v>5221</v>
      </c>
      <c r="D968" s="861" t="s">
        <v>371</v>
      </c>
      <c r="E968" s="861"/>
      <c r="F968" s="862"/>
      <c r="G968" s="870" t="s">
        <v>5222</v>
      </c>
      <c r="H968" s="874">
        <v>24529844.949999999</v>
      </c>
      <c r="I968" s="871"/>
      <c r="J968" s="863" t="s">
        <v>5223</v>
      </c>
      <c r="K968" s="868">
        <f t="shared" si="82"/>
        <v>316</v>
      </c>
      <c r="L968" s="861" t="s">
        <v>424</v>
      </c>
      <c r="M968" s="671">
        <f t="shared" si="83"/>
        <v>966</v>
      </c>
      <c r="N968" s="671" t="str">
        <f t="shared" si="84"/>
        <v>N/A</v>
      </c>
      <c r="O968" s="671" t="str">
        <f t="shared" si="85"/>
        <v>N/A</v>
      </c>
      <c r="P968" s="861" t="s">
        <v>1536</v>
      </c>
      <c r="Q968" s="861"/>
      <c r="R968" s="863" t="s">
        <v>945</v>
      </c>
      <c r="S968" s="861" t="s">
        <v>1866</v>
      </c>
      <c r="T968" s="866" t="s">
        <v>5224</v>
      </c>
      <c r="U968" s="865"/>
    </row>
    <row r="969" spans="1:21" ht="15">
      <c r="A969" s="857"/>
      <c r="B969" s="861" t="s">
        <v>5225</v>
      </c>
      <c r="C969" s="861" t="s">
        <v>5226</v>
      </c>
      <c r="D969" s="861" t="s">
        <v>371</v>
      </c>
      <c r="E969" s="861"/>
      <c r="F969" s="862"/>
      <c r="G969" s="870" t="s">
        <v>5227</v>
      </c>
      <c r="H969" s="874">
        <v>24483597.010000002</v>
      </c>
      <c r="I969" s="871">
        <v>8.52</v>
      </c>
      <c r="J969" s="863" t="s">
        <v>5228</v>
      </c>
      <c r="K969" s="868">
        <f t="shared" si="82"/>
        <v>316</v>
      </c>
      <c r="L969" s="861"/>
      <c r="M969" s="671">
        <f t="shared" si="83"/>
        <v>967</v>
      </c>
      <c r="N969" s="671">
        <f t="shared" si="84"/>
        <v>239</v>
      </c>
      <c r="O969" s="671" t="str">
        <f t="shared" si="85"/>
        <v>N/A</v>
      </c>
      <c r="P969" s="861" t="s">
        <v>5046</v>
      </c>
      <c r="Q969" s="861" t="s">
        <v>5229</v>
      </c>
      <c r="R969" s="861" t="s">
        <v>2851</v>
      </c>
      <c r="S969" s="861" t="s">
        <v>5230</v>
      </c>
      <c r="T969" s="866" t="s">
        <v>5231</v>
      </c>
      <c r="U969" s="865"/>
    </row>
    <row r="970" spans="1:21" ht="15">
      <c r="A970" s="672"/>
      <c r="B970" s="861" t="s">
        <v>5232</v>
      </c>
      <c r="C970" s="861" t="s">
        <v>5233</v>
      </c>
      <c r="D970" s="861" t="s">
        <v>371</v>
      </c>
      <c r="E970" s="861"/>
      <c r="F970" s="862"/>
      <c r="G970" s="870" t="s">
        <v>5234</v>
      </c>
      <c r="H970" s="874">
        <v>24229556.719999999</v>
      </c>
      <c r="I970" s="871"/>
      <c r="J970" s="862">
        <v>9.6000000000000002E-2</v>
      </c>
      <c r="K970" s="868">
        <f t="shared" si="82"/>
        <v>316</v>
      </c>
      <c r="L970" s="861"/>
      <c r="M970" s="671">
        <f t="shared" si="83"/>
        <v>968</v>
      </c>
      <c r="N970" s="671" t="str">
        <f t="shared" si="84"/>
        <v>N/A</v>
      </c>
      <c r="O970" s="671">
        <f t="shared" si="85"/>
        <v>511</v>
      </c>
      <c r="P970" s="861" t="s">
        <v>1098</v>
      </c>
      <c r="Q970" s="861" t="s">
        <v>2434</v>
      </c>
      <c r="R970" s="861"/>
      <c r="S970" s="861" t="s">
        <v>5235</v>
      </c>
      <c r="T970" s="866" t="s">
        <v>5236</v>
      </c>
      <c r="U970" s="865"/>
    </row>
    <row r="971" spans="1:21" ht="15">
      <c r="A971" s="857"/>
      <c r="B971" s="861" t="s">
        <v>5237</v>
      </c>
      <c r="C971" s="861" t="s">
        <v>5238</v>
      </c>
      <c r="D971" s="861" t="s">
        <v>371</v>
      </c>
      <c r="E971" s="861"/>
      <c r="F971" s="862"/>
      <c r="G971" s="869">
        <v>0</v>
      </c>
      <c r="H971" s="874">
        <v>24202346.370000001</v>
      </c>
      <c r="I971" s="871"/>
      <c r="J971" s="863" t="s">
        <v>5239</v>
      </c>
      <c r="K971" s="868">
        <f t="shared" si="82"/>
        <v>316</v>
      </c>
      <c r="L971" s="861"/>
      <c r="M971" s="671">
        <f t="shared" si="83"/>
        <v>969</v>
      </c>
      <c r="N971" s="671" t="str">
        <f t="shared" si="84"/>
        <v>N/A</v>
      </c>
      <c r="O971" s="671" t="str">
        <f t="shared" si="85"/>
        <v>N/A</v>
      </c>
      <c r="P971" s="861" t="s">
        <v>1425</v>
      </c>
      <c r="Q971" s="861" t="s">
        <v>5240</v>
      </c>
      <c r="R971" s="861"/>
      <c r="S971" s="861" t="s">
        <v>1879</v>
      </c>
      <c r="T971" s="866" t="s">
        <v>5241</v>
      </c>
      <c r="U971" s="865"/>
    </row>
    <row r="972" spans="1:21" ht="15">
      <c r="A972" s="672"/>
      <c r="B972" s="861" t="s">
        <v>5242</v>
      </c>
      <c r="C972" s="861" t="s">
        <v>5243</v>
      </c>
      <c r="D972" s="861" t="s">
        <v>371</v>
      </c>
      <c r="E972" s="861"/>
      <c r="F972" s="862"/>
      <c r="G972" s="870" t="s">
        <v>5244</v>
      </c>
      <c r="H972" s="874">
        <v>24131931.77</v>
      </c>
      <c r="I972" s="871"/>
      <c r="J972" s="862">
        <v>0.125</v>
      </c>
      <c r="K972" s="868">
        <f t="shared" si="82"/>
        <v>316</v>
      </c>
      <c r="L972" s="863" t="s">
        <v>1251</v>
      </c>
      <c r="M972" s="671">
        <f t="shared" si="83"/>
        <v>970</v>
      </c>
      <c r="N972" s="671" t="str">
        <f t="shared" si="84"/>
        <v>N/A</v>
      </c>
      <c r="O972" s="671">
        <f t="shared" si="85"/>
        <v>416</v>
      </c>
      <c r="P972" s="861" t="s">
        <v>5245</v>
      </c>
      <c r="Q972" s="861"/>
      <c r="R972" s="861"/>
      <c r="S972" s="861" t="s">
        <v>2977</v>
      </c>
      <c r="T972" s="866" t="s">
        <v>5246</v>
      </c>
      <c r="U972" s="865"/>
    </row>
    <row r="973" spans="1:21" ht="15">
      <c r="A973" s="857"/>
      <c r="B973" s="861" t="s">
        <v>5247</v>
      </c>
      <c r="C973" s="861" t="s">
        <v>5248</v>
      </c>
      <c r="D973" s="861" t="s">
        <v>371</v>
      </c>
      <c r="E973" s="861"/>
      <c r="F973" s="862">
        <v>-0.122</v>
      </c>
      <c r="G973" s="870" t="s">
        <v>5249</v>
      </c>
      <c r="H973" s="874">
        <v>24049889.219999999</v>
      </c>
      <c r="I973" s="871"/>
      <c r="J973" s="862">
        <v>2.7E-2</v>
      </c>
      <c r="K973" s="868">
        <f t="shared" si="82"/>
        <v>391</v>
      </c>
      <c r="L973" s="861"/>
      <c r="M973" s="671">
        <f t="shared" si="83"/>
        <v>971</v>
      </c>
      <c r="N973" s="671" t="str">
        <f t="shared" si="84"/>
        <v>N/A</v>
      </c>
      <c r="O973" s="671">
        <f t="shared" si="85"/>
        <v>656</v>
      </c>
      <c r="P973" s="861" t="s">
        <v>761</v>
      </c>
      <c r="Q973" s="861" t="s">
        <v>5250</v>
      </c>
      <c r="R973" s="861"/>
      <c r="S973" s="861" t="s">
        <v>2915</v>
      </c>
      <c r="T973" s="866" t="s">
        <v>5251</v>
      </c>
      <c r="U973" s="865"/>
    </row>
    <row r="974" spans="1:21" ht="15">
      <c r="A974" s="672"/>
      <c r="B974" s="861" t="s">
        <v>5252</v>
      </c>
      <c r="C974" s="861" t="s">
        <v>5253</v>
      </c>
      <c r="D974" s="861" t="s">
        <v>371</v>
      </c>
      <c r="E974" s="861"/>
      <c r="F974" s="862"/>
      <c r="G974" s="869">
        <v>1.379617147</v>
      </c>
      <c r="H974" s="874">
        <v>24040455.5</v>
      </c>
      <c r="I974" s="871"/>
      <c r="J974" s="861"/>
      <c r="K974" s="868">
        <f t="shared" si="82"/>
        <v>316</v>
      </c>
      <c r="L974" s="861"/>
      <c r="M974" s="671">
        <f t="shared" si="83"/>
        <v>972</v>
      </c>
      <c r="N974" s="671" t="str">
        <f t="shared" si="84"/>
        <v>N/A</v>
      </c>
      <c r="O974" s="671">
        <f t="shared" si="85"/>
        <v>708</v>
      </c>
      <c r="P974" s="861" t="s">
        <v>4296</v>
      </c>
      <c r="Q974" s="861" t="s">
        <v>5254</v>
      </c>
      <c r="R974" s="861"/>
      <c r="S974" s="861" t="s">
        <v>5255</v>
      </c>
      <c r="T974" s="866" t="s">
        <v>5256</v>
      </c>
      <c r="U974" s="865"/>
    </row>
    <row r="975" spans="1:21" ht="15">
      <c r="A975" s="857"/>
      <c r="B975" s="861" t="s">
        <v>5257</v>
      </c>
      <c r="C975" s="861" t="s">
        <v>5258</v>
      </c>
      <c r="D975" s="861" t="s">
        <v>371</v>
      </c>
      <c r="E975" s="861"/>
      <c r="F975" s="862"/>
      <c r="G975" s="870" t="s">
        <v>5259</v>
      </c>
      <c r="H975" s="874">
        <v>24022674.640000001</v>
      </c>
      <c r="I975" s="871"/>
      <c r="J975" s="863" t="s">
        <v>5260</v>
      </c>
      <c r="K975" s="868">
        <f t="shared" si="82"/>
        <v>316</v>
      </c>
      <c r="L975" s="861"/>
      <c r="M975" s="671">
        <f t="shared" si="83"/>
        <v>973</v>
      </c>
      <c r="N975" s="671" t="str">
        <f t="shared" si="84"/>
        <v>N/A</v>
      </c>
      <c r="O975" s="671" t="str">
        <f t="shared" si="85"/>
        <v>N/A</v>
      </c>
      <c r="P975" s="861" t="s">
        <v>5261</v>
      </c>
      <c r="Q975" s="861"/>
      <c r="R975" s="861" t="s">
        <v>424</v>
      </c>
      <c r="S975" s="861" t="s">
        <v>734</v>
      </c>
      <c r="T975" s="866" t="s">
        <v>5262</v>
      </c>
      <c r="U975" s="865"/>
    </row>
    <row r="976" spans="1:21" ht="15">
      <c r="A976" s="672"/>
      <c r="B976" s="861" t="s">
        <v>5263</v>
      </c>
      <c r="C976" s="861" t="s">
        <v>5264</v>
      </c>
      <c r="D976" s="861" t="s">
        <v>371</v>
      </c>
      <c r="E976" s="861"/>
      <c r="F976" s="862"/>
      <c r="G976" s="869">
        <v>0</v>
      </c>
      <c r="H976" s="874">
        <v>23947020.5</v>
      </c>
      <c r="I976" s="871"/>
      <c r="J976" s="861"/>
      <c r="K976" s="868">
        <f t="shared" si="82"/>
        <v>316</v>
      </c>
      <c r="L976" s="861" t="s">
        <v>557</v>
      </c>
      <c r="M976" s="671">
        <f t="shared" si="83"/>
        <v>974</v>
      </c>
      <c r="N976" s="671" t="str">
        <f t="shared" si="84"/>
        <v>N/A</v>
      </c>
      <c r="O976" s="671">
        <f t="shared" si="85"/>
        <v>708</v>
      </c>
      <c r="P976" s="861" t="s">
        <v>2331</v>
      </c>
      <c r="Q976" s="861" t="s">
        <v>5265</v>
      </c>
      <c r="R976" s="861" t="s">
        <v>392</v>
      </c>
      <c r="S976" s="861" t="s">
        <v>624</v>
      </c>
      <c r="T976" s="866" t="s">
        <v>5266</v>
      </c>
      <c r="U976" s="865"/>
    </row>
    <row r="977" spans="1:21" ht="15">
      <c r="A977" s="857"/>
      <c r="B977" s="861" t="s">
        <v>5267</v>
      </c>
      <c r="C977" s="861" t="s">
        <v>5268</v>
      </c>
      <c r="D977" s="861" t="s">
        <v>371</v>
      </c>
      <c r="E977" s="861"/>
      <c r="F977" s="862"/>
      <c r="G977" s="869">
        <v>0</v>
      </c>
      <c r="H977" s="874">
        <v>23489975.780000001</v>
      </c>
      <c r="I977" s="871"/>
      <c r="J977" s="863" t="s">
        <v>5269</v>
      </c>
      <c r="K977" s="868">
        <f t="shared" si="82"/>
        <v>316</v>
      </c>
      <c r="L977" s="861"/>
      <c r="M977" s="671">
        <f t="shared" si="83"/>
        <v>975</v>
      </c>
      <c r="N977" s="671" t="str">
        <f t="shared" si="84"/>
        <v>N/A</v>
      </c>
      <c r="O977" s="671" t="str">
        <f t="shared" si="85"/>
        <v>N/A</v>
      </c>
      <c r="P977" s="861" t="s">
        <v>1230</v>
      </c>
      <c r="Q977" s="861" t="s">
        <v>5270</v>
      </c>
      <c r="R977" s="861"/>
      <c r="S977" s="861" t="s">
        <v>734</v>
      </c>
      <c r="T977" s="866" t="s">
        <v>5271</v>
      </c>
      <c r="U977" s="865"/>
    </row>
    <row r="978" spans="1:21" ht="15">
      <c r="A978" s="672"/>
      <c r="B978" s="861" t="s">
        <v>5272</v>
      </c>
      <c r="C978" s="861" t="s">
        <v>5273</v>
      </c>
      <c r="D978" s="861" t="s">
        <v>371</v>
      </c>
      <c r="E978" s="861"/>
      <c r="F978" s="862"/>
      <c r="G978" s="870" t="s">
        <v>5274</v>
      </c>
      <c r="H978" s="874">
        <v>23457406.780000001</v>
      </c>
      <c r="I978" s="871"/>
      <c r="J978" s="862">
        <v>0.23400000000000001</v>
      </c>
      <c r="K978" s="868">
        <f t="shared" si="82"/>
        <v>316</v>
      </c>
      <c r="L978" s="861"/>
      <c r="M978" s="671">
        <f t="shared" si="83"/>
        <v>976</v>
      </c>
      <c r="N978" s="671" t="str">
        <f t="shared" si="84"/>
        <v>N/A</v>
      </c>
      <c r="O978" s="671">
        <f t="shared" si="85"/>
        <v>207</v>
      </c>
      <c r="P978" s="861" t="s">
        <v>2195</v>
      </c>
      <c r="Q978" s="861" t="s">
        <v>5275</v>
      </c>
      <c r="R978" s="861"/>
      <c r="S978" s="861" t="s">
        <v>5276</v>
      </c>
      <c r="T978" s="866" t="s">
        <v>5277</v>
      </c>
      <c r="U978" s="865"/>
    </row>
    <row r="979" spans="1:21" ht="15">
      <c r="A979" s="857"/>
      <c r="B979" s="861" t="s">
        <v>5278</v>
      </c>
      <c r="C979" s="861" t="s">
        <v>5279</v>
      </c>
      <c r="D979" s="861" t="s">
        <v>371</v>
      </c>
      <c r="E979" s="861"/>
      <c r="F979" s="862">
        <v>0.34300000000000003</v>
      </c>
      <c r="G979" s="869">
        <v>0.15789473700000001</v>
      </c>
      <c r="H979" s="874">
        <v>23393577.010000002</v>
      </c>
      <c r="I979" s="871"/>
      <c r="J979" s="863" t="s">
        <v>5280</v>
      </c>
      <c r="K979" s="868">
        <f t="shared" si="82"/>
        <v>42</v>
      </c>
      <c r="L979" s="861"/>
      <c r="M979" s="671">
        <f t="shared" si="83"/>
        <v>977</v>
      </c>
      <c r="N979" s="671" t="str">
        <f t="shared" si="84"/>
        <v>N/A</v>
      </c>
      <c r="O979" s="671" t="str">
        <f t="shared" si="85"/>
        <v>N/A</v>
      </c>
      <c r="P979" s="861" t="s">
        <v>5281</v>
      </c>
      <c r="Q979" s="861"/>
      <c r="R979" s="861"/>
      <c r="S979" s="861" t="s">
        <v>424</v>
      </c>
      <c r="T979" s="866" t="s">
        <v>5282</v>
      </c>
      <c r="U979" s="865"/>
    </row>
    <row r="980" spans="1:21" ht="15">
      <c r="A980" s="672"/>
      <c r="B980" s="861" t="s">
        <v>5283</v>
      </c>
      <c r="C980" s="861" t="s">
        <v>5284</v>
      </c>
      <c r="D980" s="861" t="s">
        <v>371</v>
      </c>
      <c r="E980" s="861"/>
      <c r="F980" s="862"/>
      <c r="G980" s="870" t="s">
        <v>5285</v>
      </c>
      <c r="H980" s="874">
        <v>23317392.649999999</v>
      </c>
      <c r="I980" s="871"/>
      <c r="J980" s="863" t="s">
        <v>2093</v>
      </c>
      <c r="K980" s="868">
        <f t="shared" si="82"/>
        <v>316</v>
      </c>
      <c r="L980" s="861"/>
      <c r="M980" s="671">
        <f t="shared" si="83"/>
        <v>978</v>
      </c>
      <c r="N980" s="671" t="str">
        <f t="shared" si="84"/>
        <v>N/A</v>
      </c>
      <c r="O980" s="671" t="str">
        <f t="shared" si="85"/>
        <v>N/A</v>
      </c>
      <c r="P980" s="861" t="s">
        <v>1847</v>
      </c>
      <c r="Q980" s="861" t="s">
        <v>5286</v>
      </c>
      <c r="R980" s="861"/>
      <c r="S980" s="861" t="s">
        <v>696</v>
      </c>
      <c r="T980" s="866" t="s">
        <v>5287</v>
      </c>
      <c r="U980" s="865"/>
    </row>
    <row r="981" spans="1:21" ht="15">
      <c r="A981" s="857"/>
      <c r="B981" s="861" t="s">
        <v>5288</v>
      </c>
      <c r="C981" s="861" t="s">
        <v>5289</v>
      </c>
      <c r="D981" s="861" t="s">
        <v>371</v>
      </c>
      <c r="E981" s="861"/>
      <c r="F981" s="862">
        <v>-0.33800000000000002</v>
      </c>
      <c r="G981" s="870" t="s">
        <v>5290</v>
      </c>
      <c r="H981" s="874">
        <v>23282372.75</v>
      </c>
      <c r="I981" s="871"/>
      <c r="J981" s="863"/>
      <c r="K981" s="868">
        <f t="shared" si="82"/>
        <v>453</v>
      </c>
      <c r="L981" s="861"/>
      <c r="M981" s="671">
        <f t="shared" si="83"/>
        <v>979</v>
      </c>
      <c r="N981" s="671" t="str">
        <f t="shared" si="84"/>
        <v>N/A</v>
      </c>
      <c r="O981" s="671">
        <f t="shared" si="85"/>
        <v>708</v>
      </c>
      <c r="P981" s="861" t="s">
        <v>2140</v>
      </c>
      <c r="Q981" s="861"/>
      <c r="R981" s="861"/>
      <c r="S981" s="861" t="s">
        <v>2069</v>
      </c>
      <c r="T981" s="866" t="s">
        <v>5291</v>
      </c>
      <c r="U981" s="865"/>
    </row>
    <row r="982" spans="1:21" ht="15">
      <c r="A982" s="672"/>
      <c r="B982" s="861" t="s">
        <v>5292</v>
      </c>
      <c r="C982" s="861" t="s">
        <v>5293</v>
      </c>
      <c r="D982" s="861" t="s">
        <v>371</v>
      </c>
      <c r="E982" s="861"/>
      <c r="F982" s="862">
        <v>5.7000000000000002E-2</v>
      </c>
      <c r="G982" s="869">
        <v>10.42015561</v>
      </c>
      <c r="H982" s="874">
        <v>23244978.109999999</v>
      </c>
      <c r="I982" s="871"/>
      <c r="J982" s="861"/>
      <c r="K982" s="868">
        <f t="shared" si="82"/>
        <v>247</v>
      </c>
      <c r="L982" s="861" t="s">
        <v>2096</v>
      </c>
      <c r="M982" s="671">
        <f t="shared" si="83"/>
        <v>980</v>
      </c>
      <c r="N982" s="671" t="str">
        <f t="shared" si="84"/>
        <v>N/A</v>
      </c>
      <c r="O982" s="671">
        <f t="shared" si="85"/>
        <v>708</v>
      </c>
      <c r="P982" s="861" t="s">
        <v>4489</v>
      </c>
      <c r="Q982" s="861" t="s">
        <v>5294</v>
      </c>
      <c r="R982" s="861" t="s">
        <v>653</v>
      </c>
      <c r="S982" s="861" t="s">
        <v>5295</v>
      </c>
      <c r="T982" s="866" t="s">
        <v>5296</v>
      </c>
      <c r="U982" s="865"/>
    </row>
    <row r="983" spans="1:21" ht="15">
      <c r="A983" s="857"/>
      <c r="B983" s="861" t="s">
        <v>5297</v>
      </c>
      <c r="C983" s="861" t="s">
        <v>5298</v>
      </c>
      <c r="D983" s="861" t="s">
        <v>371</v>
      </c>
      <c r="E983" s="861"/>
      <c r="F983" s="862"/>
      <c r="G983" s="869" t="e">
        <v>#DIV/0!</v>
      </c>
      <c r="H983" s="874">
        <v>23236197.329999998</v>
      </c>
      <c r="I983" s="871"/>
      <c r="J983" s="862">
        <v>0.13400000000000001</v>
      </c>
      <c r="K983" s="868">
        <f t="shared" si="82"/>
        <v>316</v>
      </c>
      <c r="L983" s="863" t="s">
        <v>5023</v>
      </c>
      <c r="M983" s="671">
        <f t="shared" si="83"/>
        <v>981</v>
      </c>
      <c r="N983" s="671" t="str">
        <f t="shared" si="84"/>
        <v>N/A</v>
      </c>
      <c r="O983" s="671">
        <f t="shared" si="85"/>
        <v>387</v>
      </c>
      <c r="P983" s="861" t="s">
        <v>4192</v>
      </c>
      <c r="Q983" s="861" t="s">
        <v>2308</v>
      </c>
      <c r="R983" s="861"/>
      <c r="S983" s="861" t="s">
        <v>5299</v>
      </c>
      <c r="T983" s="866" t="s">
        <v>5300</v>
      </c>
      <c r="U983" s="865"/>
    </row>
    <row r="984" spans="1:21" ht="15">
      <c r="A984" s="672"/>
      <c r="B984" s="861" t="s">
        <v>5301</v>
      </c>
      <c r="C984" s="861" t="s">
        <v>5302</v>
      </c>
      <c r="D984" s="861" t="s">
        <v>371</v>
      </c>
      <c r="E984" s="861"/>
      <c r="F984" s="862"/>
      <c r="G984" s="869">
        <v>7.6725082149999997</v>
      </c>
      <c r="H984" s="874">
        <v>23218048.91</v>
      </c>
      <c r="I984" s="871"/>
      <c r="J984" s="862">
        <v>6.7000000000000004E-2</v>
      </c>
      <c r="K984" s="868">
        <f t="shared" si="82"/>
        <v>316</v>
      </c>
      <c r="L984" s="861"/>
      <c r="M984" s="671">
        <f t="shared" si="83"/>
        <v>982</v>
      </c>
      <c r="N984" s="671" t="str">
        <f t="shared" si="84"/>
        <v>N/A</v>
      </c>
      <c r="O984" s="671">
        <f t="shared" si="85"/>
        <v>568</v>
      </c>
      <c r="P984" s="861" t="s">
        <v>3552</v>
      </c>
      <c r="Q984" s="861" t="s">
        <v>5303</v>
      </c>
      <c r="R984" s="861"/>
      <c r="S984" s="861" t="s">
        <v>2459</v>
      </c>
      <c r="T984" s="866" t="s">
        <v>5304</v>
      </c>
      <c r="U984" s="865"/>
    </row>
    <row r="985" spans="1:21" ht="15">
      <c r="A985" s="857"/>
      <c r="B985" s="861" t="s">
        <v>5305</v>
      </c>
      <c r="C985" s="861" t="s">
        <v>5306</v>
      </c>
      <c r="D985" s="861" t="s">
        <v>371</v>
      </c>
      <c r="E985" s="861"/>
      <c r="F985" s="862"/>
      <c r="G985" s="870" t="s">
        <v>5307</v>
      </c>
      <c r="H985" s="874">
        <v>23150099.010000002</v>
      </c>
      <c r="I985" s="871"/>
      <c r="J985" s="863" t="s">
        <v>5308</v>
      </c>
      <c r="K985" s="868">
        <f t="shared" si="82"/>
        <v>316</v>
      </c>
      <c r="L985" s="861"/>
      <c r="M985" s="671">
        <f t="shared" si="83"/>
        <v>983</v>
      </c>
      <c r="N985" s="671" t="str">
        <f t="shared" si="84"/>
        <v>N/A</v>
      </c>
      <c r="O985" s="671" t="str">
        <f t="shared" si="85"/>
        <v>N/A</v>
      </c>
      <c r="P985" s="861" t="s">
        <v>800</v>
      </c>
      <c r="Q985" s="861"/>
      <c r="R985" s="861"/>
      <c r="S985" s="861" t="s">
        <v>653</v>
      </c>
      <c r="T985" s="866" t="s">
        <v>5309</v>
      </c>
      <c r="U985" s="865"/>
    </row>
    <row r="986" spans="1:21" ht="15">
      <c r="A986" s="672"/>
      <c r="B986" s="861" t="s">
        <v>5310</v>
      </c>
      <c r="C986" s="861" t="s">
        <v>5311</v>
      </c>
      <c r="D986" s="861" t="s">
        <v>371</v>
      </c>
      <c r="E986" s="861"/>
      <c r="F986" s="862"/>
      <c r="G986" s="870" t="s">
        <v>5312</v>
      </c>
      <c r="H986" s="874">
        <v>23131362.43</v>
      </c>
      <c r="I986" s="871">
        <v>44.7</v>
      </c>
      <c r="J986" s="862">
        <v>1.2E-2</v>
      </c>
      <c r="K986" s="868">
        <f t="shared" si="82"/>
        <v>316</v>
      </c>
      <c r="L986" s="861"/>
      <c r="M986" s="671">
        <f t="shared" si="83"/>
        <v>984</v>
      </c>
      <c r="N986" s="671">
        <f t="shared" si="84"/>
        <v>98</v>
      </c>
      <c r="O986" s="671">
        <f t="shared" si="85"/>
        <v>678</v>
      </c>
      <c r="P986" s="861" t="s">
        <v>5261</v>
      </c>
      <c r="Q986" s="861"/>
      <c r="R986" s="861"/>
      <c r="S986" s="861" t="s">
        <v>404</v>
      </c>
      <c r="T986" s="866" t="s">
        <v>5313</v>
      </c>
      <c r="U986" s="865"/>
    </row>
    <row r="987" spans="1:21" ht="15">
      <c r="A987" s="857"/>
      <c r="B987" s="861" t="s">
        <v>5314</v>
      </c>
      <c r="C987" s="861" t="s">
        <v>5315</v>
      </c>
      <c r="D987" s="861" t="s">
        <v>371</v>
      </c>
      <c r="E987" s="861"/>
      <c r="F987" s="862"/>
      <c r="G987" s="869">
        <v>3.0398991E-2</v>
      </c>
      <c r="H987" s="874">
        <v>23110707.120000001</v>
      </c>
      <c r="I987" s="871"/>
      <c r="J987" s="863" t="s">
        <v>5316</v>
      </c>
      <c r="K987" s="868">
        <f t="shared" si="82"/>
        <v>316</v>
      </c>
      <c r="L987" s="861"/>
      <c r="M987" s="671">
        <f t="shared" si="83"/>
        <v>985</v>
      </c>
      <c r="N987" s="671" t="str">
        <f t="shared" si="84"/>
        <v>N/A</v>
      </c>
      <c r="O987" s="671" t="str">
        <f t="shared" si="85"/>
        <v>N/A</v>
      </c>
      <c r="P987" s="861"/>
      <c r="Q987" s="861"/>
      <c r="R987" s="861"/>
      <c r="S987" s="861" t="s">
        <v>964</v>
      </c>
      <c r="T987" s="866" t="s">
        <v>5317</v>
      </c>
      <c r="U987" s="865"/>
    </row>
    <row r="988" spans="1:21" ht="15">
      <c r="A988" s="672"/>
      <c r="B988" s="861" t="s">
        <v>5318</v>
      </c>
      <c r="C988" s="861" t="s">
        <v>5319</v>
      </c>
      <c r="D988" s="861" t="s">
        <v>371</v>
      </c>
      <c r="E988" s="861"/>
      <c r="F988" s="862"/>
      <c r="G988" s="870" t="s">
        <v>5320</v>
      </c>
      <c r="H988" s="874">
        <v>23074473.989999998</v>
      </c>
      <c r="I988" s="871"/>
      <c r="J988" s="863" t="s">
        <v>4036</v>
      </c>
      <c r="K988" s="868">
        <f t="shared" si="82"/>
        <v>316</v>
      </c>
      <c r="L988" s="861" t="s">
        <v>392</v>
      </c>
      <c r="M988" s="671">
        <f t="shared" si="83"/>
        <v>986</v>
      </c>
      <c r="N988" s="671" t="str">
        <f t="shared" si="84"/>
        <v>N/A</v>
      </c>
      <c r="O988" s="671" t="str">
        <f t="shared" si="85"/>
        <v>N/A</v>
      </c>
      <c r="P988" s="861" t="s">
        <v>5321</v>
      </c>
      <c r="Q988" s="861"/>
      <c r="R988" s="861" t="s">
        <v>1252</v>
      </c>
      <c r="S988" s="861" t="s">
        <v>5322</v>
      </c>
      <c r="T988" s="866" t="s">
        <v>5323</v>
      </c>
      <c r="U988" s="865"/>
    </row>
    <row r="989" spans="1:21" ht="15">
      <c r="A989" s="857"/>
      <c r="B989" s="861" t="s">
        <v>5324</v>
      </c>
      <c r="C989" s="861" t="s">
        <v>5325</v>
      </c>
      <c r="D989" s="861" t="s">
        <v>371</v>
      </c>
      <c r="E989" s="861"/>
      <c r="F989" s="862"/>
      <c r="G989" s="870" t="s">
        <v>5326</v>
      </c>
      <c r="H989" s="874">
        <v>23071838.489999998</v>
      </c>
      <c r="I989" s="871">
        <v>8.2899999999999991</v>
      </c>
      <c r="J989" s="862">
        <v>0.161</v>
      </c>
      <c r="K989" s="868">
        <f t="shared" si="82"/>
        <v>316</v>
      </c>
      <c r="L989" s="861"/>
      <c r="M989" s="671">
        <f t="shared" si="83"/>
        <v>987</v>
      </c>
      <c r="N989" s="671">
        <f t="shared" si="84"/>
        <v>242</v>
      </c>
      <c r="O989" s="671">
        <f t="shared" si="85"/>
        <v>316</v>
      </c>
      <c r="P989" s="861" t="s">
        <v>4968</v>
      </c>
      <c r="Q989" s="861"/>
      <c r="R989" s="861"/>
      <c r="S989" s="861" t="s">
        <v>1127</v>
      </c>
      <c r="T989" s="866" t="s">
        <v>5327</v>
      </c>
      <c r="U989" s="865"/>
    </row>
    <row r="990" spans="1:21" ht="15">
      <c r="A990" s="672"/>
      <c r="B990" s="861" t="s">
        <v>5328</v>
      </c>
      <c r="C990" s="861" t="s">
        <v>5329</v>
      </c>
      <c r="D990" s="861" t="s">
        <v>371</v>
      </c>
      <c r="E990" s="861"/>
      <c r="F990" s="862"/>
      <c r="G990" s="869">
        <v>1.282721233</v>
      </c>
      <c r="H990" s="874">
        <v>22871898.460000001</v>
      </c>
      <c r="I990" s="871"/>
      <c r="J990" s="862">
        <v>6.0000000000000001E-3</v>
      </c>
      <c r="K990" s="868">
        <f t="shared" si="82"/>
        <v>316</v>
      </c>
      <c r="L990" s="861"/>
      <c r="M990" s="671">
        <f t="shared" si="83"/>
        <v>988</v>
      </c>
      <c r="N990" s="671" t="str">
        <f t="shared" si="84"/>
        <v>N/A</v>
      </c>
      <c r="O990" s="671">
        <f t="shared" si="85"/>
        <v>693</v>
      </c>
      <c r="P990" s="861" t="s">
        <v>5330</v>
      </c>
      <c r="Q990" s="861"/>
      <c r="R990" s="861"/>
      <c r="S990" s="861" t="s">
        <v>1002</v>
      </c>
      <c r="T990" s="866" t="s">
        <v>2106</v>
      </c>
      <c r="U990" s="865"/>
    </row>
    <row r="991" spans="1:21" ht="15">
      <c r="A991" s="857"/>
      <c r="B991" s="861" t="s">
        <v>5331</v>
      </c>
      <c r="C991" s="861" t="s">
        <v>5332</v>
      </c>
      <c r="D991" s="861" t="s">
        <v>371</v>
      </c>
      <c r="E991" s="861"/>
      <c r="F991" s="862"/>
      <c r="G991" s="869">
        <v>9.8199313999999998</v>
      </c>
      <c r="H991" s="874">
        <v>22709907.07</v>
      </c>
      <c r="I991" s="871"/>
      <c r="J991" s="863" t="s">
        <v>5333</v>
      </c>
      <c r="K991" s="868">
        <f t="shared" si="82"/>
        <v>316</v>
      </c>
      <c r="L991" s="861"/>
      <c r="M991" s="671">
        <f t="shared" si="83"/>
        <v>989</v>
      </c>
      <c r="N991" s="671" t="str">
        <f t="shared" si="84"/>
        <v>N/A</v>
      </c>
      <c r="O991" s="671" t="str">
        <f t="shared" si="85"/>
        <v>N/A</v>
      </c>
      <c r="P991" s="861" t="s">
        <v>569</v>
      </c>
      <c r="Q991" s="861"/>
      <c r="R991" s="861"/>
      <c r="S991" s="861" t="s">
        <v>734</v>
      </c>
      <c r="T991" s="866" t="s">
        <v>5334</v>
      </c>
      <c r="U991" s="865"/>
    </row>
    <row r="992" spans="1:21" ht="15">
      <c r="A992" s="672"/>
      <c r="B992" s="861" t="s">
        <v>5335</v>
      </c>
      <c r="C992" s="861" t="s">
        <v>5336</v>
      </c>
      <c r="D992" s="861" t="s">
        <v>371</v>
      </c>
      <c r="E992" s="861"/>
      <c r="F992" s="862"/>
      <c r="G992" s="869" t="e">
        <v>#DIV/0!</v>
      </c>
      <c r="H992" s="874">
        <v>22608059.32</v>
      </c>
      <c r="I992" s="871"/>
      <c r="J992" s="863" t="s">
        <v>3084</v>
      </c>
      <c r="K992" s="868">
        <f t="shared" si="82"/>
        <v>316</v>
      </c>
      <c r="L992" s="861" t="s">
        <v>472</v>
      </c>
      <c r="M992" s="671">
        <f t="shared" si="83"/>
        <v>990</v>
      </c>
      <c r="N992" s="671" t="str">
        <f t="shared" si="84"/>
        <v>N/A</v>
      </c>
      <c r="O992" s="671" t="str">
        <f t="shared" si="85"/>
        <v>N/A</v>
      </c>
      <c r="P992" s="861" t="s">
        <v>4409</v>
      </c>
      <c r="Q992" s="861"/>
      <c r="R992" s="863" t="s">
        <v>1420</v>
      </c>
      <c r="S992" s="861" t="s">
        <v>5337</v>
      </c>
      <c r="T992" s="866" t="s">
        <v>5338</v>
      </c>
      <c r="U992" s="865"/>
    </row>
    <row r="993" spans="1:21" ht="15">
      <c r="A993" s="857"/>
      <c r="B993" s="861" t="s">
        <v>5339</v>
      </c>
      <c r="C993" s="861" t="s">
        <v>5340</v>
      </c>
      <c r="D993" s="861" t="s">
        <v>371</v>
      </c>
      <c r="E993" s="861"/>
      <c r="F993" s="862"/>
      <c r="G993" s="870" t="s">
        <v>5341</v>
      </c>
      <c r="H993" s="874">
        <v>22601615.16</v>
      </c>
      <c r="I993" s="871"/>
      <c r="J993" s="863" t="s">
        <v>4862</v>
      </c>
      <c r="K993" s="868">
        <f t="shared" si="82"/>
        <v>316</v>
      </c>
      <c r="L993" s="861"/>
      <c r="M993" s="671">
        <f t="shared" si="83"/>
        <v>991</v>
      </c>
      <c r="N993" s="671" t="str">
        <f t="shared" si="84"/>
        <v>N/A</v>
      </c>
      <c r="O993" s="671" t="str">
        <f t="shared" si="85"/>
        <v>N/A</v>
      </c>
      <c r="P993" s="861" t="s">
        <v>5342</v>
      </c>
      <c r="Q993" s="861" t="s">
        <v>5343</v>
      </c>
      <c r="R993" s="861" t="s">
        <v>1475</v>
      </c>
      <c r="S993" s="861" t="s">
        <v>5344</v>
      </c>
      <c r="T993" s="866" t="s">
        <v>5345</v>
      </c>
      <c r="U993" s="865"/>
    </row>
    <row r="994" spans="1:21" ht="15">
      <c r="A994" s="672"/>
      <c r="B994" s="861" t="s">
        <v>5346</v>
      </c>
      <c r="C994" s="861" t="s">
        <v>5347</v>
      </c>
      <c r="D994" s="861" t="s">
        <v>371</v>
      </c>
      <c r="E994" s="861"/>
      <c r="F994" s="862">
        <v>-0.16800000000000001</v>
      </c>
      <c r="G994" s="870" t="s">
        <v>5348</v>
      </c>
      <c r="H994" s="874">
        <v>22393634.789999999</v>
      </c>
      <c r="I994" s="871">
        <v>18.350000000000001</v>
      </c>
      <c r="J994" s="863" t="s">
        <v>5349</v>
      </c>
      <c r="K994" s="868">
        <f t="shared" si="82"/>
        <v>404</v>
      </c>
      <c r="L994" s="861" t="s">
        <v>404</v>
      </c>
      <c r="M994" s="671">
        <f t="shared" si="83"/>
        <v>992</v>
      </c>
      <c r="N994" s="671">
        <f t="shared" si="84"/>
        <v>182</v>
      </c>
      <c r="O994" s="671" t="str">
        <f t="shared" si="85"/>
        <v>N/A</v>
      </c>
      <c r="P994" s="861" t="s">
        <v>1406</v>
      </c>
      <c r="Q994" s="861"/>
      <c r="R994" s="861"/>
      <c r="S994" s="861" t="s">
        <v>718</v>
      </c>
      <c r="T994" s="866" t="s">
        <v>5350</v>
      </c>
      <c r="U994" s="865"/>
    </row>
    <row r="995" spans="1:21" ht="15">
      <c r="A995" s="857"/>
      <c r="B995" s="861" t="s">
        <v>5351</v>
      </c>
      <c r="C995" s="861" t="s">
        <v>5352</v>
      </c>
      <c r="D995" s="861" t="s">
        <v>371</v>
      </c>
      <c r="E995" s="861"/>
      <c r="F995" s="862"/>
      <c r="G995" s="870" t="s">
        <v>5353</v>
      </c>
      <c r="H995" s="874">
        <v>22353129.100000001</v>
      </c>
      <c r="I995" s="871"/>
      <c r="J995" s="863" t="s">
        <v>5354</v>
      </c>
      <c r="K995" s="868">
        <f t="shared" si="82"/>
        <v>316</v>
      </c>
      <c r="L995" s="861"/>
      <c r="M995" s="671">
        <f t="shared" si="83"/>
        <v>993</v>
      </c>
      <c r="N995" s="671" t="str">
        <f t="shared" si="84"/>
        <v>N/A</v>
      </c>
      <c r="O995" s="671" t="str">
        <f t="shared" si="85"/>
        <v>N/A</v>
      </c>
      <c r="P995" s="861" t="s">
        <v>1150</v>
      </c>
      <c r="Q995" s="861"/>
      <c r="R995" s="861"/>
      <c r="S995" s="861" t="s">
        <v>833</v>
      </c>
      <c r="T995" s="866" t="s">
        <v>5355</v>
      </c>
      <c r="U995" s="865"/>
    </row>
    <row r="996" spans="1:21" ht="15">
      <c r="A996" s="672"/>
      <c r="B996" s="861" t="s">
        <v>5356</v>
      </c>
      <c r="C996" s="861" t="s">
        <v>5357</v>
      </c>
      <c r="D996" s="861" t="s">
        <v>371</v>
      </c>
      <c r="E996" s="861"/>
      <c r="F996" s="862">
        <v>-0.23799999999999999</v>
      </c>
      <c r="G996" s="870" t="s">
        <v>5358</v>
      </c>
      <c r="H996" s="874">
        <v>22350162.239999998</v>
      </c>
      <c r="I996" s="871"/>
      <c r="J996" s="863" t="s">
        <v>555</v>
      </c>
      <c r="K996" s="868">
        <f t="shared" si="82"/>
        <v>428</v>
      </c>
      <c r="L996" s="861"/>
      <c r="M996" s="671">
        <f t="shared" si="83"/>
        <v>994</v>
      </c>
      <c r="N996" s="671" t="str">
        <f t="shared" si="84"/>
        <v>N/A</v>
      </c>
      <c r="O996" s="671" t="str">
        <f t="shared" si="85"/>
        <v>N/A</v>
      </c>
      <c r="P996" s="861" t="s">
        <v>1536</v>
      </c>
      <c r="Q996" s="861" t="s">
        <v>782</v>
      </c>
      <c r="R996" s="861"/>
      <c r="S996" s="861" t="s">
        <v>994</v>
      </c>
      <c r="T996" s="866" t="s">
        <v>5359</v>
      </c>
      <c r="U996" s="865"/>
    </row>
    <row r="997" spans="1:21" ht="15">
      <c r="A997" s="857"/>
      <c r="B997" s="861" t="s">
        <v>5360</v>
      </c>
      <c r="C997" s="861" t="s">
        <v>5361</v>
      </c>
      <c r="D997" s="861" t="s">
        <v>371</v>
      </c>
      <c r="E997" s="861"/>
      <c r="F997" s="862"/>
      <c r="G997" s="870" t="s">
        <v>5362</v>
      </c>
      <c r="H997" s="874">
        <v>22227890.690000001</v>
      </c>
      <c r="I997" s="871"/>
      <c r="J997" s="862">
        <v>0.05</v>
      </c>
      <c r="K997" s="868">
        <f t="shared" si="82"/>
        <v>316</v>
      </c>
      <c r="L997" s="861" t="s">
        <v>1497</v>
      </c>
      <c r="M997" s="671">
        <f t="shared" si="83"/>
        <v>995</v>
      </c>
      <c r="N997" s="671" t="str">
        <f t="shared" si="84"/>
        <v>N/A</v>
      </c>
      <c r="O997" s="671">
        <f t="shared" si="85"/>
        <v>605</v>
      </c>
      <c r="P997" s="861" t="s">
        <v>5363</v>
      </c>
      <c r="Q997" s="861"/>
      <c r="R997" s="861"/>
      <c r="S997" s="861" t="s">
        <v>5364</v>
      </c>
      <c r="T997" s="866" t="s">
        <v>5365</v>
      </c>
      <c r="U997" s="865"/>
    </row>
    <row r="998" spans="1:21" ht="15">
      <c r="A998" s="672"/>
      <c r="B998" s="861" t="s">
        <v>5366</v>
      </c>
      <c r="C998" s="861" t="s">
        <v>5367</v>
      </c>
      <c r="D998" s="861" t="s">
        <v>371</v>
      </c>
      <c r="E998" s="861"/>
      <c r="F998" s="862">
        <v>-0.56100000000000005</v>
      </c>
      <c r="G998" s="869">
        <v>9.9681866380000006</v>
      </c>
      <c r="H998" s="874">
        <v>22213174.879999999</v>
      </c>
      <c r="I998" s="871"/>
      <c r="J998" s="863"/>
      <c r="K998" s="868">
        <f t="shared" si="82"/>
        <v>479</v>
      </c>
      <c r="L998" s="861"/>
      <c r="M998" s="671">
        <f t="shared" si="83"/>
        <v>996</v>
      </c>
      <c r="N998" s="671" t="str">
        <f t="shared" si="84"/>
        <v>N/A</v>
      </c>
      <c r="O998" s="671">
        <f t="shared" si="85"/>
        <v>708</v>
      </c>
      <c r="P998" s="861" t="s">
        <v>1597</v>
      </c>
      <c r="Q998" s="861"/>
      <c r="R998" s="863" t="s">
        <v>3670</v>
      </c>
      <c r="S998" s="861" t="s">
        <v>563</v>
      </c>
      <c r="T998" s="866" t="s">
        <v>5368</v>
      </c>
      <c r="U998" s="865"/>
    </row>
    <row r="999" spans="1:21" ht="15">
      <c r="A999" s="857"/>
      <c r="B999" s="861" t="s">
        <v>5369</v>
      </c>
      <c r="C999" s="861" t="s">
        <v>5370</v>
      </c>
      <c r="D999" s="861" t="s">
        <v>371</v>
      </c>
      <c r="E999" s="861"/>
      <c r="F999" s="862"/>
      <c r="G999" s="870" t="s">
        <v>5371</v>
      </c>
      <c r="H999" s="874">
        <v>22121653.23</v>
      </c>
      <c r="I999" s="871"/>
      <c r="J999" s="862">
        <v>0.42199999999999999</v>
      </c>
      <c r="K999" s="868">
        <f t="shared" si="82"/>
        <v>316</v>
      </c>
      <c r="L999" s="861"/>
      <c r="M999" s="671">
        <f t="shared" si="83"/>
        <v>997</v>
      </c>
      <c r="N999" s="671" t="str">
        <f t="shared" si="84"/>
        <v>N/A</v>
      </c>
      <c r="O999" s="671">
        <f t="shared" si="85"/>
        <v>49</v>
      </c>
      <c r="P999" s="861" t="s">
        <v>1137</v>
      </c>
      <c r="Q999" s="861" t="s">
        <v>5372</v>
      </c>
      <c r="R999" s="861"/>
      <c r="S999" s="861" t="s">
        <v>3699</v>
      </c>
      <c r="T999" s="866" t="s">
        <v>5373</v>
      </c>
      <c r="U999" s="865"/>
    </row>
    <row r="1000" spans="1:21" ht="15">
      <c r="A1000" s="672"/>
      <c r="B1000" s="861" t="s">
        <v>5374</v>
      </c>
      <c r="C1000" s="861" t="s">
        <v>5375</v>
      </c>
      <c r="D1000" s="861" t="s">
        <v>371</v>
      </c>
      <c r="E1000" s="861"/>
      <c r="F1000" s="862"/>
      <c r="G1000" s="869">
        <v>6.6968484999999994E-2</v>
      </c>
      <c r="H1000" s="874">
        <v>22103235.23</v>
      </c>
      <c r="I1000" s="871"/>
      <c r="J1000" s="863" t="s">
        <v>5376</v>
      </c>
      <c r="K1000" s="868">
        <f t="shared" si="82"/>
        <v>316</v>
      </c>
      <c r="L1000" s="863" t="s">
        <v>3670</v>
      </c>
      <c r="M1000" s="671">
        <f t="shared" si="83"/>
        <v>998</v>
      </c>
      <c r="N1000" s="671" t="str">
        <f t="shared" si="84"/>
        <v>N/A</v>
      </c>
      <c r="O1000" s="671" t="str">
        <f t="shared" si="85"/>
        <v>N/A</v>
      </c>
      <c r="P1000" s="863" t="s">
        <v>2639</v>
      </c>
      <c r="Q1000" s="861"/>
      <c r="R1000" s="861"/>
      <c r="S1000" s="861" t="s">
        <v>1475</v>
      </c>
      <c r="T1000" s="866" t="s">
        <v>5377</v>
      </c>
      <c r="U1000" s="865"/>
    </row>
    <row r="1001" spans="1:21" ht="15">
      <c r="A1001" s="857"/>
      <c r="B1001" s="861" t="s">
        <v>5378</v>
      </c>
      <c r="C1001" s="861" t="s">
        <v>5379</v>
      </c>
      <c r="D1001" s="861" t="s">
        <v>371</v>
      </c>
      <c r="E1001" s="861"/>
      <c r="F1001" s="862"/>
      <c r="G1001" s="870" t="s">
        <v>5380</v>
      </c>
      <c r="H1001" s="874">
        <v>22045957.5</v>
      </c>
      <c r="I1001" s="871"/>
      <c r="J1001" s="862">
        <v>3.5000000000000003E-2</v>
      </c>
      <c r="K1001" s="868">
        <f t="shared" si="82"/>
        <v>316</v>
      </c>
      <c r="L1001" s="863" t="s">
        <v>5381</v>
      </c>
      <c r="M1001" s="671">
        <f t="shared" si="83"/>
        <v>999</v>
      </c>
      <c r="N1001" s="671" t="str">
        <f t="shared" si="84"/>
        <v>N/A</v>
      </c>
      <c r="O1001" s="671">
        <f t="shared" si="85"/>
        <v>641</v>
      </c>
      <c r="P1001" s="861" t="s">
        <v>5382</v>
      </c>
      <c r="Q1001" s="861"/>
      <c r="R1001" s="863" t="s">
        <v>3417</v>
      </c>
      <c r="S1001" s="861" t="s">
        <v>5383</v>
      </c>
      <c r="T1001" s="866" t="s">
        <v>5384</v>
      </c>
      <c r="U1001" s="865"/>
    </row>
    <row r="1002" spans="1:21" ht="15">
      <c r="A1002" s="672"/>
      <c r="B1002" s="861" t="s">
        <v>5385</v>
      </c>
      <c r="C1002" s="861" t="s">
        <v>5386</v>
      </c>
      <c r="D1002" s="861" t="s">
        <v>371</v>
      </c>
      <c r="E1002" s="861"/>
      <c r="F1002" s="862"/>
      <c r="G1002" s="869">
        <v>548.03053439999996</v>
      </c>
      <c r="H1002" s="874">
        <v>21863015.100000001</v>
      </c>
      <c r="I1002" s="871"/>
      <c r="J1002" s="863" t="s">
        <v>5387</v>
      </c>
      <c r="K1002" s="868">
        <f t="shared" si="82"/>
        <v>316</v>
      </c>
      <c r="L1002" s="863" t="s">
        <v>4108</v>
      </c>
      <c r="M1002" s="671">
        <f t="shared" si="83"/>
        <v>1000</v>
      </c>
      <c r="N1002" s="671" t="str">
        <f t="shared" si="84"/>
        <v>N/A</v>
      </c>
      <c r="O1002" s="671" t="str">
        <f t="shared" si="85"/>
        <v>N/A</v>
      </c>
      <c r="P1002" s="861" t="s">
        <v>2891</v>
      </c>
      <c r="Q1002" s="861" t="s">
        <v>5388</v>
      </c>
      <c r="R1002" s="861" t="s">
        <v>1150</v>
      </c>
      <c r="S1002" s="861" t="s">
        <v>5389</v>
      </c>
      <c r="T1002" s="866" t="s">
        <v>5390</v>
      </c>
      <c r="U1002" s="865"/>
    </row>
    <row r="1003" spans="1:21" ht="15">
      <c r="A1003" s="857"/>
      <c r="B1003" s="861" t="s">
        <v>5391</v>
      </c>
      <c r="C1003" s="861" t="s">
        <v>5392</v>
      </c>
      <c r="D1003" s="861" t="s">
        <v>371</v>
      </c>
      <c r="E1003" s="861"/>
      <c r="F1003" s="862"/>
      <c r="G1003" s="870" t="s">
        <v>5393</v>
      </c>
      <c r="H1003" s="874">
        <v>21719197.5</v>
      </c>
      <c r="I1003" s="871"/>
      <c r="J1003" s="863" t="s">
        <v>5394</v>
      </c>
      <c r="K1003" s="868">
        <f t="shared" si="82"/>
        <v>316</v>
      </c>
      <c r="L1003" s="861"/>
      <c r="M1003" s="671">
        <f t="shared" si="83"/>
        <v>1001</v>
      </c>
      <c r="N1003" s="671" t="str">
        <f t="shared" si="84"/>
        <v>N/A</v>
      </c>
      <c r="O1003" s="671" t="str">
        <f t="shared" si="85"/>
        <v>N/A</v>
      </c>
      <c r="P1003" s="861"/>
      <c r="Q1003" s="861"/>
      <c r="R1003" s="861"/>
      <c r="S1003" s="861" t="s">
        <v>424</v>
      </c>
      <c r="T1003" s="866" t="s">
        <v>5395</v>
      </c>
      <c r="U1003" s="865"/>
    </row>
    <row r="1004" spans="1:21" ht="15">
      <c r="A1004" s="672"/>
      <c r="B1004" s="861" t="s">
        <v>5396</v>
      </c>
      <c r="C1004" s="861" t="s">
        <v>5397</v>
      </c>
      <c r="D1004" s="861" t="s">
        <v>371</v>
      </c>
      <c r="E1004" s="861"/>
      <c r="F1004" s="862"/>
      <c r="G1004" s="869">
        <v>0</v>
      </c>
      <c r="H1004" s="874">
        <v>21661232.379999999</v>
      </c>
      <c r="I1004" s="871"/>
      <c r="J1004" s="861"/>
      <c r="K1004" s="868">
        <f t="shared" si="82"/>
        <v>316</v>
      </c>
      <c r="L1004" s="861" t="s">
        <v>1497</v>
      </c>
      <c r="M1004" s="671">
        <f t="shared" si="83"/>
        <v>1002</v>
      </c>
      <c r="N1004" s="671" t="str">
        <f t="shared" si="84"/>
        <v>N/A</v>
      </c>
      <c r="O1004" s="671">
        <f t="shared" si="85"/>
        <v>708</v>
      </c>
      <c r="P1004" s="861" t="s">
        <v>5398</v>
      </c>
      <c r="Q1004" s="861" t="s">
        <v>5399</v>
      </c>
      <c r="R1004" s="861"/>
      <c r="S1004" s="861" t="s">
        <v>5400</v>
      </c>
      <c r="T1004" s="866" t="s">
        <v>5401</v>
      </c>
      <c r="U1004" s="865"/>
    </row>
    <row r="1005" spans="1:21" ht="15">
      <c r="A1005" s="857"/>
      <c r="B1005" s="861" t="s">
        <v>5402</v>
      </c>
      <c r="C1005" s="861" t="s">
        <v>5403</v>
      </c>
      <c r="D1005" s="861" t="s">
        <v>371</v>
      </c>
      <c r="E1005" s="861"/>
      <c r="F1005" s="862"/>
      <c r="G1005" s="870" t="s">
        <v>5404</v>
      </c>
      <c r="H1005" s="874">
        <v>21597455.550000001</v>
      </c>
      <c r="I1005" s="871"/>
      <c r="J1005" s="862">
        <v>0.128</v>
      </c>
      <c r="K1005" s="868">
        <f t="shared" si="82"/>
        <v>316</v>
      </c>
      <c r="L1005" s="861"/>
      <c r="M1005" s="671">
        <f t="shared" si="83"/>
        <v>1003</v>
      </c>
      <c r="N1005" s="671" t="str">
        <f t="shared" si="84"/>
        <v>N/A</v>
      </c>
      <c r="O1005" s="671">
        <f t="shared" si="85"/>
        <v>405</v>
      </c>
      <c r="P1005" s="861"/>
      <c r="Q1005" s="861"/>
      <c r="R1005" s="861"/>
      <c r="S1005" s="861" t="s">
        <v>404</v>
      </c>
      <c r="T1005" s="866" t="s">
        <v>5405</v>
      </c>
      <c r="U1005" s="865"/>
    </row>
    <row r="1006" spans="1:21" ht="15">
      <c r="A1006" s="672"/>
      <c r="B1006" s="861" t="s">
        <v>5406</v>
      </c>
      <c r="C1006" s="861" t="s">
        <v>5407</v>
      </c>
      <c r="D1006" s="861" t="s">
        <v>371</v>
      </c>
      <c r="E1006" s="861"/>
      <c r="F1006" s="862"/>
      <c r="G1006" s="870" t="s">
        <v>5408</v>
      </c>
      <c r="H1006" s="874">
        <v>21505194.640000001</v>
      </c>
      <c r="I1006" s="871"/>
      <c r="J1006" s="863" t="s">
        <v>5409</v>
      </c>
      <c r="K1006" s="868">
        <f t="shared" si="82"/>
        <v>316</v>
      </c>
      <c r="L1006" s="861"/>
      <c r="M1006" s="671">
        <f t="shared" si="83"/>
        <v>1004</v>
      </c>
      <c r="N1006" s="671" t="str">
        <f t="shared" si="84"/>
        <v>N/A</v>
      </c>
      <c r="O1006" s="671" t="str">
        <f t="shared" si="85"/>
        <v>N/A</v>
      </c>
      <c r="P1006" s="861"/>
      <c r="Q1006" s="861"/>
      <c r="R1006" s="861"/>
      <c r="S1006" s="861"/>
      <c r="T1006" s="866"/>
      <c r="U1006" s="865"/>
    </row>
    <row r="1007" spans="1:21" ht="15">
      <c r="A1007" s="857"/>
      <c r="B1007" s="861" t="s">
        <v>5410</v>
      </c>
      <c r="C1007" s="861" t="s">
        <v>5411</v>
      </c>
      <c r="D1007" s="861" t="s">
        <v>371</v>
      </c>
      <c r="E1007" s="861"/>
      <c r="F1007" s="862">
        <v>-5.2320000000000002</v>
      </c>
      <c r="G1007" s="870" t="s">
        <v>5412</v>
      </c>
      <c r="H1007" s="874">
        <v>21431633.09</v>
      </c>
      <c r="I1007" s="871"/>
      <c r="J1007" s="862">
        <v>0.315</v>
      </c>
      <c r="K1007" s="868">
        <f t="shared" si="82"/>
        <v>505</v>
      </c>
      <c r="L1007" s="861"/>
      <c r="M1007" s="671">
        <f t="shared" si="83"/>
        <v>1005</v>
      </c>
      <c r="N1007" s="671" t="str">
        <f t="shared" si="84"/>
        <v>N/A</v>
      </c>
      <c r="O1007" s="671">
        <f t="shared" si="85"/>
        <v>106</v>
      </c>
      <c r="P1007" s="861"/>
      <c r="Q1007" s="861"/>
      <c r="R1007" s="861"/>
      <c r="S1007" s="861"/>
      <c r="T1007" s="866"/>
      <c r="U1007" s="865"/>
    </row>
    <row r="1008" spans="1:21" ht="15">
      <c r="A1008" s="672"/>
      <c r="B1008" s="861" t="s">
        <v>5413</v>
      </c>
      <c r="C1008" s="861" t="s">
        <v>5414</v>
      </c>
      <c r="D1008" s="861" t="s">
        <v>371</v>
      </c>
      <c r="E1008" s="861"/>
      <c r="F1008" s="862"/>
      <c r="G1008" s="869">
        <v>0.248225216</v>
      </c>
      <c r="H1008" s="874">
        <v>21423658.789999999</v>
      </c>
      <c r="I1008" s="871"/>
      <c r="J1008" s="862">
        <v>0.19400000000000001</v>
      </c>
      <c r="K1008" s="868">
        <f t="shared" si="82"/>
        <v>316</v>
      </c>
      <c r="L1008" s="861"/>
      <c r="M1008" s="671">
        <f t="shared" si="83"/>
        <v>1006</v>
      </c>
      <c r="N1008" s="671" t="str">
        <f t="shared" si="84"/>
        <v>N/A</v>
      </c>
      <c r="O1008" s="671">
        <f t="shared" si="85"/>
        <v>264</v>
      </c>
      <c r="P1008" s="861" t="s">
        <v>1230</v>
      </c>
      <c r="Q1008" s="861" t="s">
        <v>2282</v>
      </c>
      <c r="R1008" s="861"/>
      <c r="S1008" s="861" t="s">
        <v>5415</v>
      </c>
      <c r="T1008" s="866" t="s">
        <v>5416</v>
      </c>
      <c r="U1008" s="865"/>
    </row>
    <row r="1009" spans="1:21" ht="15">
      <c r="A1009" s="857"/>
      <c r="B1009" s="861" t="s">
        <v>5417</v>
      </c>
      <c r="C1009" s="861" t="s">
        <v>5418</v>
      </c>
      <c r="D1009" s="861" t="s">
        <v>371</v>
      </c>
      <c r="E1009" s="861"/>
      <c r="F1009" s="862"/>
      <c r="G1009" s="870" t="s">
        <v>5419</v>
      </c>
      <c r="H1009" s="874">
        <v>21384838.120000001</v>
      </c>
      <c r="I1009" s="871"/>
      <c r="J1009" s="863"/>
      <c r="K1009" s="868">
        <f t="shared" si="82"/>
        <v>316</v>
      </c>
      <c r="L1009" s="863" t="s">
        <v>5420</v>
      </c>
      <c r="M1009" s="671">
        <f t="shared" si="83"/>
        <v>1007</v>
      </c>
      <c r="N1009" s="671" t="str">
        <f t="shared" si="84"/>
        <v>N/A</v>
      </c>
      <c r="O1009" s="671">
        <f t="shared" si="85"/>
        <v>708</v>
      </c>
      <c r="P1009" s="861" t="s">
        <v>2335</v>
      </c>
      <c r="Q1009" s="861" t="s">
        <v>5421</v>
      </c>
      <c r="R1009" s="863" t="s">
        <v>2094</v>
      </c>
      <c r="S1009" s="861" t="s">
        <v>5422</v>
      </c>
      <c r="T1009" s="866" t="s">
        <v>5423</v>
      </c>
      <c r="U1009" s="865"/>
    </row>
    <row r="1010" spans="1:21" ht="15">
      <c r="A1010" s="672"/>
      <c r="B1010" s="861" t="s">
        <v>5424</v>
      </c>
      <c r="C1010" s="861" t="s">
        <v>5425</v>
      </c>
      <c r="D1010" s="861" t="s">
        <v>371</v>
      </c>
      <c r="E1010" s="861"/>
      <c r="F1010" s="862"/>
      <c r="G1010" s="870" t="s">
        <v>5426</v>
      </c>
      <c r="H1010" s="874">
        <v>21234897.489999998</v>
      </c>
      <c r="I1010" s="871"/>
      <c r="J1010" s="862">
        <v>0.16400000000000001</v>
      </c>
      <c r="K1010" s="868">
        <f t="shared" si="82"/>
        <v>316</v>
      </c>
      <c r="L1010" s="861"/>
      <c r="M1010" s="671">
        <f t="shared" si="83"/>
        <v>1008</v>
      </c>
      <c r="N1010" s="671" t="str">
        <f t="shared" si="84"/>
        <v>N/A</v>
      </c>
      <c r="O1010" s="671">
        <f t="shared" si="85"/>
        <v>311</v>
      </c>
      <c r="P1010" s="861" t="s">
        <v>570</v>
      </c>
      <c r="Q1010" s="861"/>
      <c r="R1010" s="863" t="s">
        <v>5178</v>
      </c>
      <c r="S1010" s="861" t="s">
        <v>507</v>
      </c>
      <c r="T1010" s="866" t="s">
        <v>5427</v>
      </c>
      <c r="U1010" s="865"/>
    </row>
    <row r="1011" spans="1:21" ht="15">
      <c r="A1011" s="857"/>
      <c r="B1011" s="861" t="s">
        <v>5428</v>
      </c>
      <c r="C1011" s="861" t="s">
        <v>5429</v>
      </c>
      <c r="D1011" s="861" t="s">
        <v>371</v>
      </c>
      <c r="E1011" s="861"/>
      <c r="F1011" s="862"/>
      <c r="G1011" s="869">
        <v>3.6075586E-2</v>
      </c>
      <c r="H1011" s="874">
        <v>21180682.399999999</v>
      </c>
      <c r="I1011" s="871"/>
      <c r="J1011" s="862">
        <v>0.17199999999999999</v>
      </c>
      <c r="K1011" s="868">
        <f t="shared" si="82"/>
        <v>316</v>
      </c>
      <c r="L1011" s="861" t="s">
        <v>550</v>
      </c>
      <c r="M1011" s="671">
        <f t="shared" si="83"/>
        <v>1009</v>
      </c>
      <c r="N1011" s="671" t="str">
        <f t="shared" si="84"/>
        <v>N/A</v>
      </c>
      <c r="O1011" s="671">
        <f t="shared" si="85"/>
        <v>302</v>
      </c>
      <c r="P1011" s="861" t="s">
        <v>5430</v>
      </c>
      <c r="Q1011" s="861" t="s">
        <v>5431</v>
      </c>
      <c r="R1011" s="861" t="s">
        <v>1640</v>
      </c>
      <c r="S1011" s="861" t="s">
        <v>5432</v>
      </c>
      <c r="T1011" s="866" t="s">
        <v>5433</v>
      </c>
      <c r="U1011" s="865"/>
    </row>
    <row r="1012" spans="1:21" ht="15">
      <c r="A1012" s="672"/>
      <c r="B1012" s="861" t="s">
        <v>5434</v>
      </c>
      <c r="C1012" s="861" t="s">
        <v>5435</v>
      </c>
      <c r="D1012" s="861" t="s">
        <v>371</v>
      </c>
      <c r="E1012" s="861"/>
      <c r="F1012" s="862">
        <v>0.29599999999999999</v>
      </c>
      <c r="G1012" s="869" t="e">
        <v>#DIV/0!</v>
      </c>
      <c r="H1012" s="874">
        <v>21043076.870000001</v>
      </c>
      <c r="I1012" s="871"/>
      <c r="J1012" s="862">
        <v>0.21099999999999999</v>
      </c>
      <c r="K1012" s="868">
        <f t="shared" si="82"/>
        <v>52</v>
      </c>
      <c r="L1012" s="861"/>
      <c r="M1012" s="671">
        <f t="shared" si="83"/>
        <v>1010</v>
      </c>
      <c r="N1012" s="671" t="str">
        <f t="shared" si="84"/>
        <v>N/A</v>
      </c>
      <c r="O1012" s="671">
        <f t="shared" si="85"/>
        <v>237</v>
      </c>
      <c r="P1012" s="861" t="s">
        <v>2269</v>
      </c>
      <c r="Q1012" s="861"/>
      <c r="R1012" s="861"/>
      <c r="S1012" s="861" t="s">
        <v>487</v>
      </c>
      <c r="T1012" s="866" t="s">
        <v>5436</v>
      </c>
      <c r="U1012" s="865"/>
    </row>
    <row r="1013" spans="1:21" ht="15">
      <c r="A1013" s="857"/>
      <c r="B1013" s="861" t="s">
        <v>5437</v>
      </c>
      <c r="C1013" s="861" t="s">
        <v>5438</v>
      </c>
      <c r="D1013" s="861" t="s">
        <v>371</v>
      </c>
      <c r="E1013" s="861"/>
      <c r="F1013" s="862"/>
      <c r="G1013" s="869">
        <v>1.34741979</v>
      </c>
      <c r="H1013" s="874">
        <v>20985794.23</v>
      </c>
      <c r="I1013" s="871"/>
      <c r="J1013" s="862">
        <v>0.105</v>
      </c>
      <c r="K1013" s="868">
        <f t="shared" si="82"/>
        <v>316</v>
      </c>
      <c r="L1013" s="861"/>
      <c r="M1013" s="671">
        <f t="shared" si="83"/>
        <v>1011</v>
      </c>
      <c r="N1013" s="671" t="str">
        <f t="shared" si="84"/>
        <v>N/A</v>
      </c>
      <c r="O1013" s="671">
        <f t="shared" si="85"/>
        <v>472</v>
      </c>
      <c r="P1013" s="861" t="s">
        <v>5439</v>
      </c>
      <c r="Q1013" s="861"/>
      <c r="R1013" s="863" t="s">
        <v>2330</v>
      </c>
      <c r="S1013" s="861" t="s">
        <v>904</v>
      </c>
      <c r="T1013" s="866" t="s">
        <v>5440</v>
      </c>
      <c r="U1013" s="865"/>
    </row>
    <row r="1014" spans="1:21" ht="15">
      <c r="A1014" s="672"/>
      <c r="B1014" s="861" t="s">
        <v>5441</v>
      </c>
      <c r="C1014" s="861" t="s">
        <v>5442</v>
      </c>
      <c r="D1014" s="861" t="s">
        <v>371</v>
      </c>
      <c r="E1014" s="861"/>
      <c r="F1014" s="862"/>
      <c r="G1014" s="869">
        <v>0.712772509</v>
      </c>
      <c r="H1014" s="874">
        <v>20666348.5</v>
      </c>
      <c r="I1014" s="871"/>
      <c r="J1014" s="863" t="s">
        <v>5443</v>
      </c>
      <c r="K1014" s="868">
        <f t="shared" si="82"/>
        <v>316</v>
      </c>
      <c r="L1014" s="861"/>
      <c r="M1014" s="671">
        <f t="shared" si="83"/>
        <v>1012</v>
      </c>
      <c r="N1014" s="671" t="str">
        <f t="shared" si="84"/>
        <v>N/A</v>
      </c>
      <c r="O1014" s="671" t="str">
        <f t="shared" si="85"/>
        <v>N/A</v>
      </c>
      <c r="P1014" s="861" t="s">
        <v>690</v>
      </c>
      <c r="Q1014" s="861"/>
      <c r="R1014" s="861"/>
      <c r="S1014" s="861" t="s">
        <v>404</v>
      </c>
      <c r="T1014" s="866" t="s">
        <v>5444</v>
      </c>
      <c r="U1014" s="865"/>
    </row>
    <row r="1015" spans="1:21" ht="15">
      <c r="A1015" s="857"/>
      <c r="B1015" s="861" t="s">
        <v>5445</v>
      </c>
      <c r="C1015" s="861" t="s">
        <v>5446</v>
      </c>
      <c r="D1015" s="861" t="s">
        <v>371</v>
      </c>
      <c r="E1015" s="861"/>
      <c r="F1015" s="862"/>
      <c r="G1015" s="870" t="s">
        <v>5447</v>
      </c>
      <c r="H1015" s="874">
        <v>20580609.399999999</v>
      </c>
      <c r="I1015" s="871"/>
      <c r="J1015" s="863" t="s">
        <v>5448</v>
      </c>
      <c r="K1015" s="868">
        <f t="shared" si="82"/>
        <v>316</v>
      </c>
      <c r="L1015" s="861"/>
      <c r="M1015" s="671">
        <f t="shared" si="83"/>
        <v>1013</v>
      </c>
      <c r="N1015" s="671" t="str">
        <f t="shared" si="84"/>
        <v>N/A</v>
      </c>
      <c r="O1015" s="671" t="str">
        <f t="shared" si="85"/>
        <v>N/A</v>
      </c>
      <c r="P1015" s="861"/>
      <c r="Q1015" s="861"/>
      <c r="R1015" s="861"/>
      <c r="S1015" s="861" t="s">
        <v>424</v>
      </c>
      <c r="T1015" s="866" t="s">
        <v>5449</v>
      </c>
      <c r="U1015" s="865"/>
    </row>
    <row r="1016" spans="1:21" ht="15">
      <c r="A1016" s="672"/>
      <c r="B1016" s="861" t="s">
        <v>5450</v>
      </c>
      <c r="C1016" s="861" t="s">
        <v>5451</v>
      </c>
      <c r="D1016" s="861" t="s">
        <v>371</v>
      </c>
      <c r="E1016" s="861"/>
      <c r="F1016" s="862"/>
      <c r="G1016" s="870" t="s">
        <v>5452</v>
      </c>
      <c r="H1016" s="874">
        <v>20539392.309999999</v>
      </c>
      <c r="I1016" s="871"/>
      <c r="J1016" s="863" t="s">
        <v>5453</v>
      </c>
      <c r="K1016" s="868">
        <f t="shared" si="82"/>
        <v>316</v>
      </c>
      <c r="L1016" s="861"/>
      <c r="M1016" s="671">
        <f t="shared" si="83"/>
        <v>1014</v>
      </c>
      <c r="N1016" s="671" t="str">
        <f t="shared" si="84"/>
        <v>N/A</v>
      </c>
      <c r="O1016" s="671" t="str">
        <f t="shared" si="85"/>
        <v>N/A</v>
      </c>
      <c r="P1016" s="861" t="s">
        <v>1550</v>
      </c>
      <c r="Q1016" s="861"/>
      <c r="R1016" s="861"/>
      <c r="S1016" s="861" t="s">
        <v>507</v>
      </c>
      <c r="T1016" s="866" t="s">
        <v>5454</v>
      </c>
      <c r="U1016" s="865"/>
    </row>
    <row r="1017" spans="1:21" ht="15">
      <c r="A1017" s="857"/>
      <c r="B1017" s="861" t="s">
        <v>5455</v>
      </c>
      <c r="C1017" s="861" t="s">
        <v>5456</v>
      </c>
      <c r="D1017" s="861" t="s">
        <v>371</v>
      </c>
      <c r="E1017" s="861"/>
      <c r="F1017" s="862"/>
      <c r="G1017" s="869">
        <v>0.235708692</v>
      </c>
      <c r="H1017" s="874">
        <v>20491058.949999999</v>
      </c>
      <c r="I1017" s="871"/>
      <c r="J1017" s="863" t="s">
        <v>5457</v>
      </c>
      <c r="K1017" s="868">
        <f t="shared" si="82"/>
        <v>316</v>
      </c>
      <c r="L1017" s="861" t="s">
        <v>424</v>
      </c>
      <c r="M1017" s="671">
        <f t="shared" si="83"/>
        <v>1015</v>
      </c>
      <c r="N1017" s="671" t="str">
        <f t="shared" si="84"/>
        <v>N/A</v>
      </c>
      <c r="O1017" s="671" t="str">
        <f t="shared" si="85"/>
        <v>N/A</v>
      </c>
      <c r="P1017" s="861" t="s">
        <v>4019</v>
      </c>
      <c r="Q1017" s="861" t="s">
        <v>5458</v>
      </c>
      <c r="R1017" s="861" t="s">
        <v>404</v>
      </c>
      <c r="S1017" s="861" t="s">
        <v>1665</v>
      </c>
      <c r="T1017" s="866" t="s">
        <v>5459</v>
      </c>
      <c r="U1017" s="865"/>
    </row>
    <row r="1018" spans="1:21" ht="15">
      <c r="A1018" s="672"/>
      <c r="B1018" s="861" t="s">
        <v>5460</v>
      </c>
      <c r="C1018" s="861" t="s">
        <v>5461</v>
      </c>
      <c r="D1018" s="861" t="s">
        <v>371</v>
      </c>
      <c r="E1018" s="861"/>
      <c r="F1018" s="862"/>
      <c r="G1018" s="870" t="s">
        <v>5462</v>
      </c>
      <c r="H1018" s="874">
        <v>20455942.960000001</v>
      </c>
      <c r="I1018" s="871"/>
      <c r="J1018" s="862">
        <v>0.13200000000000001</v>
      </c>
      <c r="K1018" s="868">
        <f t="shared" si="82"/>
        <v>316</v>
      </c>
      <c r="L1018" s="861"/>
      <c r="M1018" s="671">
        <f t="shared" si="83"/>
        <v>1016</v>
      </c>
      <c r="N1018" s="671" t="str">
        <f t="shared" si="84"/>
        <v>N/A</v>
      </c>
      <c r="O1018" s="671">
        <f t="shared" si="85"/>
        <v>391</v>
      </c>
      <c r="P1018" s="861"/>
      <c r="Q1018" s="861"/>
      <c r="R1018" s="861"/>
      <c r="S1018" s="861" t="s">
        <v>1848</v>
      </c>
      <c r="T1018" s="866" t="s">
        <v>5463</v>
      </c>
      <c r="U1018" s="865"/>
    </row>
    <row r="1019" spans="1:21" ht="15">
      <c r="A1019" s="857"/>
      <c r="B1019" s="861" t="s">
        <v>5464</v>
      </c>
      <c r="C1019" s="861" t="s">
        <v>5465</v>
      </c>
      <c r="D1019" s="861" t="s">
        <v>371</v>
      </c>
      <c r="E1019" s="861"/>
      <c r="F1019" s="862"/>
      <c r="G1019" s="869">
        <v>9.6737213400000002</v>
      </c>
      <c r="H1019" s="874">
        <v>20326412.43</v>
      </c>
      <c r="I1019" s="871"/>
      <c r="J1019" s="863" t="s">
        <v>5466</v>
      </c>
      <c r="K1019" s="868">
        <f t="shared" si="82"/>
        <v>316</v>
      </c>
      <c r="L1019" s="861" t="s">
        <v>2069</v>
      </c>
      <c r="M1019" s="671">
        <f t="shared" si="83"/>
        <v>1017</v>
      </c>
      <c r="N1019" s="671" t="str">
        <f t="shared" si="84"/>
        <v>N/A</v>
      </c>
      <c r="O1019" s="671" t="str">
        <f t="shared" si="85"/>
        <v>N/A</v>
      </c>
      <c r="P1019" s="861" t="s">
        <v>3060</v>
      </c>
      <c r="Q1019" s="861" t="s">
        <v>5467</v>
      </c>
      <c r="R1019" s="861"/>
      <c r="S1019" s="861" t="s">
        <v>3693</v>
      </c>
      <c r="T1019" s="866" t="s">
        <v>5468</v>
      </c>
      <c r="U1019" s="865"/>
    </row>
    <row r="1020" spans="1:21" ht="15">
      <c r="A1020" s="672"/>
      <c r="B1020" s="861" t="s">
        <v>5469</v>
      </c>
      <c r="C1020" s="861" t="s">
        <v>5470</v>
      </c>
      <c r="D1020" s="861" t="s">
        <v>371</v>
      </c>
      <c r="E1020" s="861"/>
      <c r="F1020" s="862">
        <v>-0.29499999999999998</v>
      </c>
      <c r="G1020" s="869">
        <v>0</v>
      </c>
      <c r="H1020" s="874">
        <v>20277673.859999999</v>
      </c>
      <c r="I1020" s="871"/>
      <c r="J1020" s="862">
        <v>0.27500000000000002</v>
      </c>
      <c r="K1020" s="868">
        <f t="shared" si="82"/>
        <v>444</v>
      </c>
      <c r="L1020" s="863" t="s">
        <v>4456</v>
      </c>
      <c r="M1020" s="671">
        <f t="shared" si="83"/>
        <v>1018</v>
      </c>
      <c r="N1020" s="671" t="str">
        <f t="shared" si="84"/>
        <v>N/A</v>
      </c>
      <c r="O1020" s="671">
        <f t="shared" si="85"/>
        <v>152</v>
      </c>
      <c r="P1020" s="861" t="s">
        <v>690</v>
      </c>
      <c r="Q1020" s="861" t="s">
        <v>5471</v>
      </c>
      <c r="R1020" s="861"/>
      <c r="S1020" s="861" t="s">
        <v>2376</v>
      </c>
      <c r="T1020" s="866" t="s">
        <v>5472</v>
      </c>
      <c r="U1020" s="865"/>
    </row>
    <row r="1021" spans="1:21" ht="15">
      <c r="A1021" s="857"/>
      <c r="B1021" s="861" t="s">
        <v>5473</v>
      </c>
      <c r="C1021" s="861" t="s">
        <v>5474</v>
      </c>
      <c r="D1021" s="861" t="s">
        <v>371</v>
      </c>
      <c r="E1021" s="861"/>
      <c r="F1021" s="862"/>
      <c r="G1021" s="869">
        <v>0.65072504399999997</v>
      </c>
      <c r="H1021" s="874">
        <v>20191742.649999999</v>
      </c>
      <c r="I1021" s="871"/>
      <c r="J1021" s="863" t="s">
        <v>5475</v>
      </c>
      <c r="K1021" s="868">
        <f t="shared" si="82"/>
        <v>316</v>
      </c>
      <c r="L1021" s="861"/>
      <c r="M1021" s="671">
        <f t="shared" si="83"/>
        <v>1019</v>
      </c>
      <c r="N1021" s="671" t="str">
        <f t="shared" si="84"/>
        <v>N/A</v>
      </c>
      <c r="O1021" s="671" t="str">
        <f t="shared" si="85"/>
        <v>N/A</v>
      </c>
      <c r="P1021" s="861" t="s">
        <v>996</v>
      </c>
      <c r="Q1021" s="861" t="s">
        <v>5476</v>
      </c>
      <c r="R1021" s="861" t="s">
        <v>424</v>
      </c>
      <c r="S1021" s="861" t="s">
        <v>2376</v>
      </c>
      <c r="T1021" s="866" t="s">
        <v>5477</v>
      </c>
      <c r="U1021" s="865"/>
    </row>
    <row r="1022" spans="1:21" ht="15">
      <c r="A1022" s="672"/>
      <c r="B1022" s="861" t="s">
        <v>5478</v>
      </c>
      <c r="C1022" s="861" t="s">
        <v>5479</v>
      </c>
      <c r="D1022" s="861" t="s">
        <v>371</v>
      </c>
      <c r="E1022" s="861"/>
      <c r="F1022" s="862"/>
      <c r="G1022" s="870" t="s">
        <v>5480</v>
      </c>
      <c r="H1022" s="874">
        <v>20117169.420000002</v>
      </c>
      <c r="I1022" s="871"/>
      <c r="J1022" s="863" t="s">
        <v>1132</v>
      </c>
      <c r="K1022" s="868">
        <f t="shared" si="82"/>
        <v>316</v>
      </c>
      <c r="L1022" s="861"/>
      <c r="M1022" s="671">
        <f t="shared" si="83"/>
        <v>1020</v>
      </c>
      <c r="N1022" s="671" t="str">
        <f t="shared" si="84"/>
        <v>N/A</v>
      </c>
      <c r="O1022" s="671" t="str">
        <f t="shared" si="85"/>
        <v>N/A</v>
      </c>
      <c r="P1022" s="861" t="s">
        <v>809</v>
      </c>
      <c r="Q1022" s="861" t="s">
        <v>5481</v>
      </c>
      <c r="R1022" s="861"/>
      <c r="S1022" s="861" t="s">
        <v>5482</v>
      </c>
      <c r="T1022" s="866" t="s">
        <v>5483</v>
      </c>
      <c r="U1022" s="865"/>
    </row>
    <row r="1023" spans="1:21" ht="15">
      <c r="A1023" s="857"/>
      <c r="B1023" s="861" t="s">
        <v>5484</v>
      </c>
      <c r="C1023" s="861" t="s">
        <v>5485</v>
      </c>
      <c r="D1023" s="861" t="s">
        <v>371</v>
      </c>
      <c r="E1023" s="861"/>
      <c r="F1023" s="862">
        <v>0.16500000000000001</v>
      </c>
      <c r="G1023" s="869">
        <v>0</v>
      </c>
      <c r="H1023" s="874">
        <v>19986402.050000001</v>
      </c>
      <c r="I1023" s="871"/>
      <c r="J1023" s="862">
        <v>0.27</v>
      </c>
      <c r="K1023" s="868">
        <f t="shared" si="82"/>
        <v>124</v>
      </c>
      <c r="L1023" s="861" t="s">
        <v>1020</v>
      </c>
      <c r="M1023" s="671">
        <f t="shared" si="83"/>
        <v>1021</v>
      </c>
      <c r="N1023" s="671" t="str">
        <f t="shared" si="84"/>
        <v>N/A</v>
      </c>
      <c r="O1023" s="671">
        <f t="shared" si="85"/>
        <v>156</v>
      </c>
      <c r="P1023" s="861" t="s">
        <v>486</v>
      </c>
      <c r="Q1023" s="861" t="s">
        <v>5486</v>
      </c>
      <c r="R1023" s="861" t="s">
        <v>1497</v>
      </c>
      <c r="S1023" s="861" t="s">
        <v>5487</v>
      </c>
      <c r="T1023" s="866" t="s">
        <v>5488</v>
      </c>
      <c r="U1023" s="865"/>
    </row>
    <row r="1024" spans="1:21" ht="15">
      <c r="A1024" s="672"/>
      <c r="B1024" s="861" t="s">
        <v>5489</v>
      </c>
      <c r="C1024" s="861" t="s">
        <v>5490</v>
      </c>
      <c r="D1024" s="861" t="s">
        <v>371</v>
      </c>
      <c r="E1024" s="861"/>
      <c r="F1024" s="862"/>
      <c r="G1024" s="869">
        <v>0</v>
      </c>
      <c r="H1024" s="874">
        <v>19938880.719999999</v>
      </c>
      <c r="I1024" s="871"/>
      <c r="J1024" s="862">
        <v>7.4999999999999997E-2</v>
      </c>
      <c r="K1024" s="868">
        <f t="shared" si="82"/>
        <v>316</v>
      </c>
      <c r="L1024" s="861"/>
      <c r="M1024" s="671">
        <f t="shared" si="83"/>
        <v>1022</v>
      </c>
      <c r="N1024" s="671" t="str">
        <f t="shared" si="84"/>
        <v>N/A</v>
      </c>
      <c r="O1024" s="671">
        <f t="shared" si="85"/>
        <v>550</v>
      </c>
      <c r="P1024" s="861" t="s">
        <v>5491</v>
      </c>
      <c r="Q1024" s="861"/>
      <c r="R1024" s="861"/>
      <c r="S1024" s="861" t="s">
        <v>404</v>
      </c>
      <c r="T1024" s="866" t="s">
        <v>5492</v>
      </c>
      <c r="U1024" s="865"/>
    </row>
    <row r="1025" spans="1:21" ht="15">
      <c r="A1025" s="857"/>
      <c r="B1025" s="861" t="s">
        <v>5493</v>
      </c>
      <c r="C1025" s="861" t="s">
        <v>5494</v>
      </c>
      <c r="D1025" s="861" t="s">
        <v>371</v>
      </c>
      <c r="E1025" s="861"/>
      <c r="F1025" s="862">
        <v>1.2E-2</v>
      </c>
      <c r="G1025" s="869">
        <v>2.7564335359999999</v>
      </c>
      <c r="H1025" s="874">
        <v>19825960.960000001</v>
      </c>
      <c r="I1025" s="871"/>
      <c r="J1025" s="863" t="s">
        <v>5495</v>
      </c>
      <c r="K1025" s="868">
        <f t="shared" si="82"/>
        <v>308</v>
      </c>
      <c r="L1025" s="861"/>
      <c r="M1025" s="671">
        <f t="shared" si="83"/>
        <v>1023</v>
      </c>
      <c r="N1025" s="671" t="str">
        <f t="shared" si="84"/>
        <v>N/A</v>
      </c>
      <c r="O1025" s="671" t="str">
        <f t="shared" si="85"/>
        <v>N/A</v>
      </c>
      <c r="P1025" s="861"/>
      <c r="Q1025" s="861"/>
      <c r="R1025" s="861"/>
      <c r="S1025" s="861"/>
      <c r="T1025" s="866"/>
      <c r="U1025" s="865"/>
    </row>
    <row r="1026" spans="1:21" ht="15">
      <c r="A1026" s="672"/>
      <c r="B1026" s="861" t="s">
        <v>5496</v>
      </c>
      <c r="C1026" s="861" t="s">
        <v>5497</v>
      </c>
      <c r="D1026" s="861" t="s">
        <v>371</v>
      </c>
      <c r="E1026" s="861"/>
      <c r="F1026" s="862"/>
      <c r="G1026" s="870" t="s">
        <v>5498</v>
      </c>
      <c r="H1026" s="874">
        <v>19800957.989999998</v>
      </c>
      <c r="I1026" s="871"/>
      <c r="J1026" s="863" t="s">
        <v>5499</v>
      </c>
      <c r="K1026" s="868">
        <f t="shared" si="82"/>
        <v>316</v>
      </c>
      <c r="L1026" s="863" t="s">
        <v>5500</v>
      </c>
      <c r="M1026" s="671">
        <f t="shared" si="83"/>
        <v>1024</v>
      </c>
      <c r="N1026" s="671" t="str">
        <f t="shared" si="84"/>
        <v>N/A</v>
      </c>
      <c r="O1026" s="671" t="str">
        <f t="shared" si="85"/>
        <v>N/A</v>
      </c>
      <c r="P1026" s="861" t="s">
        <v>1258</v>
      </c>
      <c r="Q1026" s="861"/>
      <c r="R1026" s="863" t="s">
        <v>5501</v>
      </c>
      <c r="S1026" s="861" t="s">
        <v>5502</v>
      </c>
      <c r="T1026" s="866" t="s">
        <v>5503</v>
      </c>
      <c r="U1026" s="865"/>
    </row>
    <row r="1027" spans="1:21" ht="15">
      <c r="A1027" s="857"/>
      <c r="B1027" s="861" t="s">
        <v>5504</v>
      </c>
      <c r="C1027" s="861" t="s">
        <v>5505</v>
      </c>
      <c r="D1027" s="861" t="s">
        <v>371</v>
      </c>
      <c r="E1027" s="861"/>
      <c r="F1027" s="862"/>
      <c r="G1027" s="869">
        <v>0</v>
      </c>
      <c r="H1027" s="874">
        <v>19780947.629999999</v>
      </c>
      <c r="I1027" s="871"/>
      <c r="J1027" s="863" t="s">
        <v>477</v>
      </c>
      <c r="K1027" s="868">
        <f t="shared" si="82"/>
        <v>316</v>
      </c>
      <c r="L1027" s="863" t="s">
        <v>4164</v>
      </c>
      <c r="M1027" s="671">
        <f t="shared" si="83"/>
        <v>1025</v>
      </c>
      <c r="N1027" s="671" t="str">
        <f t="shared" si="84"/>
        <v>N/A</v>
      </c>
      <c r="O1027" s="671" t="str">
        <f t="shared" si="85"/>
        <v>N/A</v>
      </c>
      <c r="P1027" s="861" t="s">
        <v>1790</v>
      </c>
      <c r="Q1027" s="861"/>
      <c r="R1027" s="863" t="s">
        <v>5506</v>
      </c>
      <c r="S1027" s="861" t="s">
        <v>1673</v>
      </c>
      <c r="T1027" s="866" t="s">
        <v>5507</v>
      </c>
      <c r="U1027" s="865"/>
    </row>
    <row r="1028" spans="1:21" ht="15">
      <c r="A1028" s="672"/>
      <c r="B1028" s="861" t="s">
        <v>5508</v>
      </c>
      <c r="C1028" s="861" t="s">
        <v>5509</v>
      </c>
      <c r="D1028" s="861" t="s">
        <v>371</v>
      </c>
      <c r="E1028" s="861"/>
      <c r="F1028" s="862"/>
      <c r="G1028" s="870" t="s">
        <v>5510</v>
      </c>
      <c r="H1028" s="874">
        <v>19776333.100000001</v>
      </c>
      <c r="I1028" s="871"/>
      <c r="J1028" s="862">
        <v>0.15</v>
      </c>
      <c r="K1028" s="868">
        <f t="shared" ref="K1028:K1091" si="86">IFERROR(_xlfn.RANK.EQ(F1028,F$3:F$1770),"N/A")</f>
        <v>316</v>
      </c>
      <c r="L1028" s="861"/>
      <c r="M1028" s="671">
        <f t="shared" ref="M1028:M1091" si="87">IFERROR(_xlfn.RANK.EQ(H1028,H$3:H$1770),"N/A")</f>
        <v>1026</v>
      </c>
      <c r="N1028" s="671" t="str">
        <f t="shared" ref="N1028:N1091" si="88">IFERROR(_xlfn.RANK.EQ(I1028,I$3:I$1770),"N/A")</f>
        <v>N/A</v>
      </c>
      <c r="O1028" s="671">
        <f t="shared" ref="O1028:O1091" si="89">IFERROR(_xlfn.RANK.EQ(J1028,J$3:J$1770),"N/A")</f>
        <v>340</v>
      </c>
      <c r="P1028" s="861"/>
      <c r="Q1028" s="861"/>
      <c r="R1028" s="861"/>
      <c r="S1028" s="861"/>
      <c r="T1028" s="866"/>
      <c r="U1028" s="865"/>
    </row>
    <row r="1029" spans="1:21" ht="15">
      <c r="A1029" s="857"/>
      <c r="B1029" s="861" t="s">
        <v>5511</v>
      </c>
      <c r="C1029" s="861" t="s">
        <v>5512</v>
      </c>
      <c r="D1029" s="861" t="s">
        <v>371</v>
      </c>
      <c r="E1029" s="861"/>
      <c r="F1029" s="862"/>
      <c r="G1029" s="870" t="s">
        <v>5513</v>
      </c>
      <c r="H1029" s="874">
        <v>19738487.780000001</v>
      </c>
      <c r="I1029" s="871"/>
      <c r="J1029" s="862">
        <v>0.106</v>
      </c>
      <c r="K1029" s="868">
        <f t="shared" si="86"/>
        <v>316</v>
      </c>
      <c r="L1029" s="861"/>
      <c r="M1029" s="671">
        <f t="shared" si="87"/>
        <v>1027</v>
      </c>
      <c r="N1029" s="671" t="str">
        <f t="shared" si="88"/>
        <v>N/A</v>
      </c>
      <c r="O1029" s="671">
        <f t="shared" si="89"/>
        <v>468</v>
      </c>
      <c r="P1029" s="861" t="s">
        <v>1252</v>
      </c>
      <c r="Q1029" s="861" t="s">
        <v>1860</v>
      </c>
      <c r="R1029" s="861"/>
      <c r="S1029" s="861" t="s">
        <v>2290</v>
      </c>
      <c r="T1029" s="866" t="s">
        <v>5514</v>
      </c>
      <c r="U1029" s="865"/>
    </row>
    <row r="1030" spans="1:21" ht="15">
      <c r="A1030" s="672"/>
      <c r="B1030" s="861" t="s">
        <v>5515</v>
      </c>
      <c r="C1030" s="861" t="s">
        <v>5516</v>
      </c>
      <c r="D1030" s="861" t="s">
        <v>371</v>
      </c>
      <c r="E1030" s="861"/>
      <c r="F1030" s="862"/>
      <c r="G1030" s="869">
        <v>0.273674794</v>
      </c>
      <c r="H1030" s="874">
        <v>19622153.149999999</v>
      </c>
      <c r="I1030" s="871"/>
      <c r="J1030" s="862">
        <v>3.4000000000000002E-2</v>
      </c>
      <c r="K1030" s="868">
        <f t="shared" si="86"/>
        <v>316</v>
      </c>
      <c r="L1030" s="861" t="s">
        <v>404</v>
      </c>
      <c r="M1030" s="671">
        <f t="shared" si="87"/>
        <v>1028</v>
      </c>
      <c r="N1030" s="671" t="str">
        <f t="shared" si="88"/>
        <v>N/A</v>
      </c>
      <c r="O1030" s="671">
        <f t="shared" si="89"/>
        <v>645</v>
      </c>
      <c r="P1030" s="861" t="s">
        <v>4330</v>
      </c>
      <c r="Q1030" s="861" t="s">
        <v>5517</v>
      </c>
      <c r="R1030" s="861" t="s">
        <v>404</v>
      </c>
      <c r="S1030" s="861" t="s">
        <v>1230</v>
      </c>
      <c r="T1030" s="866" t="s">
        <v>5518</v>
      </c>
      <c r="U1030" s="865"/>
    </row>
    <row r="1031" spans="1:21" ht="15">
      <c r="A1031" s="857"/>
      <c r="B1031" s="861" t="s">
        <v>5519</v>
      </c>
      <c r="C1031" s="861" t="s">
        <v>5520</v>
      </c>
      <c r="D1031" s="861" t="s">
        <v>371</v>
      </c>
      <c r="E1031" s="861"/>
      <c r="F1031" s="862"/>
      <c r="G1031" s="869">
        <v>18.453127510000002</v>
      </c>
      <c r="H1031" s="874">
        <v>19594211.870000001</v>
      </c>
      <c r="I1031" s="871">
        <v>10.39</v>
      </c>
      <c r="J1031" s="863" t="s">
        <v>5521</v>
      </c>
      <c r="K1031" s="868">
        <f t="shared" si="86"/>
        <v>316</v>
      </c>
      <c r="L1031" s="861"/>
      <c r="M1031" s="671">
        <f t="shared" si="87"/>
        <v>1029</v>
      </c>
      <c r="N1031" s="671">
        <f t="shared" si="88"/>
        <v>225</v>
      </c>
      <c r="O1031" s="671" t="str">
        <f t="shared" si="89"/>
        <v>N/A</v>
      </c>
      <c r="P1031" s="861"/>
      <c r="Q1031" s="861"/>
      <c r="R1031" s="861"/>
      <c r="S1031" s="861" t="s">
        <v>5522</v>
      </c>
      <c r="T1031" s="866" t="s">
        <v>5523</v>
      </c>
      <c r="U1031" s="865"/>
    </row>
    <row r="1032" spans="1:21" ht="15">
      <c r="A1032" s="672"/>
      <c r="B1032" s="861" t="s">
        <v>5524</v>
      </c>
      <c r="C1032" s="861" t="s">
        <v>5525</v>
      </c>
      <c r="D1032" s="861" t="s">
        <v>371</v>
      </c>
      <c r="E1032" s="861"/>
      <c r="F1032" s="862"/>
      <c r="G1032" s="869">
        <v>0</v>
      </c>
      <c r="H1032" s="874">
        <v>19502427.530000001</v>
      </c>
      <c r="I1032" s="871">
        <v>128.5</v>
      </c>
      <c r="J1032" s="862">
        <v>8.9999999999999993E-3</v>
      </c>
      <c r="K1032" s="868">
        <f t="shared" si="86"/>
        <v>316</v>
      </c>
      <c r="L1032" s="861"/>
      <c r="M1032" s="671">
        <f t="shared" si="87"/>
        <v>1030</v>
      </c>
      <c r="N1032" s="671">
        <f t="shared" si="88"/>
        <v>19</v>
      </c>
      <c r="O1032" s="671">
        <f t="shared" si="89"/>
        <v>684</v>
      </c>
      <c r="P1032" s="861"/>
      <c r="Q1032" s="861"/>
      <c r="R1032" s="861"/>
      <c r="S1032" s="861" t="s">
        <v>526</v>
      </c>
      <c r="T1032" s="866" t="s">
        <v>5526</v>
      </c>
      <c r="U1032" s="865"/>
    </row>
    <row r="1033" spans="1:21" ht="15">
      <c r="A1033" s="857"/>
      <c r="B1033" s="861" t="s">
        <v>5527</v>
      </c>
      <c r="C1033" s="861" t="s">
        <v>5528</v>
      </c>
      <c r="D1033" s="861" t="s">
        <v>371</v>
      </c>
      <c r="E1033" s="861"/>
      <c r="F1033" s="862"/>
      <c r="G1033" s="869">
        <v>1.4320785599999999</v>
      </c>
      <c r="H1033" s="874">
        <v>19435799.379999999</v>
      </c>
      <c r="I1033" s="871"/>
      <c r="J1033" s="862">
        <v>0.13100000000000001</v>
      </c>
      <c r="K1033" s="868">
        <f t="shared" si="86"/>
        <v>316</v>
      </c>
      <c r="L1033" s="861" t="s">
        <v>718</v>
      </c>
      <c r="M1033" s="671">
        <f t="shared" si="87"/>
        <v>1031</v>
      </c>
      <c r="N1033" s="671" t="str">
        <f t="shared" si="88"/>
        <v>N/A</v>
      </c>
      <c r="O1033" s="671">
        <f t="shared" si="89"/>
        <v>395</v>
      </c>
      <c r="P1033" s="861" t="s">
        <v>5261</v>
      </c>
      <c r="Q1033" s="861" t="s">
        <v>5529</v>
      </c>
      <c r="R1033" s="861" t="s">
        <v>1475</v>
      </c>
      <c r="S1033" s="861" t="s">
        <v>5530</v>
      </c>
      <c r="T1033" s="866" t="s">
        <v>5531</v>
      </c>
      <c r="U1033" s="865"/>
    </row>
    <row r="1034" spans="1:21" ht="15">
      <c r="A1034" s="672"/>
      <c r="B1034" s="861" t="s">
        <v>5532</v>
      </c>
      <c r="C1034" s="861" t="s">
        <v>5533</v>
      </c>
      <c r="D1034" s="861" t="s">
        <v>371</v>
      </c>
      <c r="E1034" s="861"/>
      <c r="F1034" s="862"/>
      <c r="G1034" s="870" t="s">
        <v>5534</v>
      </c>
      <c r="H1034" s="874">
        <v>19344823.780000001</v>
      </c>
      <c r="I1034" s="871"/>
      <c r="J1034" s="863"/>
      <c r="K1034" s="868">
        <f t="shared" si="86"/>
        <v>316</v>
      </c>
      <c r="L1034" s="861"/>
      <c r="M1034" s="671">
        <f t="shared" si="87"/>
        <v>1032</v>
      </c>
      <c r="N1034" s="671" t="str">
        <f t="shared" si="88"/>
        <v>N/A</v>
      </c>
      <c r="O1034" s="671">
        <f t="shared" si="89"/>
        <v>708</v>
      </c>
      <c r="P1034" s="861" t="s">
        <v>819</v>
      </c>
      <c r="Q1034" s="861"/>
      <c r="R1034" s="863" t="s">
        <v>4108</v>
      </c>
      <c r="S1034" s="861" t="s">
        <v>734</v>
      </c>
      <c r="T1034" s="866" t="s">
        <v>5535</v>
      </c>
      <c r="U1034" s="865"/>
    </row>
    <row r="1035" spans="1:21" ht="15">
      <c r="A1035" s="857"/>
      <c r="B1035" s="861" t="s">
        <v>5536</v>
      </c>
      <c r="C1035" s="861" t="s">
        <v>5537</v>
      </c>
      <c r="D1035" s="861" t="s">
        <v>371</v>
      </c>
      <c r="E1035" s="861"/>
      <c r="F1035" s="862"/>
      <c r="G1035" s="870" t="s">
        <v>5538</v>
      </c>
      <c r="H1035" s="874">
        <v>19192755.16</v>
      </c>
      <c r="I1035" s="871">
        <v>20.88</v>
      </c>
      <c r="J1035" s="863" t="s">
        <v>5539</v>
      </c>
      <c r="K1035" s="868">
        <f t="shared" si="86"/>
        <v>316</v>
      </c>
      <c r="L1035" s="861"/>
      <c r="M1035" s="671">
        <f t="shared" si="87"/>
        <v>1033</v>
      </c>
      <c r="N1035" s="671">
        <f t="shared" si="88"/>
        <v>171</v>
      </c>
      <c r="O1035" s="671" t="str">
        <f t="shared" si="89"/>
        <v>N/A</v>
      </c>
      <c r="P1035" s="861" t="s">
        <v>5540</v>
      </c>
      <c r="Q1035" s="861"/>
      <c r="R1035" s="861"/>
      <c r="S1035" s="861" t="s">
        <v>931</v>
      </c>
      <c r="T1035" s="866" t="s">
        <v>5541</v>
      </c>
      <c r="U1035" s="865"/>
    </row>
    <row r="1036" spans="1:21" ht="15">
      <c r="A1036" s="672"/>
      <c r="B1036" s="861" t="s">
        <v>5542</v>
      </c>
      <c r="C1036" s="861" t="s">
        <v>5543</v>
      </c>
      <c r="D1036" s="861" t="s">
        <v>371</v>
      </c>
      <c r="E1036" s="861"/>
      <c r="F1036" s="862">
        <v>-1.095</v>
      </c>
      <c r="G1036" s="869">
        <v>0</v>
      </c>
      <c r="H1036" s="874">
        <v>19105677.030000001</v>
      </c>
      <c r="I1036" s="871"/>
      <c r="J1036" s="863" t="s">
        <v>5544</v>
      </c>
      <c r="K1036" s="868">
        <f t="shared" si="86"/>
        <v>493</v>
      </c>
      <c r="L1036" s="861"/>
      <c r="M1036" s="671">
        <f t="shared" si="87"/>
        <v>1034</v>
      </c>
      <c r="N1036" s="671" t="str">
        <f t="shared" si="88"/>
        <v>N/A</v>
      </c>
      <c r="O1036" s="671" t="str">
        <f t="shared" si="89"/>
        <v>N/A</v>
      </c>
      <c r="P1036" s="861" t="s">
        <v>2365</v>
      </c>
      <c r="Q1036" s="861" t="s">
        <v>5545</v>
      </c>
      <c r="R1036" s="861"/>
      <c r="S1036" s="861" t="s">
        <v>526</v>
      </c>
      <c r="T1036" s="866" t="s">
        <v>5546</v>
      </c>
      <c r="U1036" s="865"/>
    </row>
    <row r="1037" spans="1:21" ht="15">
      <c r="A1037" s="857"/>
      <c r="B1037" s="861" t="s">
        <v>5547</v>
      </c>
      <c r="C1037" s="861" t="s">
        <v>5548</v>
      </c>
      <c r="D1037" s="861" t="s">
        <v>371</v>
      </c>
      <c r="E1037" s="861"/>
      <c r="F1037" s="862"/>
      <c r="G1037" s="870" t="s">
        <v>5549</v>
      </c>
      <c r="H1037" s="874">
        <v>18892489.780000001</v>
      </c>
      <c r="I1037" s="871"/>
      <c r="J1037" s="863" t="s">
        <v>5550</v>
      </c>
      <c r="K1037" s="868">
        <f t="shared" si="86"/>
        <v>316</v>
      </c>
      <c r="L1037" s="861"/>
      <c r="M1037" s="671">
        <f t="shared" si="87"/>
        <v>1035</v>
      </c>
      <c r="N1037" s="671" t="str">
        <f t="shared" si="88"/>
        <v>N/A</v>
      </c>
      <c r="O1037" s="671" t="str">
        <f t="shared" si="89"/>
        <v>N/A</v>
      </c>
      <c r="P1037" s="861" t="s">
        <v>5551</v>
      </c>
      <c r="Q1037" s="861" t="s">
        <v>5552</v>
      </c>
      <c r="R1037" s="861"/>
      <c r="S1037" s="861" t="s">
        <v>1921</v>
      </c>
      <c r="T1037" s="866" t="s">
        <v>5553</v>
      </c>
      <c r="U1037" s="865"/>
    </row>
    <row r="1038" spans="1:21" ht="15">
      <c r="A1038" s="672"/>
      <c r="B1038" s="861" t="s">
        <v>5554</v>
      </c>
      <c r="C1038" s="861" t="s">
        <v>5555</v>
      </c>
      <c r="D1038" s="861" t="s">
        <v>371</v>
      </c>
      <c r="E1038" s="861"/>
      <c r="F1038" s="862"/>
      <c r="G1038" s="870" t="s">
        <v>5556</v>
      </c>
      <c r="H1038" s="874">
        <v>18885730.530000001</v>
      </c>
      <c r="I1038" s="871"/>
      <c r="J1038" s="862">
        <v>0.111</v>
      </c>
      <c r="K1038" s="868">
        <f t="shared" si="86"/>
        <v>316</v>
      </c>
      <c r="L1038" s="861"/>
      <c r="M1038" s="671">
        <f t="shared" si="87"/>
        <v>1036</v>
      </c>
      <c r="N1038" s="671" t="str">
        <f t="shared" si="88"/>
        <v>N/A</v>
      </c>
      <c r="O1038" s="671">
        <f t="shared" si="89"/>
        <v>456</v>
      </c>
      <c r="P1038" s="861" t="s">
        <v>2747</v>
      </c>
      <c r="Q1038" s="861" t="s">
        <v>5557</v>
      </c>
      <c r="R1038" s="861"/>
      <c r="S1038" s="861" t="s">
        <v>581</v>
      </c>
      <c r="T1038" s="866" t="s">
        <v>5558</v>
      </c>
      <c r="U1038" s="865"/>
    </row>
    <row r="1039" spans="1:21" ht="15">
      <c r="A1039" s="857"/>
      <c r="B1039" s="861" t="s">
        <v>5559</v>
      </c>
      <c r="C1039" s="861" t="s">
        <v>5560</v>
      </c>
      <c r="D1039" s="861" t="s">
        <v>371</v>
      </c>
      <c r="E1039" s="861"/>
      <c r="F1039" s="862"/>
      <c r="G1039" s="869">
        <v>8.9186449999999994E-3</v>
      </c>
      <c r="H1039" s="874">
        <v>18723120.879999999</v>
      </c>
      <c r="I1039" s="871"/>
      <c r="J1039" s="862">
        <v>0.114</v>
      </c>
      <c r="K1039" s="868">
        <f t="shared" si="86"/>
        <v>316</v>
      </c>
      <c r="L1039" s="861"/>
      <c r="M1039" s="671">
        <f t="shared" si="87"/>
        <v>1037</v>
      </c>
      <c r="N1039" s="671" t="str">
        <f t="shared" si="88"/>
        <v>N/A</v>
      </c>
      <c r="O1039" s="671">
        <f t="shared" si="89"/>
        <v>446</v>
      </c>
      <c r="P1039" s="861" t="s">
        <v>5561</v>
      </c>
      <c r="Q1039" s="861" t="s">
        <v>5562</v>
      </c>
      <c r="R1039" s="861"/>
      <c r="S1039" s="861" t="s">
        <v>5563</v>
      </c>
      <c r="T1039" s="866" t="s">
        <v>5564</v>
      </c>
      <c r="U1039" s="865"/>
    </row>
    <row r="1040" spans="1:21" ht="15">
      <c r="A1040" s="672"/>
      <c r="B1040" s="861" t="s">
        <v>5565</v>
      </c>
      <c r="C1040" s="861" t="s">
        <v>5566</v>
      </c>
      <c r="D1040" s="861" t="s">
        <v>371</v>
      </c>
      <c r="E1040" s="861"/>
      <c r="F1040" s="862"/>
      <c r="G1040" s="869">
        <v>0.55616159200000004</v>
      </c>
      <c r="H1040" s="874">
        <v>18551200.170000002</v>
      </c>
      <c r="I1040" s="871"/>
      <c r="J1040" s="862">
        <v>6.3E-2</v>
      </c>
      <c r="K1040" s="868">
        <f t="shared" si="86"/>
        <v>316</v>
      </c>
      <c r="L1040" s="861" t="s">
        <v>3639</v>
      </c>
      <c r="M1040" s="671">
        <f t="shared" si="87"/>
        <v>1038</v>
      </c>
      <c r="N1040" s="671" t="str">
        <f t="shared" si="88"/>
        <v>N/A</v>
      </c>
      <c r="O1040" s="671">
        <f t="shared" si="89"/>
        <v>573</v>
      </c>
      <c r="P1040" s="861" t="s">
        <v>5567</v>
      </c>
      <c r="Q1040" s="861"/>
      <c r="R1040" s="861" t="s">
        <v>507</v>
      </c>
      <c r="S1040" s="861" t="s">
        <v>5568</v>
      </c>
      <c r="T1040" s="866" t="s">
        <v>5569</v>
      </c>
      <c r="U1040" s="865"/>
    </row>
    <row r="1041" spans="1:21" ht="15">
      <c r="A1041" s="857"/>
      <c r="B1041" s="861" t="s">
        <v>5570</v>
      </c>
      <c r="C1041" s="861" t="s">
        <v>5571</v>
      </c>
      <c r="D1041" s="861" t="s">
        <v>371</v>
      </c>
      <c r="E1041" s="861"/>
      <c r="F1041" s="862"/>
      <c r="G1041" s="870" t="s">
        <v>5572</v>
      </c>
      <c r="H1041" s="874">
        <v>18497549.27</v>
      </c>
      <c r="I1041" s="871"/>
      <c r="J1041" s="861"/>
      <c r="K1041" s="868">
        <f t="shared" si="86"/>
        <v>316</v>
      </c>
      <c r="L1041" s="861"/>
      <c r="M1041" s="671">
        <f t="shared" si="87"/>
        <v>1039</v>
      </c>
      <c r="N1041" s="671" t="str">
        <f t="shared" si="88"/>
        <v>N/A</v>
      </c>
      <c r="O1041" s="671">
        <f t="shared" si="89"/>
        <v>708</v>
      </c>
      <c r="P1041" s="861" t="s">
        <v>5573</v>
      </c>
      <c r="Q1041" s="861" t="s">
        <v>5574</v>
      </c>
      <c r="R1041" s="861"/>
      <c r="S1041" s="861" t="s">
        <v>1001</v>
      </c>
      <c r="T1041" s="866" t="s">
        <v>5575</v>
      </c>
      <c r="U1041" s="865"/>
    </row>
    <row r="1042" spans="1:21" ht="15">
      <c r="A1042" s="672"/>
      <c r="B1042" s="861" t="s">
        <v>5576</v>
      </c>
      <c r="C1042" s="861" t="s">
        <v>5577</v>
      </c>
      <c r="D1042" s="861" t="s">
        <v>371</v>
      </c>
      <c r="E1042" s="861"/>
      <c r="F1042" s="862"/>
      <c r="G1042" s="869">
        <v>0</v>
      </c>
      <c r="H1042" s="874">
        <v>18363146.379999999</v>
      </c>
      <c r="I1042" s="871"/>
      <c r="J1042" s="863" t="s">
        <v>5578</v>
      </c>
      <c r="K1042" s="868">
        <f t="shared" si="86"/>
        <v>316</v>
      </c>
      <c r="L1042" s="861" t="s">
        <v>868</v>
      </c>
      <c r="M1042" s="671">
        <f t="shared" si="87"/>
        <v>1040</v>
      </c>
      <c r="N1042" s="671" t="str">
        <f t="shared" si="88"/>
        <v>N/A</v>
      </c>
      <c r="O1042" s="671" t="str">
        <f t="shared" si="89"/>
        <v>N/A</v>
      </c>
      <c r="P1042" s="861" t="s">
        <v>771</v>
      </c>
      <c r="Q1042" s="861" t="s">
        <v>5579</v>
      </c>
      <c r="R1042" s="863" t="s">
        <v>5580</v>
      </c>
      <c r="S1042" s="861" t="s">
        <v>5581</v>
      </c>
      <c r="T1042" s="866" t="s">
        <v>5582</v>
      </c>
      <c r="U1042" s="865"/>
    </row>
    <row r="1043" spans="1:21" ht="15">
      <c r="A1043" s="857"/>
      <c r="B1043" s="861" t="s">
        <v>5583</v>
      </c>
      <c r="C1043" s="861" t="s">
        <v>5584</v>
      </c>
      <c r="D1043" s="861" t="s">
        <v>371</v>
      </c>
      <c r="E1043" s="861"/>
      <c r="F1043" s="862"/>
      <c r="G1043" s="869">
        <v>1.4348660900000001</v>
      </c>
      <c r="H1043" s="874">
        <v>18261435.07</v>
      </c>
      <c r="I1043" s="872" t="s">
        <v>2867</v>
      </c>
      <c r="J1043" s="862">
        <v>0.14099999999999999</v>
      </c>
      <c r="K1043" s="868">
        <f t="shared" si="86"/>
        <v>316</v>
      </c>
      <c r="L1043" s="861"/>
      <c r="M1043" s="671">
        <f t="shared" si="87"/>
        <v>1041</v>
      </c>
      <c r="N1043" s="671" t="str">
        <f t="shared" si="88"/>
        <v>N/A</v>
      </c>
      <c r="O1043" s="671">
        <f t="shared" si="89"/>
        <v>363</v>
      </c>
      <c r="P1043" s="861" t="s">
        <v>2105</v>
      </c>
      <c r="Q1043" s="861" t="s">
        <v>5585</v>
      </c>
      <c r="R1043" s="861"/>
      <c r="S1043" s="861" t="s">
        <v>1165</v>
      </c>
      <c r="T1043" s="866" t="s">
        <v>5586</v>
      </c>
      <c r="U1043" s="865"/>
    </row>
    <row r="1044" spans="1:21" ht="15">
      <c r="A1044" s="672"/>
      <c r="B1044" s="861" t="s">
        <v>5587</v>
      </c>
      <c r="C1044" s="861" t="s">
        <v>5588</v>
      </c>
      <c r="D1044" s="861" t="s">
        <v>371</v>
      </c>
      <c r="E1044" s="861"/>
      <c r="F1044" s="862"/>
      <c r="G1044" s="869">
        <v>4.539568922</v>
      </c>
      <c r="H1044" s="874">
        <v>18187507.77</v>
      </c>
      <c r="I1044" s="871"/>
      <c r="J1044" s="861"/>
      <c r="K1044" s="868">
        <f t="shared" si="86"/>
        <v>316</v>
      </c>
      <c r="L1044" s="861" t="s">
        <v>959</v>
      </c>
      <c r="M1044" s="671">
        <f t="shared" si="87"/>
        <v>1042</v>
      </c>
      <c r="N1044" s="671" t="str">
        <f t="shared" si="88"/>
        <v>N/A</v>
      </c>
      <c r="O1044" s="671">
        <f t="shared" si="89"/>
        <v>708</v>
      </c>
      <c r="P1044" s="861" t="s">
        <v>3248</v>
      </c>
      <c r="Q1044" s="861" t="s">
        <v>5589</v>
      </c>
      <c r="R1044" s="861" t="s">
        <v>748</v>
      </c>
      <c r="S1044" s="861" t="s">
        <v>3586</v>
      </c>
      <c r="T1044" s="866" t="s">
        <v>5590</v>
      </c>
      <c r="U1044" s="865"/>
    </row>
    <row r="1045" spans="1:21" ht="15">
      <c r="A1045" s="857"/>
      <c r="B1045" s="861" t="s">
        <v>5591</v>
      </c>
      <c r="C1045" s="861" t="s">
        <v>5592</v>
      </c>
      <c r="D1045" s="861" t="s">
        <v>371</v>
      </c>
      <c r="E1045" s="861"/>
      <c r="F1045" s="862"/>
      <c r="G1045" s="870" t="s">
        <v>5593</v>
      </c>
      <c r="H1045" s="874">
        <v>18119836.359999999</v>
      </c>
      <c r="I1045" s="871"/>
      <c r="J1045" s="862">
        <v>7.9000000000000001E-2</v>
      </c>
      <c r="K1045" s="868">
        <f t="shared" si="86"/>
        <v>316</v>
      </c>
      <c r="L1045" s="861" t="s">
        <v>1536</v>
      </c>
      <c r="M1045" s="671">
        <f t="shared" si="87"/>
        <v>1043</v>
      </c>
      <c r="N1045" s="671" t="str">
        <f t="shared" si="88"/>
        <v>N/A</v>
      </c>
      <c r="O1045" s="671">
        <f t="shared" si="89"/>
        <v>544</v>
      </c>
      <c r="P1045" s="861" t="s">
        <v>819</v>
      </c>
      <c r="Q1045" s="861" t="s">
        <v>3085</v>
      </c>
      <c r="R1045" s="861" t="s">
        <v>3255</v>
      </c>
      <c r="S1045" s="861" t="s">
        <v>3233</v>
      </c>
      <c r="T1045" s="866" t="s">
        <v>5594</v>
      </c>
      <c r="U1045" s="865"/>
    </row>
    <row r="1046" spans="1:21" ht="15">
      <c r="A1046" s="672"/>
      <c r="B1046" s="861" t="s">
        <v>5595</v>
      </c>
      <c r="C1046" s="861" t="s">
        <v>5596</v>
      </c>
      <c r="D1046" s="861" t="s">
        <v>371</v>
      </c>
      <c r="E1046" s="861"/>
      <c r="F1046" s="862"/>
      <c r="G1046" s="870" t="s">
        <v>5597</v>
      </c>
      <c r="H1046" s="874">
        <v>18024721.359999999</v>
      </c>
      <c r="I1046" s="871"/>
      <c r="J1046" s="862">
        <v>0.34699999999999998</v>
      </c>
      <c r="K1046" s="868">
        <f t="shared" si="86"/>
        <v>316</v>
      </c>
      <c r="L1046" s="861"/>
      <c r="M1046" s="671">
        <f t="shared" si="87"/>
        <v>1044</v>
      </c>
      <c r="N1046" s="671" t="str">
        <f t="shared" si="88"/>
        <v>N/A</v>
      </c>
      <c r="O1046" s="671">
        <f t="shared" si="89"/>
        <v>80</v>
      </c>
      <c r="P1046" s="861" t="s">
        <v>5598</v>
      </c>
      <c r="Q1046" s="861"/>
      <c r="R1046" s="861"/>
      <c r="S1046" s="861" t="s">
        <v>454</v>
      </c>
      <c r="T1046" s="866" t="s">
        <v>5599</v>
      </c>
      <c r="U1046" s="865"/>
    </row>
    <row r="1047" spans="1:21" ht="15">
      <c r="A1047" s="857"/>
      <c r="B1047" s="861" t="s">
        <v>5600</v>
      </c>
      <c r="C1047" s="861" t="s">
        <v>5601</v>
      </c>
      <c r="D1047" s="861" t="s">
        <v>371</v>
      </c>
      <c r="E1047" s="861"/>
      <c r="F1047" s="862"/>
      <c r="G1047" s="869">
        <v>0</v>
      </c>
      <c r="H1047" s="874">
        <v>17975650.57</v>
      </c>
      <c r="I1047" s="871"/>
      <c r="J1047" s="862">
        <v>6.0999999999999999E-2</v>
      </c>
      <c r="K1047" s="868">
        <f t="shared" si="86"/>
        <v>316</v>
      </c>
      <c r="L1047" s="861"/>
      <c r="M1047" s="671">
        <f t="shared" si="87"/>
        <v>1045</v>
      </c>
      <c r="N1047" s="671" t="str">
        <f t="shared" si="88"/>
        <v>N/A</v>
      </c>
      <c r="O1047" s="671">
        <f t="shared" si="89"/>
        <v>580</v>
      </c>
      <c r="P1047" s="861" t="s">
        <v>784</v>
      </c>
      <c r="Q1047" s="861" t="s">
        <v>5602</v>
      </c>
      <c r="R1047" s="861"/>
      <c r="S1047" s="861" t="s">
        <v>2949</v>
      </c>
      <c r="T1047" s="866" t="s">
        <v>5603</v>
      </c>
      <c r="U1047" s="865"/>
    </row>
    <row r="1048" spans="1:21" ht="15">
      <c r="A1048" s="672"/>
      <c r="B1048" s="861" t="s">
        <v>5604</v>
      </c>
      <c r="C1048" s="861" t="s">
        <v>5605</v>
      </c>
      <c r="D1048" s="861" t="s">
        <v>371</v>
      </c>
      <c r="E1048" s="861"/>
      <c r="F1048" s="862"/>
      <c r="G1048" s="870" t="s">
        <v>5606</v>
      </c>
      <c r="H1048" s="874">
        <v>17926021.960000001</v>
      </c>
      <c r="I1048" s="871">
        <v>43.5</v>
      </c>
      <c r="J1048" s="863" t="s">
        <v>5607</v>
      </c>
      <c r="K1048" s="868">
        <f t="shared" si="86"/>
        <v>316</v>
      </c>
      <c r="L1048" s="861"/>
      <c r="M1048" s="671">
        <f t="shared" si="87"/>
        <v>1046</v>
      </c>
      <c r="N1048" s="671">
        <f t="shared" si="88"/>
        <v>101</v>
      </c>
      <c r="O1048" s="671" t="str">
        <f t="shared" si="89"/>
        <v>N/A</v>
      </c>
      <c r="P1048" s="861" t="s">
        <v>5608</v>
      </c>
      <c r="Q1048" s="861" t="s">
        <v>5609</v>
      </c>
      <c r="R1048" s="861"/>
      <c r="S1048" s="861" t="s">
        <v>5610</v>
      </c>
      <c r="T1048" s="866" t="s">
        <v>5611</v>
      </c>
      <c r="U1048" s="865"/>
    </row>
    <row r="1049" spans="1:21" ht="15">
      <c r="A1049" s="857"/>
      <c r="B1049" s="861" t="s">
        <v>5612</v>
      </c>
      <c r="C1049" s="861" t="s">
        <v>5613</v>
      </c>
      <c r="D1049" s="861" t="s">
        <v>371</v>
      </c>
      <c r="E1049" s="861"/>
      <c r="F1049" s="862"/>
      <c r="G1049" s="870" t="s">
        <v>5614</v>
      </c>
      <c r="H1049" s="874">
        <v>17892335.890000001</v>
      </c>
      <c r="I1049" s="871">
        <v>0.75</v>
      </c>
      <c r="J1049" s="862">
        <v>0.13500000000000001</v>
      </c>
      <c r="K1049" s="868">
        <f t="shared" si="86"/>
        <v>316</v>
      </c>
      <c r="L1049" s="861"/>
      <c r="M1049" s="671">
        <f t="shared" si="87"/>
        <v>1047</v>
      </c>
      <c r="N1049" s="671">
        <f t="shared" si="88"/>
        <v>303</v>
      </c>
      <c r="O1049" s="671">
        <f t="shared" si="89"/>
        <v>384</v>
      </c>
      <c r="P1049" s="861" t="s">
        <v>1816</v>
      </c>
      <c r="Q1049" s="861" t="s">
        <v>5615</v>
      </c>
      <c r="R1049" s="861"/>
      <c r="S1049" s="861" t="s">
        <v>3048</v>
      </c>
      <c r="T1049" s="866" t="s">
        <v>5616</v>
      </c>
      <c r="U1049" s="865"/>
    </row>
    <row r="1050" spans="1:21" ht="15">
      <c r="A1050" s="672"/>
      <c r="B1050" s="861" t="s">
        <v>5617</v>
      </c>
      <c r="C1050" s="861" t="s">
        <v>5618</v>
      </c>
      <c r="D1050" s="861" t="s">
        <v>371</v>
      </c>
      <c r="E1050" s="861"/>
      <c r="F1050" s="862"/>
      <c r="G1050" s="869">
        <v>2.2742124000000001</v>
      </c>
      <c r="H1050" s="874">
        <v>17797135.289999999</v>
      </c>
      <c r="I1050" s="871">
        <v>72.91</v>
      </c>
      <c r="J1050" s="862">
        <v>8.9999999999999993E-3</v>
      </c>
      <c r="K1050" s="868">
        <f t="shared" si="86"/>
        <v>316</v>
      </c>
      <c r="L1050" s="861"/>
      <c r="M1050" s="671">
        <f t="shared" si="87"/>
        <v>1048</v>
      </c>
      <c r="N1050" s="671">
        <f t="shared" si="88"/>
        <v>52</v>
      </c>
      <c r="O1050" s="671">
        <f t="shared" si="89"/>
        <v>684</v>
      </c>
      <c r="P1050" s="861" t="s">
        <v>3239</v>
      </c>
      <c r="Q1050" s="861"/>
      <c r="R1050" s="861"/>
      <c r="S1050" s="861" t="s">
        <v>734</v>
      </c>
      <c r="T1050" s="866" t="s">
        <v>5619</v>
      </c>
      <c r="U1050" s="865"/>
    </row>
    <row r="1051" spans="1:21" ht="15">
      <c r="A1051" s="857"/>
      <c r="B1051" s="861" t="s">
        <v>5620</v>
      </c>
      <c r="C1051" s="861" t="s">
        <v>5621</v>
      </c>
      <c r="D1051" s="861" t="s">
        <v>371</v>
      </c>
      <c r="E1051" s="861"/>
      <c r="F1051" s="862"/>
      <c r="G1051" s="870" t="s">
        <v>5622</v>
      </c>
      <c r="H1051" s="874">
        <v>17762894.34</v>
      </c>
      <c r="I1051" s="871"/>
      <c r="J1051" s="861"/>
      <c r="K1051" s="868">
        <f t="shared" si="86"/>
        <v>316</v>
      </c>
      <c r="L1051" s="861"/>
      <c r="M1051" s="671">
        <f t="shared" si="87"/>
        <v>1049</v>
      </c>
      <c r="N1051" s="671" t="str">
        <f t="shared" si="88"/>
        <v>N/A</v>
      </c>
      <c r="O1051" s="671">
        <f t="shared" si="89"/>
        <v>708</v>
      </c>
      <c r="P1051" s="861" t="s">
        <v>390</v>
      </c>
      <c r="Q1051" s="861" t="s">
        <v>5623</v>
      </c>
      <c r="R1051" s="861"/>
      <c r="S1051" s="861" t="s">
        <v>3345</v>
      </c>
      <c r="T1051" s="866" t="s">
        <v>5624</v>
      </c>
      <c r="U1051" s="865"/>
    </row>
    <row r="1052" spans="1:21" ht="15">
      <c r="A1052" s="672"/>
      <c r="B1052" s="861" t="s">
        <v>5625</v>
      </c>
      <c r="C1052" s="861" t="s">
        <v>5626</v>
      </c>
      <c r="D1052" s="861" t="s">
        <v>371</v>
      </c>
      <c r="E1052" s="861"/>
      <c r="F1052" s="862"/>
      <c r="G1052" s="869" t="e">
        <v>#DIV/0!</v>
      </c>
      <c r="H1052" s="874">
        <v>17677586.219999999</v>
      </c>
      <c r="I1052" s="871"/>
      <c r="J1052" s="863" t="s">
        <v>5627</v>
      </c>
      <c r="K1052" s="868">
        <f t="shared" si="86"/>
        <v>316</v>
      </c>
      <c r="L1052" s="861"/>
      <c r="M1052" s="671">
        <f t="shared" si="87"/>
        <v>1050</v>
      </c>
      <c r="N1052" s="671" t="str">
        <f t="shared" si="88"/>
        <v>N/A</v>
      </c>
      <c r="O1052" s="671" t="str">
        <f t="shared" si="89"/>
        <v>N/A</v>
      </c>
      <c r="P1052" s="861" t="s">
        <v>1654</v>
      </c>
      <c r="Q1052" s="861" t="s">
        <v>5628</v>
      </c>
      <c r="R1052" s="861"/>
      <c r="S1052" s="861" t="s">
        <v>460</v>
      </c>
      <c r="T1052" s="866" t="s">
        <v>5629</v>
      </c>
      <c r="U1052" s="865"/>
    </row>
    <row r="1053" spans="1:21" ht="15">
      <c r="A1053" s="857"/>
      <c r="B1053" s="861" t="s">
        <v>5630</v>
      </c>
      <c r="C1053" s="861" t="s">
        <v>5631</v>
      </c>
      <c r="D1053" s="861" t="s">
        <v>371</v>
      </c>
      <c r="E1053" s="861"/>
      <c r="F1053" s="862"/>
      <c r="G1053" s="870" t="s">
        <v>5632</v>
      </c>
      <c r="H1053" s="874">
        <v>17648371.920000002</v>
      </c>
      <c r="I1053" s="871"/>
      <c r="J1053" s="863" t="s">
        <v>2159</v>
      </c>
      <c r="K1053" s="868">
        <f t="shared" si="86"/>
        <v>316</v>
      </c>
      <c r="L1053" s="861"/>
      <c r="M1053" s="671">
        <f t="shared" si="87"/>
        <v>1051</v>
      </c>
      <c r="N1053" s="671" t="str">
        <f t="shared" si="88"/>
        <v>N/A</v>
      </c>
      <c r="O1053" s="671" t="str">
        <f t="shared" si="89"/>
        <v>N/A</v>
      </c>
      <c r="P1053" s="861" t="s">
        <v>2354</v>
      </c>
      <c r="Q1053" s="861"/>
      <c r="R1053" s="861"/>
      <c r="S1053" s="861" t="s">
        <v>5481</v>
      </c>
      <c r="T1053" s="866" t="s">
        <v>5633</v>
      </c>
      <c r="U1053" s="865"/>
    </row>
    <row r="1054" spans="1:21" ht="15">
      <c r="A1054" s="672"/>
      <c r="B1054" s="861" t="s">
        <v>5634</v>
      </c>
      <c r="C1054" s="861" t="s">
        <v>5635</v>
      </c>
      <c r="D1054" s="861" t="s">
        <v>371</v>
      </c>
      <c r="E1054" s="861"/>
      <c r="F1054" s="862"/>
      <c r="G1054" s="869">
        <v>0</v>
      </c>
      <c r="H1054" s="874">
        <v>17483262.100000001</v>
      </c>
      <c r="I1054" s="871"/>
      <c r="J1054" s="861"/>
      <c r="K1054" s="868">
        <f t="shared" si="86"/>
        <v>316</v>
      </c>
      <c r="L1054" s="861"/>
      <c r="M1054" s="671">
        <f t="shared" si="87"/>
        <v>1052</v>
      </c>
      <c r="N1054" s="671" t="str">
        <f t="shared" si="88"/>
        <v>N/A</v>
      </c>
      <c r="O1054" s="671">
        <f t="shared" si="89"/>
        <v>708</v>
      </c>
      <c r="P1054" s="861"/>
      <c r="Q1054" s="861"/>
      <c r="R1054" s="861"/>
      <c r="S1054" s="861" t="s">
        <v>454</v>
      </c>
      <c r="T1054" s="866" t="s">
        <v>5636</v>
      </c>
      <c r="U1054" s="865"/>
    </row>
    <row r="1055" spans="1:21" ht="15">
      <c r="A1055" s="857"/>
      <c r="B1055" s="861" t="s">
        <v>5637</v>
      </c>
      <c r="C1055" s="861" t="s">
        <v>5638</v>
      </c>
      <c r="D1055" s="861" t="s">
        <v>371</v>
      </c>
      <c r="E1055" s="861"/>
      <c r="F1055" s="862">
        <v>0.307</v>
      </c>
      <c r="G1055" s="869">
        <v>0</v>
      </c>
      <c r="H1055" s="874">
        <v>17443670.66</v>
      </c>
      <c r="I1055" s="871">
        <v>9.42</v>
      </c>
      <c r="J1055" s="862">
        <v>0.03</v>
      </c>
      <c r="K1055" s="868">
        <f t="shared" si="86"/>
        <v>47</v>
      </c>
      <c r="L1055" s="861"/>
      <c r="M1055" s="671">
        <f t="shared" si="87"/>
        <v>1053</v>
      </c>
      <c r="N1055" s="671">
        <f t="shared" si="88"/>
        <v>231</v>
      </c>
      <c r="O1055" s="671">
        <f t="shared" si="89"/>
        <v>654</v>
      </c>
      <c r="P1055" s="861" t="s">
        <v>2080</v>
      </c>
      <c r="Q1055" s="861"/>
      <c r="R1055" s="861"/>
      <c r="S1055" s="861" t="s">
        <v>460</v>
      </c>
      <c r="T1055" s="866" t="s">
        <v>5639</v>
      </c>
      <c r="U1055" s="865"/>
    </row>
    <row r="1056" spans="1:21" ht="15">
      <c r="A1056" s="672"/>
      <c r="B1056" s="861" t="s">
        <v>5640</v>
      </c>
      <c r="C1056" s="861" t="s">
        <v>5641</v>
      </c>
      <c r="D1056" s="861" t="s">
        <v>371</v>
      </c>
      <c r="E1056" s="861"/>
      <c r="F1056" s="862"/>
      <c r="G1056" s="869">
        <v>0</v>
      </c>
      <c r="H1056" s="874">
        <v>17151617.539999999</v>
      </c>
      <c r="I1056" s="871"/>
      <c r="J1056" s="863"/>
      <c r="K1056" s="868">
        <f t="shared" si="86"/>
        <v>316</v>
      </c>
      <c r="L1056" s="861"/>
      <c r="M1056" s="671">
        <f t="shared" si="87"/>
        <v>1054</v>
      </c>
      <c r="N1056" s="671" t="str">
        <f t="shared" si="88"/>
        <v>N/A</v>
      </c>
      <c r="O1056" s="671">
        <f t="shared" si="89"/>
        <v>708</v>
      </c>
      <c r="P1056" s="861" t="s">
        <v>4636</v>
      </c>
      <c r="Q1056" s="861"/>
      <c r="R1056" s="861"/>
      <c r="S1056" s="861" t="s">
        <v>4306</v>
      </c>
      <c r="T1056" s="866" t="s">
        <v>5642</v>
      </c>
      <c r="U1056" s="865"/>
    </row>
    <row r="1057" spans="1:21" ht="15">
      <c r="A1057" s="857"/>
      <c r="B1057" s="861" t="s">
        <v>5643</v>
      </c>
      <c r="C1057" s="861" t="s">
        <v>5644</v>
      </c>
      <c r="D1057" s="861" t="s">
        <v>371</v>
      </c>
      <c r="E1057" s="861"/>
      <c r="F1057" s="862"/>
      <c r="G1057" s="869" t="e">
        <v>#DIV/0!</v>
      </c>
      <c r="H1057" s="874">
        <v>17111257.890000001</v>
      </c>
      <c r="I1057" s="871"/>
      <c r="J1057" s="862">
        <v>2E-3</v>
      </c>
      <c r="K1057" s="868">
        <f t="shared" si="86"/>
        <v>316</v>
      </c>
      <c r="L1057" s="861"/>
      <c r="M1057" s="671">
        <f t="shared" si="87"/>
        <v>1055</v>
      </c>
      <c r="N1057" s="671" t="str">
        <f t="shared" si="88"/>
        <v>N/A</v>
      </c>
      <c r="O1057" s="671">
        <f t="shared" si="89"/>
        <v>701</v>
      </c>
      <c r="P1057" s="861" t="s">
        <v>1372</v>
      </c>
      <c r="Q1057" s="861" t="s">
        <v>882</v>
      </c>
      <c r="R1057" s="861"/>
      <c r="S1057" s="861" t="s">
        <v>1252</v>
      </c>
      <c r="T1057" s="866" t="s">
        <v>5645</v>
      </c>
      <c r="U1057" s="865"/>
    </row>
    <row r="1058" spans="1:21" ht="15">
      <c r="A1058" s="672"/>
      <c r="B1058" s="861" t="s">
        <v>5646</v>
      </c>
      <c r="C1058" s="861" t="s">
        <v>5647</v>
      </c>
      <c r="D1058" s="861" t="s">
        <v>371</v>
      </c>
      <c r="E1058" s="861"/>
      <c r="F1058" s="862"/>
      <c r="G1058" s="869">
        <v>0</v>
      </c>
      <c r="H1058" s="874">
        <v>17056016.219999999</v>
      </c>
      <c r="I1058" s="871"/>
      <c r="J1058" s="863" t="s">
        <v>5648</v>
      </c>
      <c r="K1058" s="868">
        <f t="shared" si="86"/>
        <v>316</v>
      </c>
      <c r="L1058" s="861"/>
      <c r="M1058" s="671">
        <f t="shared" si="87"/>
        <v>1056</v>
      </c>
      <c r="N1058" s="671" t="str">
        <f t="shared" si="88"/>
        <v>N/A</v>
      </c>
      <c r="O1058" s="671" t="str">
        <f t="shared" si="89"/>
        <v>N/A</v>
      </c>
      <c r="P1058" s="861" t="s">
        <v>4296</v>
      </c>
      <c r="Q1058" s="861"/>
      <c r="R1058" s="861"/>
      <c r="S1058" s="861" t="s">
        <v>404</v>
      </c>
      <c r="T1058" s="866" t="s">
        <v>5649</v>
      </c>
      <c r="U1058" s="865"/>
    </row>
    <row r="1059" spans="1:21" ht="15">
      <c r="A1059" s="857"/>
      <c r="B1059" s="861" t="s">
        <v>5650</v>
      </c>
      <c r="C1059" s="861" t="s">
        <v>5651</v>
      </c>
      <c r="D1059" s="861" t="s">
        <v>371</v>
      </c>
      <c r="E1059" s="861"/>
      <c r="F1059" s="862"/>
      <c r="G1059" s="870" t="s">
        <v>5652</v>
      </c>
      <c r="H1059" s="874">
        <v>17042120.780000001</v>
      </c>
      <c r="I1059" s="871"/>
      <c r="J1059" s="862">
        <v>0.67300000000000004</v>
      </c>
      <c r="K1059" s="868">
        <f t="shared" si="86"/>
        <v>316</v>
      </c>
      <c r="L1059" s="863" t="s">
        <v>3167</v>
      </c>
      <c r="M1059" s="671">
        <f t="shared" si="87"/>
        <v>1057</v>
      </c>
      <c r="N1059" s="671" t="str">
        <f t="shared" si="88"/>
        <v>N/A</v>
      </c>
      <c r="O1059" s="671">
        <f t="shared" si="89"/>
        <v>6</v>
      </c>
      <c r="P1059" s="861" t="s">
        <v>547</v>
      </c>
      <c r="Q1059" s="861"/>
      <c r="R1059" s="861"/>
      <c r="S1059" s="861" t="s">
        <v>557</v>
      </c>
      <c r="T1059" s="866" t="s">
        <v>5653</v>
      </c>
      <c r="U1059" s="865"/>
    </row>
    <row r="1060" spans="1:21" ht="15">
      <c r="A1060" s="672"/>
      <c r="B1060" s="861" t="s">
        <v>5654</v>
      </c>
      <c r="C1060" s="861" t="s">
        <v>5655</v>
      </c>
      <c r="D1060" s="861" t="s">
        <v>371</v>
      </c>
      <c r="E1060" s="861"/>
      <c r="F1060" s="862"/>
      <c r="G1060" s="869">
        <v>0</v>
      </c>
      <c r="H1060" s="874">
        <v>16980815.969999999</v>
      </c>
      <c r="I1060" s="871">
        <v>12</v>
      </c>
      <c r="J1060" s="862">
        <v>6.5000000000000002E-2</v>
      </c>
      <c r="K1060" s="868">
        <f t="shared" si="86"/>
        <v>316</v>
      </c>
      <c r="L1060" s="861"/>
      <c r="M1060" s="671">
        <f t="shared" si="87"/>
        <v>1058</v>
      </c>
      <c r="N1060" s="671">
        <f t="shared" si="88"/>
        <v>211</v>
      </c>
      <c r="O1060" s="671">
        <f t="shared" si="89"/>
        <v>570</v>
      </c>
      <c r="P1060" s="861" t="s">
        <v>5656</v>
      </c>
      <c r="Q1060" s="861"/>
      <c r="R1060" s="861"/>
      <c r="S1060" s="861" t="s">
        <v>526</v>
      </c>
      <c r="T1060" s="866" t="s">
        <v>5657</v>
      </c>
      <c r="U1060" s="865"/>
    </row>
    <row r="1061" spans="1:21" ht="15">
      <c r="A1061" s="857"/>
      <c r="B1061" s="861" t="s">
        <v>5658</v>
      </c>
      <c r="C1061" s="861" t="s">
        <v>5659</v>
      </c>
      <c r="D1061" s="861" t="s">
        <v>371</v>
      </c>
      <c r="E1061" s="861"/>
      <c r="F1061" s="862"/>
      <c r="G1061" s="869">
        <v>0.36683710400000002</v>
      </c>
      <c r="H1061" s="874">
        <v>16969479.210000001</v>
      </c>
      <c r="I1061" s="871"/>
      <c r="J1061" s="863" t="s">
        <v>5660</v>
      </c>
      <c r="K1061" s="868">
        <f t="shared" si="86"/>
        <v>316</v>
      </c>
      <c r="L1061" s="861"/>
      <c r="M1061" s="671">
        <f t="shared" si="87"/>
        <v>1059</v>
      </c>
      <c r="N1061" s="671" t="str">
        <f t="shared" si="88"/>
        <v>N/A</v>
      </c>
      <c r="O1061" s="671" t="str">
        <f t="shared" si="89"/>
        <v>N/A</v>
      </c>
      <c r="P1061" s="861" t="s">
        <v>2068</v>
      </c>
      <c r="Q1061" s="861" t="s">
        <v>5661</v>
      </c>
      <c r="R1061" s="863" t="s">
        <v>2330</v>
      </c>
      <c r="S1061" s="861" t="s">
        <v>1214</v>
      </c>
      <c r="T1061" s="866" t="s">
        <v>5662</v>
      </c>
      <c r="U1061" s="865"/>
    </row>
    <row r="1062" spans="1:21" ht="15">
      <c r="A1062" s="672"/>
      <c r="B1062" s="861" t="s">
        <v>5663</v>
      </c>
      <c r="C1062" s="861" t="s">
        <v>5664</v>
      </c>
      <c r="D1062" s="861" t="s">
        <v>371</v>
      </c>
      <c r="E1062" s="861"/>
      <c r="F1062" s="862"/>
      <c r="G1062" s="870" t="s">
        <v>5665</v>
      </c>
      <c r="H1062" s="874">
        <v>16907609.800000001</v>
      </c>
      <c r="I1062" s="872" t="s">
        <v>5666</v>
      </c>
      <c r="J1062" s="862">
        <v>0.13</v>
      </c>
      <c r="K1062" s="868">
        <f t="shared" si="86"/>
        <v>316</v>
      </c>
      <c r="L1062" s="861" t="s">
        <v>825</v>
      </c>
      <c r="M1062" s="671">
        <f t="shared" si="87"/>
        <v>1060</v>
      </c>
      <c r="N1062" s="671" t="str">
        <f t="shared" si="88"/>
        <v>N/A</v>
      </c>
      <c r="O1062" s="671">
        <f t="shared" si="89"/>
        <v>398</v>
      </c>
      <c r="P1062" s="861" t="s">
        <v>2136</v>
      </c>
      <c r="Q1062" s="861" t="s">
        <v>5667</v>
      </c>
      <c r="R1062" s="861"/>
      <c r="S1062" s="861" t="s">
        <v>5668</v>
      </c>
      <c r="T1062" s="866" t="s">
        <v>5669</v>
      </c>
      <c r="U1062" s="865"/>
    </row>
    <row r="1063" spans="1:21" ht="15">
      <c r="A1063" s="857"/>
      <c r="B1063" s="861" t="s">
        <v>5670</v>
      </c>
      <c r="C1063" s="861" t="s">
        <v>5671</v>
      </c>
      <c r="D1063" s="861" t="s">
        <v>371</v>
      </c>
      <c r="E1063" s="861"/>
      <c r="F1063" s="862"/>
      <c r="G1063" s="869">
        <v>0</v>
      </c>
      <c r="H1063" s="874">
        <v>16846613.350000001</v>
      </c>
      <c r="I1063" s="871"/>
      <c r="J1063" s="863" t="s">
        <v>5672</v>
      </c>
      <c r="K1063" s="868">
        <f t="shared" si="86"/>
        <v>316</v>
      </c>
      <c r="L1063" s="861" t="s">
        <v>550</v>
      </c>
      <c r="M1063" s="671">
        <f t="shared" si="87"/>
        <v>1061</v>
      </c>
      <c r="N1063" s="671" t="str">
        <f t="shared" si="88"/>
        <v>N/A</v>
      </c>
      <c r="O1063" s="671" t="str">
        <f t="shared" si="89"/>
        <v>N/A</v>
      </c>
      <c r="P1063" s="861" t="s">
        <v>979</v>
      </c>
      <c r="Q1063" s="861" t="s">
        <v>768</v>
      </c>
      <c r="R1063" s="861" t="s">
        <v>533</v>
      </c>
      <c r="S1063" s="861" t="s">
        <v>1073</v>
      </c>
      <c r="T1063" s="866" t="s">
        <v>5673</v>
      </c>
      <c r="U1063" s="865"/>
    </row>
    <row r="1064" spans="1:21" ht="15">
      <c r="A1064" s="672"/>
      <c r="B1064" s="861" t="s">
        <v>5674</v>
      </c>
      <c r="C1064" s="861" t="s">
        <v>5675</v>
      </c>
      <c r="D1064" s="861" t="s">
        <v>371</v>
      </c>
      <c r="E1064" s="861"/>
      <c r="F1064" s="862"/>
      <c r="G1064" s="870" t="s">
        <v>5676</v>
      </c>
      <c r="H1064" s="874">
        <v>16781651.390000001</v>
      </c>
      <c r="I1064" s="871"/>
      <c r="J1064" s="861" t="s">
        <v>3441</v>
      </c>
      <c r="K1064" s="868">
        <f t="shared" si="86"/>
        <v>316</v>
      </c>
      <c r="L1064" s="861"/>
      <c r="M1064" s="671">
        <f t="shared" si="87"/>
        <v>1062</v>
      </c>
      <c r="N1064" s="671" t="str">
        <f t="shared" si="88"/>
        <v>N/A</v>
      </c>
      <c r="O1064" s="671" t="str">
        <f t="shared" si="89"/>
        <v>N/A</v>
      </c>
      <c r="P1064" s="861" t="s">
        <v>434</v>
      </c>
      <c r="Q1064" s="861"/>
      <c r="R1064" s="861"/>
      <c r="S1064" s="861" t="s">
        <v>454</v>
      </c>
      <c r="T1064" s="866" t="s">
        <v>5677</v>
      </c>
      <c r="U1064" s="865"/>
    </row>
    <row r="1065" spans="1:21" ht="15">
      <c r="A1065" s="857"/>
      <c r="B1065" s="861" t="s">
        <v>5678</v>
      </c>
      <c r="C1065" s="861" t="s">
        <v>5679</v>
      </c>
      <c r="D1065" s="861" t="s">
        <v>371</v>
      </c>
      <c r="E1065" s="861"/>
      <c r="F1065" s="862"/>
      <c r="G1065" s="869">
        <v>0</v>
      </c>
      <c r="H1065" s="874">
        <v>16761977.33</v>
      </c>
      <c r="I1065" s="871"/>
      <c r="J1065" s="862">
        <v>3.5999999999999997E-2</v>
      </c>
      <c r="K1065" s="868">
        <f t="shared" si="86"/>
        <v>316</v>
      </c>
      <c r="L1065" s="861"/>
      <c r="M1065" s="671">
        <f t="shared" si="87"/>
        <v>1063</v>
      </c>
      <c r="N1065" s="671" t="str">
        <f t="shared" si="88"/>
        <v>N/A</v>
      </c>
      <c r="O1065" s="671">
        <f t="shared" si="89"/>
        <v>639</v>
      </c>
      <c r="P1065" s="861" t="s">
        <v>517</v>
      </c>
      <c r="Q1065" s="861"/>
      <c r="R1065" s="861"/>
      <c r="S1065" s="861" t="s">
        <v>424</v>
      </c>
      <c r="T1065" s="866" t="s">
        <v>5680</v>
      </c>
      <c r="U1065" s="865"/>
    </row>
    <row r="1066" spans="1:21" ht="15">
      <c r="A1066" s="672"/>
      <c r="B1066" s="861" t="s">
        <v>5681</v>
      </c>
      <c r="C1066" s="861" t="s">
        <v>5682</v>
      </c>
      <c r="D1066" s="861" t="s">
        <v>371</v>
      </c>
      <c r="E1066" s="861"/>
      <c r="F1066" s="862"/>
      <c r="G1066" s="870" t="s">
        <v>5683</v>
      </c>
      <c r="H1066" s="874">
        <v>16721177.6</v>
      </c>
      <c r="I1066" s="871">
        <v>81.63</v>
      </c>
      <c r="J1066" s="863" t="s">
        <v>5684</v>
      </c>
      <c r="K1066" s="868">
        <f t="shared" si="86"/>
        <v>316</v>
      </c>
      <c r="L1066" s="861"/>
      <c r="M1066" s="671">
        <f t="shared" si="87"/>
        <v>1064</v>
      </c>
      <c r="N1066" s="671">
        <f t="shared" si="88"/>
        <v>46</v>
      </c>
      <c r="O1066" s="671" t="str">
        <f t="shared" si="89"/>
        <v>N/A</v>
      </c>
      <c r="P1066" s="861"/>
      <c r="Q1066" s="861"/>
      <c r="R1066" s="861"/>
      <c r="S1066" s="861" t="s">
        <v>1475</v>
      </c>
      <c r="T1066" s="866" t="s">
        <v>5685</v>
      </c>
      <c r="U1066" s="865"/>
    </row>
    <row r="1067" spans="1:21" ht="15">
      <c r="A1067" s="857"/>
      <c r="B1067" s="861" t="s">
        <v>5686</v>
      </c>
      <c r="C1067" s="861" t="s">
        <v>5687</v>
      </c>
      <c r="D1067" s="861" t="s">
        <v>371</v>
      </c>
      <c r="E1067" s="861"/>
      <c r="F1067" s="862"/>
      <c r="G1067" s="869">
        <v>0</v>
      </c>
      <c r="H1067" s="874">
        <v>16710998.25</v>
      </c>
      <c r="I1067" s="871"/>
      <c r="J1067" s="862">
        <v>0.29199999999999998</v>
      </c>
      <c r="K1067" s="868">
        <f t="shared" si="86"/>
        <v>316</v>
      </c>
      <c r="L1067" s="861"/>
      <c r="M1067" s="671">
        <f t="shared" si="87"/>
        <v>1065</v>
      </c>
      <c r="N1067" s="671" t="str">
        <f t="shared" si="88"/>
        <v>N/A</v>
      </c>
      <c r="O1067" s="671">
        <f t="shared" si="89"/>
        <v>135</v>
      </c>
      <c r="P1067" s="861" t="s">
        <v>5688</v>
      </c>
      <c r="Q1067" s="861"/>
      <c r="R1067" s="861"/>
      <c r="S1067" s="861" t="s">
        <v>526</v>
      </c>
      <c r="T1067" s="866" t="s">
        <v>5689</v>
      </c>
      <c r="U1067" s="865"/>
    </row>
    <row r="1068" spans="1:21" ht="15">
      <c r="A1068" s="672"/>
      <c r="B1068" s="861" t="s">
        <v>5690</v>
      </c>
      <c r="C1068" s="861" t="s">
        <v>5691</v>
      </c>
      <c r="D1068" s="861" t="s">
        <v>371</v>
      </c>
      <c r="E1068" s="861"/>
      <c r="F1068" s="862"/>
      <c r="G1068" s="869">
        <v>3.5332570000000002E-3</v>
      </c>
      <c r="H1068" s="874">
        <v>16666776</v>
      </c>
      <c r="I1068" s="872" t="s">
        <v>5692</v>
      </c>
      <c r="J1068" s="862">
        <v>0.1</v>
      </c>
      <c r="K1068" s="868">
        <f t="shared" si="86"/>
        <v>316</v>
      </c>
      <c r="L1068" s="861"/>
      <c r="M1068" s="671">
        <f t="shared" si="87"/>
        <v>1066</v>
      </c>
      <c r="N1068" s="671" t="str">
        <f t="shared" si="88"/>
        <v>N/A</v>
      </c>
      <c r="O1068" s="671">
        <f t="shared" si="89"/>
        <v>495</v>
      </c>
      <c r="P1068" s="861" t="s">
        <v>5693</v>
      </c>
      <c r="Q1068" s="861" t="s">
        <v>5694</v>
      </c>
      <c r="R1068" s="861"/>
      <c r="S1068" s="861" t="s">
        <v>2349</v>
      </c>
      <c r="T1068" s="866" t="s">
        <v>5695</v>
      </c>
      <c r="U1068" s="865"/>
    </row>
    <row r="1069" spans="1:21" ht="15">
      <c r="A1069" s="857"/>
      <c r="B1069" s="861" t="s">
        <v>5696</v>
      </c>
      <c r="C1069" s="861" t="s">
        <v>5697</v>
      </c>
      <c r="D1069" s="861" t="s">
        <v>371</v>
      </c>
      <c r="E1069" s="861"/>
      <c r="F1069" s="862"/>
      <c r="G1069" s="869">
        <v>1.5056017349999999</v>
      </c>
      <c r="H1069" s="874">
        <v>16641297.35</v>
      </c>
      <c r="I1069" s="872" t="s">
        <v>5698</v>
      </c>
      <c r="J1069" s="862">
        <v>0.152</v>
      </c>
      <c r="K1069" s="868">
        <f t="shared" si="86"/>
        <v>316</v>
      </c>
      <c r="L1069" s="861" t="s">
        <v>570</v>
      </c>
      <c r="M1069" s="671">
        <f t="shared" si="87"/>
        <v>1067</v>
      </c>
      <c r="N1069" s="671" t="str">
        <f t="shared" si="88"/>
        <v>N/A</v>
      </c>
      <c r="O1069" s="671">
        <f t="shared" si="89"/>
        <v>333</v>
      </c>
      <c r="P1069" s="861" t="s">
        <v>2195</v>
      </c>
      <c r="Q1069" s="861" t="s">
        <v>5699</v>
      </c>
      <c r="R1069" s="861" t="s">
        <v>5700</v>
      </c>
      <c r="S1069" s="861" t="s">
        <v>5701</v>
      </c>
      <c r="T1069" s="866" t="s">
        <v>5702</v>
      </c>
      <c r="U1069" s="865"/>
    </row>
    <row r="1070" spans="1:21" ht="15">
      <c r="A1070" s="672"/>
      <c r="B1070" s="861" t="s">
        <v>5703</v>
      </c>
      <c r="C1070" s="861" t="s">
        <v>5704</v>
      </c>
      <c r="D1070" s="861" t="s">
        <v>371</v>
      </c>
      <c r="E1070" s="861"/>
      <c r="F1070" s="862"/>
      <c r="G1070" s="869">
        <v>3.1343734150000002</v>
      </c>
      <c r="H1070" s="874">
        <v>16627727.029999999</v>
      </c>
      <c r="I1070" s="871"/>
      <c r="J1070" s="863" t="s">
        <v>5705</v>
      </c>
      <c r="K1070" s="868">
        <f t="shared" si="86"/>
        <v>316</v>
      </c>
      <c r="L1070" s="861"/>
      <c r="M1070" s="671">
        <f t="shared" si="87"/>
        <v>1068</v>
      </c>
      <c r="N1070" s="671" t="str">
        <f t="shared" si="88"/>
        <v>N/A</v>
      </c>
      <c r="O1070" s="671" t="str">
        <f t="shared" si="89"/>
        <v>N/A</v>
      </c>
      <c r="P1070" s="861"/>
      <c r="Q1070" s="861"/>
      <c r="R1070" s="861"/>
      <c r="S1070" s="861"/>
      <c r="T1070" s="866"/>
      <c r="U1070" s="865"/>
    </row>
    <row r="1071" spans="1:21" ht="15">
      <c r="A1071" s="857"/>
      <c r="B1071" s="861" t="s">
        <v>5706</v>
      </c>
      <c r="C1071" s="861" t="s">
        <v>5707</v>
      </c>
      <c r="D1071" s="861" t="s">
        <v>371</v>
      </c>
      <c r="E1071" s="861"/>
      <c r="F1071" s="862"/>
      <c r="G1071" s="870" t="s">
        <v>5708</v>
      </c>
      <c r="H1071" s="874">
        <v>16583842.76</v>
      </c>
      <c r="I1071" s="871"/>
      <c r="J1071" s="863" t="s">
        <v>5709</v>
      </c>
      <c r="K1071" s="868">
        <f t="shared" si="86"/>
        <v>316</v>
      </c>
      <c r="L1071" s="861"/>
      <c r="M1071" s="671">
        <f t="shared" si="87"/>
        <v>1069</v>
      </c>
      <c r="N1071" s="671" t="str">
        <f t="shared" si="88"/>
        <v>N/A</v>
      </c>
      <c r="O1071" s="671" t="str">
        <f t="shared" si="89"/>
        <v>N/A</v>
      </c>
      <c r="P1071" s="861"/>
      <c r="Q1071" s="861"/>
      <c r="R1071" s="861"/>
      <c r="S1071" s="861" t="s">
        <v>5710</v>
      </c>
      <c r="T1071" s="866"/>
      <c r="U1071" s="865"/>
    </row>
    <row r="1072" spans="1:21" ht="15">
      <c r="A1072" s="672"/>
      <c r="B1072" s="861" t="s">
        <v>5711</v>
      </c>
      <c r="C1072" s="861" t="s">
        <v>5712</v>
      </c>
      <c r="D1072" s="861" t="s">
        <v>371</v>
      </c>
      <c r="E1072" s="861"/>
      <c r="F1072" s="862"/>
      <c r="G1072" s="870" t="s">
        <v>5713</v>
      </c>
      <c r="H1072" s="874">
        <v>16540611.859999999</v>
      </c>
      <c r="I1072" s="871"/>
      <c r="J1072" s="861"/>
      <c r="K1072" s="868">
        <f t="shared" si="86"/>
        <v>316</v>
      </c>
      <c r="L1072" s="861"/>
      <c r="M1072" s="671">
        <f t="shared" si="87"/>
        <v>1070</v>
      </c>
      <c r="N1072" s="671" t="str">
        <f t="shared" si="88"/>
        <v>N/A</v>
      </c>
      <c r="O1072" s="671">
        <f t="shared" si="89"/>
        <v>708</v>
      </c>
      <c r="P1072" s="861" t="s">
        <v>468</v>
      </c>
      <c r="Q1072" s="861" t="s">
        <v>5714</v>
      </c>
      <c r="R1072" s="861"/>
      <c r="S1072" s="861" t="s">
        <v>5715</v>
      </c>
      <c r="T1072" s="866" t="s">
        <v>5716</v>
      </c>
      <c r="U1072" s="865"/>
    </row>
    <row r="1073" spans="1:21" ht="15">
      <c r="A1073" s="857"/>
      <c r="B1073" s="861" t="s">
        <v>5717</v>
      </c>
      <c r="C1073" s="861" t="s">
        <v>5718</v>
      </c>
      <c r="D1073" s="861" t="s">
        <v>371</v>
      </c>
      <c r="E1073" s="861"/>
      <c r="F1073" s="862"/>
      <c r="G1073" s="870" t="s">
        <v>5719</v>
      </c>
      <c r="H1073" s="874">
        <v>16506414.890000001</v>
      </c>
      <c r="I1073" s="871"/>
      <c r="J1073" s="862">
        <v>0.156</v>
      </c>
      <c r="K1073" s="868">
        <f t="shared" si="86"/>
        <v>316</v>
      </c>
      <c r="L1073" s="861" t="s">
        <v>2420</v>
      </c>
      <c r="M1073" s="671">
        <f t="shared" si="87"/>
        <v>1071</v>
      </c>
      <c r="N1073" s="671" t="str">
        <f t="shared" si="88"/>
        <v>N/A</v>
      </c>
      <c r="O1073" s="671">
        <f t="shared" si="89"/>
        <v>326</v>
      </c>
      <c r="P1073" s="861" t="s">
        <v>5720</v>
      </c>
      <c r="Q1073" s="861" t="s">
        <v>5721</v>
      </c>
      <c r="R1073" s="861" t="s">
        <v>3324</v>
      </c>
      <c r="S1073" s="861" t="s">
        <v>5722</v>
      </c>
      <c r="T1073" s="866" t="s">
        <v>5723</v>
      </c>
      <c r="U1073" s="865"/>
    </row>
    <row r="1074" spans="1:21" ht="15">
      <c r="A1074" s="672"/>
      <c r="B1074" s="861" t="s">
        <v>5724</v>
      </c>
      <c r="C1074" s="861" t="s">
        <v>5725</v>
      </c>
      <c r="D1074" s="861" t="s">
        <v>371</v>
      </c>
      <c r="E1074" s="861"/>
      <c r="F1074" s="862"/>
      <c r="G1074" s="869">
        <v>9.1901966539999993</v>
      </c>
      <c r="H1074" s="874">
        <v>16463360.550000001</v>
      </c>
      <c r="I1074" s="871"/>
      <c r="J1074" s="862">
        <v>2.5999999999999999E-2</v>
      </c>
      <c r="K1074" s="868">
        <f t="shared" si="86"/>
        <v>316</v>
      </c>
      <c r="L1074" s="863" t="s">
        <v>5726</v>
      </c>
      <c r="M1074" s="671">
        <f t="shared" si="87"/>
        <v>1072</v>
      </c>
      <c r="N1074" s="671" t="str">
        <f t="shared" si="88"/>
        <v>N/A</v>
      </c>
      <c r="O1074" s="671">
        <f t="shared" si="89"/>
        <v>658</v>
      </c>
      <c r="P1074" s="861" t="s">
        <v>1989</v>
      </c>
      <c r="Q1074" s="861"/>
      <c r="R1074" s="863" t="s">
        <v>3935</v>
      </c>
      <c r="S1074" s="861" t="s">
        <v>5727</v>
      </c>
      <c r="T1074" s="866" t="s">
        <v>5728</v>
      </c>
      <c r="U1074" s="865"/>
    </row>
    <row r="1075" spans="1:21" ht="15">
      <c r="A1075" s="857"/>
      <c r="B1075" s="861" t="s">
        <v>5729</v>
      </c>
      <c r="C1075" s="861" t="s">
        <v>5730</v>
      </c>
      <c r="D1075" s="861" t="s">
        <v>371</v>
      </c>
      <c r="E1075" s="861"/>
      <c r="F1075" s="862"/>
      <c r="G1075" s="869">
        <v>0</v>
      </c>
      <c r="H1075" s="874">
        <v>16402312.5</v>
      </c>
      <c r="I1075" s="871">
        <v>104.66</v>
      </c>
      <c r="J1075" s="863" t="s">
        <v>5731</v>
      </c>
      <c r="K1075" s="868">
        <f t="shared" si="86"/>
        <v>316</v>
      </c>
      <c r="L1075" s="861"/>
      <c r="M1075" s="671">
        <f t="shared" si="87"/>
        <v>1073</v>
      </c>
      <c r="N1075" s="671">
        <f t="shared" si="88"/>
        <v>28</v>
      </c>
      <c r="O1075" s="671" t="str">
        <f t="shared" si="89"/>
        <v>N/A</v>
      </c>
      <c r="P1075" s="861" t="s">
        <v>3901</v>
      </c>
      <c r="Q1075" s="861"/>
      <c r="R1075" s="861"/>
      <c r="S1075" s="861" t="s">
        <v>1645</v>
      </c>
      <c r="T1075" s="866" t="s">
        <v>5732</v>
      </c>
      <c r="U1075" s="865"/>
    </row>
    <row r="1076" spans="1:21" ht="15">
      <c r="A1076" s="672"/>
      <c r="B1076" s="861" t="s">
        <v>5733</v>
      </c>
      <c r="C1076" s="861" t="s">
        <v>5734</v>
      </c>
      <c r="D1076" s="861" t="s">
        <v>371</v>
      </c>
      <c r="E1076" s="861"/>
      <c r="F1076" s="862"/>
      <c r="G1076" s="870" t="s">
        <v>5735</v>
      </c>
      <c r="H1076" s="874">
        <v>16201039.65</v>
      </c>
      <c r="I1076" s="871"/>
      <c r="J1076" s="863"/>
      <c r="K1076" s="868">
        <f t="shared" si="86"/>
        <v>316</v>
      </c>
      <c r="L1076" s="861" t="s">
        <v>2497</v>
      </c>
      <c r="M1076" s="671">
        <f t="shared" si="87"/>
        <v>1074</v>
      </c>
      <c r="N1076" s="671" t="str">
        <f t="shared" si="88"/>
        <v>N/A</v>
      </c>
      <c r="O1076" s="671">
        <f t="shared" si="89"/>
        <v>708</v>
      </c>
      <c r="P1076" s="861" t="s">
        <v>5736</v>
      </c>
      <c r="Q1076" s="861"/>
      <c r="R1076" s="861" t="s">
        <v>1560</v>
      </c>
      <c r="S1076" s="861" t="s">
        <v>5737</v>
      </c>
      <c r="T1076" s="866" t="s">
        <v>5738</v>
      </c>
      <c r="U1076" s="865"/>
    </row>
    <row r="1077" spans="1:21" ht="15">
      <c r="A1077" s="857"/>
      <c r="B1077" s="861" t="s">
        <v>5739</v>
      </c>
      <c r="C1077" s="861" t="s">
        <v>5740</v>
      </c>
      <c r="D1077" s="861" t="s">
        <v>371</v>
      </c>
      <c r="E1077" s="861"/>
      <c r="F1077" s="862"/>
      <c r="G1077" s="870" t="s">
        <v>5741</v>
      </c>
      <c r="H1077" s="874">
        <v>16060803.75</v>
      </c>
      <c r="I1077" s="871"/>
      <c r="J1077" s="863" t="s">
        <v>1432</v>
      </c>
      <c r="K1077" s="868">
        <f t="shared" si="86"/>
        <v>316</v>
      </c>
      <c r="L1077" s="861"/>
      <c r="M1077" s="671">
        <f t="shared" si="87"/>
        <v>1075</v>
      </c>
      <c r="N1077" s="671" t="str">
        <f t="shared" si="88"/>
        <v>N/A</v>
      </c>
      <c r="O1077" s="671" t="str">
        <f t="shared" si="89"/>
        <v>N/A</v>
      </c>
      <c r="P1077" s="861" t="s">
        <v>2195</v>
      </c>
      <c r="Q1077" s="861"/>
      <c r="R1077" s="861"/>
      <c r="S1077" s="861" t="s">
        <v>833</v>
      </c>
      <c r="T1077" s="866" t="s">
        <v>5742</v>
      </c>
      <c r="U1077" s="865"/>
    </row>
    <row r="1078" spans="1:21" ht="15">
      <c r="A1078" s="672"/>
      <c r="B1078" s="861" t="s">
        <v>5743</v>
      </c>
      <c r="C1078" s="861" t="s">
        <v>5744</v>
      </c>
      <c r="D1078" s="861" t="s">
        <v>371</v>
      </c>
      <c r="E1078" s="861"/>
      <c r="F1078" s="862"/>
      <c r="G1078" s="869">
        <v>0</v>
      </c>
      <c r="H1078" s="874">
        <v>16052420.65</v>
      </c>
      <c r="I1078" s="871"/>
      <c r="J1078" s="862">
        <v>0.17799999999999999</v>
      </c>
      <c r="K1078" s="868">
        <f t="shared" si="86"/>
        <v>316</v>
      </c>
      <c r="L1078" s="861" t="s">
        <v>3370</v>
      </c>
      <c r="M1078" s="671">
        <f t="shared" si="87"/>
        <v>1076</v>
      </c>
      <c r="N1078" s="671" t="str">
        <f t="shared" si="88"/>
        <v>N/A</v>
      </c>
      <c r="O1078" s="671">
        <f t="shared" si="89"/>
        <v>294</v>
      </c>
      <c r="P1078" s="861" t="s">
        <v>1807</v>
      </c>
      <c r="Q1078" s="861" t="s">
        <v>4548</v>
      </c>
      <c r="R1078" s="861" t="s">
        <v>4172</v>
      </c>
      <c r="S1078" s="861" t="s">
        <v>5567</v>
      </c>
      <c r="T1078" s="866" t="s">
        <v>5745</v>
      </c>
      <c r="U1078" s="865"/>
    </row>
    <row r="1079" spans="1:21" ht="15">
      <c r="A1079" s="857"/>
      <c r="B1079" s="861" t="s">
        <v>5746</v>
      </c>
      <c r="C1079" s="861" t="s">
        <v>5747</v>
      </c>
      <c r="D1079" s="861" t="s">
        <v>371</v>
      </c>
      <c r="E1079" s="861"/>
      <c r="F1079" s="862">
        <v>-0.214</v>
      </c>
      <c r="G1079" s="869">
        <v>30.950561799999999</v>
      </c>
      <c r="H1079" s="874">
        <v>16000553.93</v>
      </c>
      <c r="I1079" s="871">
        <v>31.29</v>
      </c>
      <c r="J1079" s="863" t="s">
        <v>4359</v>
      </c>
      <c r="K1079" s="868">
        <f t="shared" si="86"/>
        <v>420</v>
      </c>
      <c r="L1079" s="863" t="s">
        <v>5748</v>
      </c>
      <c r="M1079" s="671">
        <f t="shared" si="87"/>
        <v>1077</v>
      </c>
      <c r="N1079" s="671">
        <f t="shared" si="88"/>
        <v>140</v>
      </c>
      <c r="O1079" s="671" t="str">
        <f t="shared" si="89"/>
        <v>N/A</v>
      </c>
      <c r="P1079" s="861" t="s">
        <v>478</v>
      </c>
      <c r="Q1079" s="861"/>
      <c r="R1079" s="861"/>
      <c r="S1079" s="861" t="s">
        <v>454</v>
      </c>
      <c r="T1079" s="866" t="s">
        <v>5749</v>
      </c>
      <c r="U1079" s="865"/>
    </row>
    <row r="1080" spans="1:21" ht="15">
      <c r="A1080" s="672"/>
      <c r="B1080" s="861" t="s">
        <v>5750</v>
      </c>
      <c r="C1080" s="861" t="s">
        <v>5751</v>
      </c>
      <c r="D1080" s="861" t="s">
        <v>371</v>
      </c>
      <c r="E1080" s="861"/>
      <c r="F1080" s="862"/>
      <c r="G1080" s="870" t="s">
        <v>5752</v>
      </c>
      <c r="H1080" s="874">
        <v>15991657.99</v>
      </c>
      <c r="I1080" s="871"/>
      <c r="J1080" s="863" t="s">
        <v>1480</v>
      </c>
      <c r="K1080" s="868">
        <f t="shared" si="86"/>
        <v>316</v>
      </c>
      <c r="L1080" s="861"/>
      <c r="M1080" s="671">
        <f t="shared" si="87"/>
        <v>1078</v>
      </c>
      <c r="N1080" s="671" t="str">
        <f t="shared" si="88"/>
        <v>N/A</v>
      </c>
      <c r="O1080" s="671" t="str">
        <f t="shared" si="89"/>
        <v>N/A</v>
      </c>
      <c r="P1080" s="861" t="s">
        <v>972</v>
      </c>
      <c r="Q1080" s="861" t="s">
        <v>5753</v>
      </c>
      <c r="R1080" s="861"/>
      <c r="S1080" s="861" t="s">
        <v>1490</v>
      </c>
      <c r="T1080" s="866" t="s">
        <v>5754</v>
      </c>
      <c r="U1080" s="865"/>
    </row>
    <row r="1081" spans="1:21" ht="15">
      <c r="A1081" s="857"/>
      <c r="B1081" s="861" t="s">
        <v>5755</v>
      </c>
      <c r="C1081" s="861" t="s">
        <v>5756</v>
      </c>
      <c r="D1081" s="861" t="s">
        <v>371</v>
      </c>
      <c r="E1081" s="861"/>
      <c r="F1081" s="862"/>
      <c r="G1081" s="870" t="s">
        <v>5757</v>
      </c>
      <c r="H1081" s="874">
        <v>15991006.15</v>
      </c>
      <c r="I1081" s="871"/>
      <c r="J1081" s="862">
        <v>0.20200000000000001</v>
      </c>
      <c r="K1081" s="868">
        <f t="shared" si="86"/>
        <v>316</v>
      </c>
      <c r="L1081" s="861"/>
      <c r="M1081" s="671">
        <f t="shared" si="87"/>
        <v>1079</v>
      </c>
      <c r="N1081" s="671" t="str">
        <f t="shared" si="88"/>
        <v>N/A</v>
      </c>
      <c r="O1081" s="671">
        <f t="shared" si="89"/>
        <v>249</v>
      </c>
      <c r="P1081" s="861"/>
      <c r="Q1081" s="861"/>
      <c r="R1081" s="861"/>
      <c r="S1081" s="861" t="s">
        <v>460</v>
      </c>
      <c r="T1081" s="866" t="s">
        <v>5758</v>
      </c>
      <c r="U1081" s="865"/>
    </row>
    <row r="1082" spans="1:21" ht="15">
      <c r="A1082" s="672"/>
      <c r="B1082" s="861" t="s">
        <v>5759</v>
      </c>
      <c r="C1082" s="861" t="s">
        <v>5760</v>
      </c>
      <c r="D1082" s="861" t="s">
        <v>371</v>
      </c>
      <c r="E1082" s="861"/>
      <c r="F1082" s="862"/>
      <c r="G1082" s="870" t="s">
        <v>5761</v>
      </c>
      <c r="H1082" s="874">
        <v>15924780.91</v>
      </c>
      <c r="I1082" s="871"/>
      <c r="J1082" s="862">
        <v>0.107</v>
      </c>
      <c r="K1082" s="868">
        <f t="shared" si="86"/>
        <v>316</v>
      </c>
      <c r="L1082" s="861"/>
      <c r="M1082" s="671">
        <f t="shared" si="87"/>
        <v>1080</v>
      </c>
      <c r="N1082" s="671" t="str">
        <f t="shared" si="88"/>
        <v>N/A</v>
      </c>
      <c r="O1082" s="671">
        <f t="shared" si="89"/>
        <v>466</v>
      </c>
      <c r="P1082" s="861" t="s">
        <v>3185</v>
      </c>
      <c r="Q1082" s="861" t="s">
        <v>5762</v>
      </c>
      <c r="R1082" s="861"/>
      <c r="S1082" s="861" t="s">
        <v>5763</v>
      </c>
      <c r="T1082" s="866" t="s">
        <v>5764</v>
      </c>
      <c r="U1082" s="865"/>
    </row>
    <row r="1083" spans="1:21" ht="15">
      <c r="A1083" s="857"/>
      <c r="B1083" s="861" t="s">
        <v>5765</v>
      </c>
      <c r="C1083" s="861" t="s">
        <v>5766</v>
      </c>
      <c r="D1083" s="861" t="s">
        <v>371</v>
      </c>
      <c r="E1083" s="861"/>
      <c r="F1083" s="862"/>
      <c r="G1083" s="869">
        <v>4.2162472009999998</v>
      </c>
      <c r="H1083" s="874">
        <v>15822772.869999999</v>
      </c>
      <c r="I1083" s="871"/>
      <c r="J1083" s="863"/>
      <c r="K1083" s="868">
        <f t="shared" si="86"/>
        <v>316</v>
      </c>
      <c r="L1083" s="861"/>
      <c r="M1083" s="671">
        <f t="shared" si="87"/>
        <v>1081</v>
      </c>
      <c r="N1083" s="671" t="str">
        <f t="shared" si="88"/>
        <v>N/A</v>
      </c>
      <c r="O1083" s="671">
        <f t="shared" si="89"/>
        <v>708</v>
      </c>
      <c r="P1083" s="861" t="s">
        <v>2792</v>
      </c>
      <c r="Q1083" s="861" t="s">
        <v>5767</v>
      </c>
      <c r="R1083" s="863" t="s">
        <v>5768</v>
      </c>
      <c r="S1083" s="861" t="s">
        <v>5769</v>
      </c>
      <c r="T1083" s="866" t="s">
        <v>5770</v>
      </c>
      <c r="U1083" s="865"/>
    </row>
    <row r="1084" spans="1:21" ht="15">
      <c r="A1084" s="672"/>
      <c r="B1084" s="861" t="s">
        <v>5771</v>
      </c>
      <c r="C1084" s="861" t="s">
        <v>5772</v>
      </c>
      <c r="D1084" s="861" t="s">
        <v>371</v>
      </c>
      <c r="E1084" s="861"/>
      <c r="F1084" s="862"/>
      <c r="G1084" s="870" t="s">
        <v>5773</v>
      </c>
      <c r="H1084" s="874">
        <v>15706916.26</v>
      </c>
      <c r="I1084" s="871"/>
      <c r="J1084" s="863" t="s">
        <v>5774</v>
      </c>
      <c r="K1084" s="868">
        <f t="shared" si="86"/>
        <v>316</v>
      </c>
      <c r="L1084" s="861"/>
      <c r="M1084" s="671">
        <f t="shared" si="87"/>
        <v>1082</v>
      </c>
      <c r="N1084" s="671" t="str">
        <f t="shared" si="88"/>
        <v>N/A</v>
      </c>
      <c r="O1084" s="671" t="str">
        <f t="shared" si="89"/>
        <v>N/A</v>
      </c>
      <c r="P1084" s="861"/>
      <c r="Q1084" s="861"/>
      <c r="R1084" s="861"/>
      <c r="S1084" s="861"/>
      <c r="T1084" s="866" t="s">
        <v>5775</v>
      </c>
      <c r="U1084" s="865"/>
    </row>
    <row r="1085" spans="1:21" ht="15">
      <c r="A1085" s="857"/>
      <c r="B1085" s="861" t="s">
        <v>5776</v>
      </c>
      <c r="C1085" s="861" t="s">
        <v>5777</v>
      </c>
      <c r="D1085" s="861" t="s">
        <v>371</v>
      </c>
      <c r="E1085" s="861"/>
      <c r="F1085" s="862"/>
      <c r="G1085" s="870" t="s">
        <v>5778</v>
      </c>
      <c r="H1085" s="874">
        <v>15655913.52</v>
      </c>
      <c r="I1085" s="871"/>
      <c r="J1085" s="863" t="s">
        <v>1841</v>
      </c>
      <c r="K1085" s="868">
        <f t="shared" si="86"/>
        <v>316</v>
      </c>
      <c r="L1085" s="861" t="s">
        <v>473</v>
      </c>
      <c r="M1085" s="671">
        <f t="shared" si="87"/>
        <v>1083</v>
      </c>
      <c r="N1085" s="671" t="str">
        <f t="shared" si="88"/>
        <v>N/A</v>
      </c>
      <c r="O1085" s="671" t="str">
        <f t="shared" si="89"/>
        <v>N/A</v>
      </c>
      <c r="P1085" s="861" t="s">
        <v>2497</v>
      </c>
      <c r="Q1085" s="861"/>
      <c r="R1085" s="863" t="s">
        <v>1768</v>
      </c>
      <c r="S1085" s="861" t="s">
        <v>601</v>
      </c>
      <c r="T1085" s="866" t="s">
        <v>5779</v>
      </c>
      <c r="U1085" s="865"/>
    </row>
    <row r="1086" spans="1:21" ht="15">
      <c r="A1086" s="672"/>
      <c r="B1086" s="861" t="s">
        <v>5780</v>
      </c>
      <c r="C1086" s="861" t="s">
        <v>5781</v>
      </c>
      <c r="D1086" s="861" t="s">
        <v>371</v>
      </c>
      <c r="E1086" s="861"/>
      <c r="F1086" s="862"/>
      <c r="G1086" s="870" t="s">
        <v>5782</v>
      </c>
      <c r="H1086" s="874">
        <v>15649930.98</v>
      </c>
      <c r="I1086" s="871"/>
      <c r="J1086" s="862">
        <v>0.52900000000000003</v>
      </c>
      <c r="K1086" s="868">
        <f t="shared" si="86"/>
        <v>316</v>
      </c>
      <c r="L1086" s="861"/>
      <c r="M1086" s="671">
        <f t="shared" si="87"/>
        <v>1084</v>
      </c>
      <c r="N1086" s="671" t="str">
        <f t="shared" si="88"/>
        <v>N/A</v>
      </c>
      <c r="O1086" s="671">
        <f t="shared" si="89"/>
        <v>18</v>
      </c>
      <c r="P1086" s="861" t="s">
        <v>2068</v>
      </c>
      <c r="Q1086" s="861"/>
      <c r="R1086" s="861"/>
      <c r="S1086" s="861" t="s">
        <v>563</v>
      </c>
      <c r="T1086" s="866" t="s">
        <v>5783</v>
      </c>
      <c r="U1086" s="865"/>
    </row>
    <row r="1087" spans="1:21" ht="15">
      <c r="A1087" s="857"/>
      <c r="B1087" s="861" t="s">
        <v>5784</v>
      </c>
      <c r="C1087" s="861" t="s">
        <v>5785</v>
      </c>
      <c r="D1087" s="861" t="s">
        <v>371</v>
      </c>
      <c r="E1087" s="861"/>
      <c r="F1087" s="862"/>
      <c r="G1087" s="869">
        <v>0</v>
      </c>
      <c r="H1087" s="874">
        <v>15629324.279999999</v>
      </c>
      <c r="I1087" s="871"/>
      <c r="J1087" s="863" t="s">
        <v>715</v>
      </c>
      <c r="K1087" s="868">
        <f t="shared" si="86"/>
        <v>316</v>
      </c>
      <c r="L1087" s="863" t="s">
        <v>5786</v>
      </c>
      <c r="M1087" s="671">
        <f t="shared" si="87"/>
        <v>1085</v>
      </c>
      <c r="N1087" s="671" t="str">
        <f t="shared" si="88"/>
        <v>N/A</v>
      </c>
      <c r="O1087" s="671" t="str">
        <f t="shared" si="89"/>
        <v>N/A</v>
      </c>
      <c r="P1087" s="861" t="s">
        <v>5787</v>
      </c>
      <c r="Q1087" s="861"/>
      <c r="R1087" s="863" t="s">
        <v>5788</v>
      </c>
      <c r="S1087" s="861" t="s">
        <v>1081</v>
      </c>
      <c r="T1087" s="866" t="s">
        <v>5789</v>
      </c>
      <c r="U1087" s="865"/>
    </row>
    <row r="1088" spans="1:21" ht="15">
      <c r="A1088" s="672"/>
      <c r="B1088" s="861" t="s">
        <v>5790</v>
      </c>
      <c r="C1088" s="861" t="s">
        <v>5791</v>
      </c>
      <c r="D1088" s="861" t="s">
        <v>371</v>
      </c>
      <c r="E1088" s="861"/>
      <c r="F1088" s="862"/>
      <c r="G1088" s="870" t="s">
        <v>5792</v>
      </c>
      <c r="H1088" s="874">
        <v>15523964.24</v>
      </c>
      <c r="I1088" s="871"/>
      <c r="J1088" s="861"/>
      <c r="K1088" s="868">
        <f t="shared" si="86"/>
        <v>316</v>
      </c>
      <c r="L1088" s="861"/>
      <c r="M1088" s="671">
        <f t="shared" si="87"/>
        <v>1086</v>
      </c>
      <c r="N1088" s="671" t="str">
        <f t="shared" si="88"/>
        <v>N/A</v>
      </c>
      <c r="O1088" s="671">
        <f t="shared" si="89"/>
        <v>708</v>
      </c>
      <c r="P1088" s="861" t="s">
        <v>5793</v>
      </c>
      <c r="Q1088" s="861"/>
      <c r="R1088" s="861"/>
      <c r="S1088" s="861" t="s">
        <v>4490</v>
      </c>
      <c r="T1088" s="866" t="s">
        <v>5794</v>
      </c>
      <c r="U1088" s="865"/>
    </row>
    <row r="1089" spans="1:21" ht="15">
      <c r="A1089" s="857"/>
      <c r="B1089" s="861" t="s">
        <v>5795</v>
      </c>
      <c r="C1089" s="861" t="s">
        <v>5796</v>
      </c>
      <c r="D1089" s="861" t="s">
        <v>371</v>
      </c>
      <c r="E1089" s="861"/>
      <c r="F1089" s="862">
        <v>0.22900000000000001</v>
      </c>
      <c r="G1089" s="870" t="s">
        <v>5797</v>
      </c>
      <c r="H1089" s="874">
        <v>15510558</v>
      </c>
      <c r="I1089" s="871"/>
      <c r="J1089" s="863"/>
      <c r="K1089" s="868">
        <f t="shared" si="86"/>
        <v>79</v>
      </c>
      <c r="L1089" s="861" t="s">
        <v>2515</v>
      </c>
      <c r="M1089" s="671">
        <f t="shared" si="87"/>
        <v>1087</v>
      </c>
      <c r="N1089" s="671" t="str">
        <f t="shared" si="88"/>
        <v>N/A</v>
      </c>
      <c r="O1089" s="671">
        <f t="shared" si="89"/>
        <v>708</v>
      </c>
      <c r="P1089" s="861" t="s">
        <v>5798</v>
      </c>
      <c r="Q1089" s="861"/>
      <c r="R1089" s="863" t="s">
        <v>5178</v>
      </c>
      <c r="S1089" s="861" t="s">
        <v>5799</v>
      </c>
      <c r="T1089" s="866" t="s">
        <v>5800</v>
      </c>
      <c r="U1089" s="865"/>
    </row>
    <row r="1090" spans="1:21" ht="15">
      <c r="A1090" s="672"/>
      <c r="B1090" s="861" t="s">
        <v>5801</v>
      </c>
      <c r="C1090" s="861" t="s">
        <v>5802</v>
      </c>
      <c r="D1090" s="861" t="s">
        <v>371</v>
      </c>
      <c r="E1090" s="861"/>
      <c r="F1090" s="862"/>
      <c r="G1090" s="870" t="s">
        <v>5803</v>
      </c>
      <c r="H1090" s="874">
        <v>15489569.01</v>
      </c>
      <c r="I1090" s="871"/>
      <c r="J1090" s="863" t="s">
        <v>5804</v>
      </c>
      <c r="K1090" s="868">
        <f t="shared" si="86"/>
        <v>316</v>
      </c>
      <c r="L1090" s="861" t="s">
        <v>1000</v>
      </c>
      <c r="M1090" s="671">
        <f t="shared" si="87"/>
        <v>1088</v>
      </c>
      <c r="N1090" s="671" t="str">
        <f t="shared" si="88"/>
        <v>N/A</v>
      </c>
      <c r="O1090" s="671" t="str">
        <f t="shared" si="89"/>
        <v>N/A</v>
      </c>
      <c r="P1090" s="861" t="s">
        <v>5805</v>
      </c>
      <c r="Q1090" s="861" t="s">
        <v>5806</v>
      </c>
      <c r="R1090" s="861" t="s">
        <v>1659</v>
      </c>
      <c r="S1090" s="861" t="s">
        <v>5807</v>
      </c>
      <c r="T1090" s="866" t="s">
        <v>5808</v>
      </c>
      <c r="U1090" s="865"/>
    </row>
    <row r="1091" spans="1:21" ht="15">
      <c r="A1091" s="857"/>
      <c r="B1091" s="861" t="s">
        <v>5809</v>
      </c>
      <c r="C1091" s="861" t="s">
        <v>5810</v>
      </c>
      <c r="D1091" s="861" t="s">
        <v>371</v>
      </c>
      <c r="E1091" s="861"/>
      <c r="F1091" s="862"/>
      <c r="G1091" s="870" t="s">
        <v>5811</v>
      </c>
      <c r="H1091" s="874">
        <v>15401595.99</v>
      </c>
      <c r="I1091" s="871"/>
      <c r="J1091" s="863" t="s">
        <v>5812</v>
      </c>
      <c r="K1091" s="868">
        <f t="shared" si="86"/>
        <v>316</v>
      </c>
      <c r="L1091" s="861" t="s">
        <v>3345</v>
      </c>
      <c r="M1091" s="671">
        <f t="shared" si="87"/>
        <v>1089</v>
      </c>
      <c r="N1091" s="671" t="str">
        <f t="shared" si="88"/>
        <v>N/A</v>
      </c>
      <c r="O1091" s="671" t="str">
        <f t="shared" si="89"/>
        <v>N/A</v>
      </c>
      <c r="P1091" s="861" t="s">
        <v>5813</v>
      </c>
      <c r="Q1091" s="861" t="s">
        <v>5814</v>
      </c>
      <c r="R1091" s="861" t="s">
        <v>1122</v>
      </c>
      <c r="S1091" s="861" t="s">
        <v>5815</v>
      </c>
      <c r="T1091" s="866" t="s">
        <v>5816</v>
      </c>
      <c r="U1091" s="865"/>
    </row>
    <row r="1092" spans="1:21" ht="15">
      <c r="A1092" s="672"/>
      <c r="B1092" s="861" t="s">
        <v>5817</v>
      </c>
      <c r="C1092" s="861" t="s">
        <v>5818</v>
      </c>
      <c r="D1092" s="861" t="s">
        <v>371</v>
      </c>
      <c r="E1092" s="861"/>
      <c r="F1092" s="862"/>
      <c r="G1092" s="870" t="s">
        <v>5819</v>
      </c>
      <c r="H1092" s="874">
        <v>15399837.08</v>
      </c>
      <c r="I1092" s="871">
        <v>44.05</v>
      </c>
      <c r="J1092" s="863" t="s">
        <v>1025</v>
      </c>
      <c r="K1092" s="868">
        <f t="shared" ref="K1092:K1155" si="90">IFERROR(_xlfn.RANK.EQ(F1092,F$3:F$1770),"N/A")</f>
        <v>316</v>
      </c>
      <c r="L1092" s="861"/>
      <c r="M1092" s="671">
        <f t="shared" ref="M1092:M1155" si="91">IFERROR(_xlfn.RANK.EQ(H1092,H$3:H$1770),"N/A")</f>
        <v>1090</v>
      </c>
      <c r="N1092" s="671">
        <f t="shared" ref="N1092:N1155" si="92">IFERROR(_xlfn.RANK.EQ(I1092,I$3:I$1770),"N/A")</f>
        <v>99</v>
      </c>
      <c r="O1092" s="671" t="str">
        <f t="shared" ref="O1092:O1155" si="93">IFERROR(_xlfn.RANK.EQ(J1092,J$3:J$1770),"N/A")</f>
        <v>N/A</v>
      </c>
      <c r="P1092" s="861" t="s">
        <v>5820</v>
      </c>
      <c r="Q1092" s="861" t="s">
        <v>5821</v>
      </c>
      <c r="R1092" s="861"/>
      <c r="S1092" s="861" t="s">
        <v>3345</v>
      </c>
      <c r="T1092" s="866" t="s">
        <v>5822</v>
      </c>
      <c r="U1092" s="865"/>
    </row>
    <row r="1093" spans="1:21" ht="15">
      <c r="A1093" s="857"/>
      <c r="B1093" s="861" t="s">
        <v>5823</v>
      </c>
      <c r="C1093" s="861" t="s">
        <v>5824</v>
      </c>
      <c r="D1093" s="861" t="s">
        <v>371</v>
      </c>
      <c r="E1093" s="861"/>
      <c r="F1093" s="862"/>
      <c r="G1093" s="870" t="s">
        <v>5825</v>
      </c>
      <c r="H1093" s="874">
        <v>15234357.75</v>
      </c>
      <c r="I1093" s="872" t="s">
        <v>5826</v>
      </c>
      <c r="J1093" s="863" t="s">
        <v>5827</v>
      </c>
      <c r="K1093" s="868">
        <f t="shared" si="90"/>
        <v>316</v>
      </c>
      <c r="L1093" s="861"/>
      <c r="M1093" s="671">
        <f t="shared" si="91"/>
        <v>1091</v>
      </c>
      <c r="N1093" s="671" t="str">
        <f t="shared" si="92"/>
        <v>N/A</v>
      </c>
      <c r="O1093" s="671" t="str">
        <f t="shared" si="93"/>
        <v>N/A</v>
      </c>
      <c r="P1093" s="861" t="s">
        <v>784</v>
      </c>
      <c r="Q1093" s="861"/>
      <c r="R1093" s="863" t="s">
        <v>1984</v>
      </c>
      <c r="S1093" s="861" t="s">
        <v>5828</v>
      </c>
      <c r="T1093" s="866" t="s">
        <v>5829</v>
      </c>
      <c r="U1093" s="865"/>
    </row>
    <row r="1094" spans="1:21" ht="15">
      <c r="A1094" s="672"/>
      <c r="B1094" s="861" t="s">
        <v>5830</v>
      </c>
      <c r="C1094" s="861" t="s">
        <v>5831</v>
      </c>
      <c r="D1094" s="861" t="s">
        <v>371</v>
      </c>
      <c r="E1094" s="861"/>
      <c r="F1094" s="862"/>
      <c r="G1094" s="870" t="s">
        <v>5832</v>
      </c>
      <c r="H1094" s="874">
        <v>15153357.73</v>
      </c>
      <c r="I1094" s="871"/>
      <c r="J1094" s="863" t="s">
        <v>5833</v>
      </c>
      <c r="K1094" s="868">
        <f t="shared" si="90"/>
        <v>316</v>
      </c>
      <c r="L1094" s="861"/>
      <c r="M1094" s="671">
        <f t="shared" si="91"/>
        <v>1092</v>
      </c>
      <c r="N1094" s="671" t="str">
        <f t="shared" si="92"/>
        <v>N/A</v>
      </c>
      <c r="O1094" s="671" t="str">
        <f t="shared" si="93"/>
        <v>N/A</v>
      </c>
      <c r="P1094" s="863" t="s">
        <v>5786</v>
      </c>
      <c r="Q1094" s="861"/>
      <c r="R1094" s="861"/>
      <c r="S1094" s="861" t="s">
        <v>404</v>
      </c>
      <c r="T1094" s="866" t="s">
        <v>5834</v>
      </c>
      <c r="U1094" s="865"/>
    </row>
    <row r="1095" spans="1:21" ht="15">
      <c r="A1095" s="857"/>
      <c r="B1095" s="861" t="s">
        <v>5835</v>
      </c>
      <c r="C1095" s="861" t="s">
        <v>5836</v>
      </c>
      <c r="D1095" s="861" t="s">
        <v>371</v>
      </c>
      <c r="E1095" s="861"/>
      <c r="F1095" s="862">
        <v>-0.46100000000000002</v>
      </c>
      <c r="G1095" s="870" t="s">
        <v>5837</v>
      </c>
      <c r="H1095" s="874">
        <v>15071453.02</v>
      </c>
      <c r="I1095" s="871"/>
      <c r="J1095" s="863" t="s">
        <v>2044</v>
      </c>
      <c r="K1095" s="868">
        <f t="shared" si="90"/>
        <v>471</v>
      </c>
      <c r="L1095" s="861"/>
      <c r="M1095" s="671">
        <f t="shared" si="91"/>
        <v>1093</v>
      </c>
      <c r="N1095" s="671" t="str">
        <f t="shared" si="92"/>
        <v>N/A</v>
      </c>
      <c r="O1095" s="671" t="str">
        <f t="shared" si="93"/>
        <v>N/A</v>
      </c>
      <c r="P1095" s="861" t="s">
        <v>1552</v>
      </c>
      <c r="Q1095" s="861"/>
      <c r="R1095" s="861"/>
      <c r="S1095" s="861" t="s">
        <v>1852</v>
      </c>
      <c r="T1095" s="866" t="s">
        <v>5838</v>
      </c>
      <c r="U1095" s="865"/>
    </row>
    <row r="1096" spans="1:21" ht="15">
      <c r="A1096" s="672"/>
      <c r="B1096" s="861" t="s">
        <v>5839</v>
      </c>
      <c r="C1096" s="861" t="s">
        <v>5840</v>
      </c>
      <c r="D1096" s="861" t="s">
        <v>371</v>
      </c>
      <c r="E1096" s="861"/>
      <c r="F1096" s="862"/>
      <c r="G1096" s="870" t="s">
        <v>5841</v>
      </c>
      <c r="H1096" s="874">
        <v>15064366.380000001</v>
      </c>
      <c r="I1096" s="871"/>
      <c r="J1096" s="863" t="s">
        <v>610</v>
      </c>
      <c r="K1096" s="868">
        <f t="shared" si="90"/>
        <v>316</v>
      </c>
      <c r="L1096" s="861" t="s">
        <v>1475</v>
      </c>
      <c r="M1096" s="671">
        <f t="shared" si="91"/>
        <v>1094</v>
      </c>
      <c r="N1096" s="671" t="str">
        <f t="shared" si="92"/>
        <v>N/A</v>
      </c>
      <c r="O1096" s="671" t="str">
        <f t="shared" si="93"/>
        <v>N/A</v>
      </c>
      <c r="P1096" s="861" t="s">
        <v>4627</v>
      </c>
      <c r="Q1096" s="861" t="s">
        <v>5842</v>
      </c>
      <c r="R1096" s="861" t="s">
        <v>392</v>
      </c>
      <c r="S1096" s="861" t="s">
        <v>5843</v>
      </c>
      <c r="T1096" s="866" t="s">
        <v>5844</v>
      </c>
      <c r="U1096" s="865"/>
    </row>
    <row r="1097" spans="1:21" ht="15">
      <c r="A1097" s="857"/>
      <c r="B1097" s="861" t="s">
        <v>5845</v>
      </c>
      <c r="C1097" s="861" t="s">
        <v>5846</v>
      </c>
      <c r="D1097" s="861" t="s">
        <v>371</v>
      </c>
      <c r="E1097" s="861"/>
      <c r="F1097" s="862"/>
      <c r="G1097" s="870" t="s">
        <v>5847</v>
      </c>
      <c r="H1097" s="874">
        <v>15032451.289999999</v>
      </c>
      <c r="I1097" s="871">
        <v>57.69</v>
      </c>
      <c r="J1097" s="862">
        <v>0.12</v>
      </c>
      <c r="K1097" s="868">
        <f t="shared" si="90"/>
        <v>316</v>
      </c>
      <c r="L1097" s="861" t="s">
        <v>3239</v>
      </c>
      <c r="M1097" s="671">
        <f t="shared" si="91"/>
        <v>1095</v>
      </c>
      <c r="N1097" s="671">
        <f t="shared" si="92"/>
        <v>79</v>
      </c>
      <c r="O1097" s="671">
        <f t="shared" si="93"/>
        <v>424</v>
      </c>
      <c r="P1097" s="861" t="s">
        <v>1061</v>
      </c>
      <c r="Q1097" s="861"/>
      <c r="R1097" s="861" t="s">
        <v>1020</v>
      </c>
      <c r="S1097" s="861" t="s">
        <v>3086</v>
      </c>
      <c r="T1097" s="866" t="s">
        <v>5848</v>
      </c>
      <c r="U1097" s="865"/>
    </row>
    <row r="1098" spans="1:21" ht="15">
      <c r="A1098" s="672"/>
      <c r="B1098" s="861" t="s">
        <v>5849</v>
      </c>
      <c r="C1098" s="861" t="s">
        <v>5850</v>
      </c>
      <c r="D1098" s="861" t="s">
        <v>371</v>
      </c>
      <c r="E1098" s="861"/>
      <c r="F1098" s="862"/>
      <c r="G1098" s="869">
        <v>16.537574289999998</v>
      </c>
      <c r="H1098" s="874">
        <v>15006981.199999999</v>
      </c>
      <c r="I1098" s="871">
        <v>4.16</v>
      </c>
      <c r="J1098" s="862">
        <v>2.5999999999999999E-2</v>
      </c>
      <c r="K1098" s="868">
        <f t="shared" si="90"/>
        <v>316</v>
      </c>
      <c r="L1098" s="861"/>
      <c r="M1098" s="671">
        <f t="shared" si="91"/>
        <v>1096</v>
      </c>
      <c r="N1098" s="671">
        <f t="shared" si="92"/>
        <v>276</v>
      </c>
      <c r="O1098" s="671">
        <f t="shared" si="93"/>
        <v>658</v>
      </c>
      <c r="P1098" s="861" t="s">
        <v>4298</v>
      </c>
      <c r="Q1098" s="861"/>
      <c r="R1098" s="861"/>
      <c r="S1098" s="861" t="s">
        <v>473</v>
      </c>
      <c r="T1098" s="866" t="s">
        <v>5851</v>
      </c>
      <c r="U1098" s="865"/>
    </row>
    <row r="1099" spans="1:21" ht="15">
      <c r="A1099" s="857"/>
      <c r="B1099" s="861" t="s">
        <v>5852</v>
      </c>
      <c r="C1099" s="861" t="s">
        <v>5853</v>
      </c>
      <c r="D1099" s="861" t="s">
        <v>371</v>
      </c>
      <c r="E1099" s="861"/>
      <c r="F1099" s="862"/>
      <c r="G1099" s="869">
        <v>4.6872656370000003</v>
      </c>
      <c r="H1099" s="874">
        <v>14971933.18</v>
      </c>
      <c r="I1099" s="871"/>
      <c r="J1099" s="863" t="s">
        <v>5854</v>
      </c>
      <c r="K1099" s="868">
        <f t="shared" si="90"/>
        <v>316</v>
      </c>
      <c r="L1099" s="861"/>
      <c r="M1099" s="671">
        <f t="shared" si="91"/>
        <v>1097</v>
      </c>
      <c r="N1099" s="671" t="str">
        <f t="shared" si="92"/>
        <v>N/A</v>
      </c>
      <c r="O1099" s="671" t="str">
        <f t="shared" si="93"/>
        <v>N/A</v>
      </c>
      <c r="P1099" s="861" t="s">
        <v>1002</v>
      </c>
      <c r="Q1099" s="861" t="s">
        <v>5855</v>
      </c>
      <c r="R1099" s="861"/>
      <c r="S1099" s="861" t="s">
        <v>4622</v>
      </c>
      <c r="T1099" s="866" t="s">
        <v>5856</v>
      </c>
      <c r="U1099" s="865"/>
    </row>
    <row r="1100" spans="1:21" ht="15">
      <c r="A1100" s="672"/>
      <c r="B1100" s="861" t="s">
        <v>5857</v>
      </c>
      <c r="C1100" s="861" t="s">
        <v>5858</v>
      </c>
      <c r="D1100" s="861" t="s">
        <v>371</v>
      </c>
      <c r="E1100" s="861"/>
      <c r="F1100" s="862"/>
      <c r="G1100" s="870" t="s">
        <v>5859</v>
      </c>
      <c r="H1100" s="874">
        <v>14855031.27</v>
      </c>
      <c r="I1100" s="871"/>
      <c r="J1100" s="861"/>
      <c r="K1100" s="868">
        <f t="shared" si="90"/>
        <v>316</v>
      </c>
      <c r="L1100" s="861"/>
      <c r="M1100" s="671">
        <f t="shared" si="91"/>
        <v>1098</v>
      </c>
      <c r="N1100" s="671" t="str">
        <f t="shared" si="92"/>
        <v>N/A</v>
      </c>
      <c r="O1100" s="671">
        <f t="shared" si="93"/>
        <v>708</v>
      </c>
      <c r="P1100" s="861"/>
      <c r="Q1100" s="861"/>
      <c r="R1100" s="861"/>
      <c r="S1100" s="861"/>
      <c r="T1100" s="866" t="s">
        <v>5860</v>
      </c>
      <c r="U1100" s="865"/>
    </row>
    <row r="1101" spans="1:21" ht="15">
      <c r="A1101" s="857"/>
      <c r="B1101" s="861" t="s">
        <v>5861</v>
      </c>
      <c r="C1101" s="861" t="s">
        <v>5862</v>
      </c>
      <c r="D1101" s="861" t="s">
        <v>371</v>
      </c>
      <c r="E1101" s="861"/>
      <c r="F1101" s="862"/>
      <c r="G1101" s="870" t="s">
        <v>5863</v>
      </c>
      <c r="H1101" s="874">
        <v>14723735.66</v>
      </c>
      <c r="I1101" s="872" t="s">
        <v>5864</v>
      </c>
      <c r="J1101" s="862">
        <v>0.21</v>
      </c>
      <c r="K1101" s="868">
        <f t="shared" si="90"/>
        <v>316</v>
      </c>
      <c r="L1101" s="861"/>
      <c r="M1101" s="671">
        <f t="shared" si="91"/>
        <v>1099</v>
      </c>
      <c r="N1101" s="671" t="str">
        <f t="shared" si="92"/>
        <v>N/A</v>
      </c>
      <c r="O1101" s="671">
        <f t="shared" si="93"/>
        <v>238</v>
      </c>
      <c r="P1101" s="861" t="s">
        <v>3462</v>
      </c>
      <c r="Q1101" s="861" t="s">
        <v>4893</v>
      </c>
      <c r="R1101" s="861" t="s">
        <v>1168</v>
      </c>
      <c r="S1101" s="861" t="s">
        <v>5865</v>
      </c>
      <c r="T1101" s="866" t="s">
        <v>5866</v>
      </c>
      <c r="U1101" s="865"/>
    </row>
    <row r="1102" spans="1:21" ht="15">
      <c r="A1102" s="672"/>
      <c r="B1102" s="861" t="s">
        <v>5867</v>
      </c>
      <c r="C1102" s="861" t="s">
        <v>5868</v>
      </c>
      <c r="D1102" s="861" t="s">
        <v>371</v>
      </c>
      <c r="E1102" s="861"/>
      <c r="F1102" s="862"/>
      <c r="G1102" s="869">
        <v>0</v>
      </c>
      <c r="H1102" s="874">
        <v>14686791.869999999</v>
      </c>
      <c r="I1102" s="871"/>
      <c r="J1102" s="862">
        <v>0.25</v>
      </c>
      <c r="K1102" s="868">
        <f t="shared" si="90"/>
        <v>316</v>
      </c>
      <c r="L1102" s="861"/>
      <c r="M1102" s="671">
        <f t="shared" si="91"/>
        <v>1100</v>
      </c>
      <c r="N1102" s="671" t="str">
        <f t="shared" si="92"/>
        <v>N/A</v>
      </c>
      <c r="O1102" s="671">
        <f t="shared" si="93"/>
        <v>179</v>
      </c>
      <c r="P1102" s="861" t="s">
        <v>1421</v>
      </c>
      <c r="Q1102" s="861" t="s">
        <v>5869</v>
      </c>
      <c r="R1102" s="861"/>
      <c r="S1102" s="861" t="s">
        <v>404</v>
      </c>
      <c r="T1102" s="866" t="s">
        <v>5870</v>
      </c>
      <c r="U1102" s="865"/>
    </row>
    <row r="1103" spans="1:21" ht="15">
      <c r="A1103" s="857"/>
      <c r="B1103" s="861" t="s">
        <v>5871</v>
      </c>
      <c r="C1103" s="861" t="s">
        <v>5872</v>
      </c>
      <c r="D1103" s="861" t="s">
        <v>371</v>
      </c>
      <c r="E1103" s="861"/>
      <c r="F1103" s="862"/>
      <c r="G1103" s="869">
        <v>8.0583100000000008E-3</v>
      </c>
      <c r="H1103" s="874">
        <v>14559416.140000001</v>
      </c>
      <c r="I1103" s="871"/>
      <c r="J1103" s="861"/>
      <c r="K1103" s="868">
        <f t="shared" si="90"/>
        <v>316</v>
      </c>
      <c r="L1103" s="861"/>
      <c r="M1103" s="671">
        <f t="shared" si="91"/>
        <v>1101</v>
      </c>
      <c r="N1103" s="671" t="str">
        <f t="shared" si="92"/>
        <v>N/A</v>
      </c>
      <c r="O1103" s="671">
        <f t="shared" si="93"/>
        <v>708</v>
      </c>
      <c r="P1103" s="861" t="s">
        <v>5873</v>
      </c>
      <c r="Q1103" s="861" t="s">
        <v>5874</v>
      </c>
      <c r="R1103" s="861"/>
      <c r="S1103" s="861" t="s">
        <v>980</v>
      </c>
      <c r="T1103" s="866" t="s">
        <v>5875</v>
      </c>
      <c r="U1103" s="865"/>
    </row>
    <row r="1104" spans="1:21" ht="15">
      <c r="A1104" s="672"/>
      <c r="B1104" s="861" t="s">
        <v>5876</v>
      </c>
      <c r="C1104" s="861" t="s">
        <v>5877</v>
      </c>
      <c r="D1104" s="861" t="s">
        <v>371</v>
      </c>
      <c r="E1104" s="861"/>
      <c r="F1104" s="862"/>
      <c r="G1104" s="870" t="s">
        <v>5878</v>
      </c>
      <c r="H1104" s="874">
        <v>14557870.99</v>
      </c>
      <c r="I1104" s="871"/>
      <c r="J1104" s="863" t="s">
        <v>5879</v>
      </c>
      <c r="K1104" s="868">
        <f t="shared" si="90"/>
        <v>316</v>
      </c>
      <c r="L1104" s="861"/>
      <c r="M1104" s="671">
        <f t="shared" si="91"/>
        <v>1102</v>
      </c>
      <c r="N1104" s="671" t="str">
        <f t="shared" si="92"/>
        <v>N/A</v>
      </c>
      <c r="O1104" s="671" t="str">
        <f t="shared" si="93"/>
        <v>N/A</v>
      </c>
      <c r="P1104" s="861" t="s">
        <v>3149</v>
      </c>
      <c r="Q1104" s="861" t="s">
        <v>5880</v>
      </c>
      <c r="R1104" s="861"/>
      <c r="S1104" s="861" t="s">
        <v>5881</v>
      </c>
      <c r="T1104" s="866" t="s">
        <v>5882</v>
      </c>
      <c r="U1104" s="865"/>
    </row>
    <row r="1105" spans="1:21" ht="15">
      <c r="A1105" s="857"/>
      <c r="B1105" s="861" t="s">
        <v>5883</v>
      </c>
      <c r="C1105" s="861" t="s">
        <v>5884</v>
      </c>
      <c r="D1105" s="861" t="s">
        <v>371</v>
      </c>
      <c r="E1105" s="861"/>
      <c r="F1105" s="862"/>
      <c r="G1105" s="870" t="s">
        <v>5885</v>
      </c>
      <c r="H1105" s="874">
        <v>14513209.9</v>
      </c>
      <c r="I1105" s="871"/>
      <c r="J1105" s="862">
        <v>3.3000000000000002E-2</v>
      </c>
      <c r="K1105" s="868">
        <f t="shared" si="90"/>
        <v>316</v>
      </c>
      <c r="L1105" s="861" t="s">
        <v>2069</v>
      </c>
      <c r="M1105" s="671">
        <f t="shared" si="91"/>
        <v>1103</v>
      </c>
      <c r="N1105" s="671" t="str">
        <f t="shared" si="92"/>
        <v>N/A</v>
      </c>
      <c r="O1105" s="671">
        <f t="shared" si="93"/>
        <v>648</v>
      </c>
      <c r="P1105" s="861" t="s">
        <v>5886</v>
      </c>
      <c r="Q1105" s="861" t="s">
        <v>5887</v>
      </c>
      <c r="R1105" s="861" t="s">
        <v>404</v>
      </c>
      <c r="S1105" s="861" t="s">
        <v>1468</v>
      </c>
      <c r="T1105" s="866" t="s">
        <v>5888</v>
      </c>
      <c r="U1105" s="865"/>
    </row>
    <row r="1106" spans="1:21" ht="15">
      <c r="A1106" s="672"/>
      <c r="B1106" s="861" t="s">
        <v>5889</v>
      </c>
      <c r="C1106" s="861" t="s">
        <v>5890</v>
      </c>
      <c r="D1106" s="861" t="s">
        <v>371</v>
      </c>
      <c r="E1106" s="861"/>
      <c r="F1106" s="862"/>
      <c r="G1106" s="870" t="s">
        <v>5891</v>
      </c>
      <c r="H1106" s="874">
        <v>14431989.4</v>
      </c>
      <c r="I1106" s="871"/>
      <c r="J1106" s="861"/>
      <c r="K1106" s="868">
        <f t="shared" si="90"/>
        <v>316</v>
      </c>
      <c r="L1106" s="861" t="s">
        <v>424</v>
      </c>
      <c r="M1106" s="671">
        <f t="shared" si="91"/>
        <v>1104</v>
      </c>
      <c r="N1106" s="671" t="str">
        <f t="shared" si="92"/>
        <v>N/A</v>
      </c>
      <c r="O1106" s="671">
        <f t="shared" si="93"/>
        <v>708</v>
      </c>
      <c r="P1106" s="861" t="s">
        <v>4710</v>
      </c>
      <c r="Q1106" s="861"/>
      <c r="R1106" s="861" t="s">
        <v>424</v>
      </c>
      <c r="S1106" s="861" t="s">
        <v>460</v>
      </c>
      <c r="T1106" s="866" t="s">
        <v>5892</v>
      </c>
      <c r="U1106" s="865"/>
    </row>
    <row r="1107" spans="1:21" ht="15">
      <c r="A1107" s="857"/>
      <c r="B1107" s="861" t="s">
        <v>5893</v>
      </c>
      <c r="C1107" s="861" t="s">
        <v>5894</v>
      </c>
      <c r="D1107" s="861" t="s">
        <v>371</v>
      </c>
      <c r="E1107" s="861"/>
      <c r="F1107" s="862"/>
      <c r="G1107" s="870" t="s">
        <v>5895</v>
      </c>
      <c r="H1107" s="874">
        <v>14424662.4</v>
      </c>
      <c r="I1107" s="871"/>
      <c r="J1107" s="861"/>
      <c r="K1107" s="868">
        <f t="shared" si="90"/>
        <v>316</v>
      </c>
      <c r="L1107" s="861"/>
      <c r="M1107" s="671">
        <f t="shared" si="91"/>
        <v>1105</v>
      </c>
      <c r="N1107" s="671" t="str">
        <f t="shared" si="92"/>
        <v>N/A</v>
      </c>
      <c r="O1107" s="671">
        <f t="shared" si="93"/>
        <v>708</v>
      </c>
      <c r="P1107" s="861"/>
      <c r="Q1107" s="861"/>
      <c r="R1107" s="861"/>
      <c r="S1107" s="861"/>
      <c r="T1107" s="866"/>
      <c r="U1107" s="865"/>
    </row>
    <row r="1108" spans="1:21" ht="15">
      <c r="A1108" s="672"/>
      <c r="B1108" s="861" t="s">
        <v>5896</v>
      </c>
      <c r="C1108" s="861" t="s">
        <v>5897</v>
      </c>
      <c r="D1108" s="861" t="s">
        <v>371</v>
      </c>
      <c r="E1108" s="861"/>
      <c r="F1108" s="862"/>
      <c r="G1108" s="870" t="s">
        <v>5898</v>
      </c>
      <c r="H1108" s="874">
        <v>14332864.880000001</v>
      </c>
      <c r="I1108" s="871"/>
      <c r="J1108" s="863"/>
      <c r="K1108" s="868">
        <f t="shared" si="90"/>
        <v>316</v>
      </c>
      <c r="L1108" s="861"/>
      <c r="M1108" s="671">
        <f t="shared" si="91"/>
        <v>1106</v>
      </c>
      <c r="N1108" s="671" t="str">
        <f t="shared" si="92"/>
        <v>N/A</v>
      </c>
      <c r="O1108" s="671">
        <f t="shared" si="93"/>
        <v>708</v>
      </c>
      <c r="P1108" s="861" t="s">
        <v>2068</v>
      </c>
      <c r="Q1108" s="861"/>
      <c r="R1108" s="861"/>
      <c r="S1108" s="861" t="s">
        <v>454</v>
      </c>
      <c r="T1108" s="866" t="s">
        <v>5899</v>
      </c>
      <c r="U1108" s="865"/>
    </row>
    <row r="1109" spans="1:21" ht="15">
      <c r="A1109" s="857"/>
      <c r="B1109" s="861" t="s">
        <v>5900</v>
      </c>
      <c r="C1109" s="861" t="s">
        <v>5901</v>
      </c>
      <c r="D1109" s="861" t="s">
        <v>371</v>
      </c>
      <c r="E1109" s="861"/>
      <c r="F1109" s="862"/>
      <c r="G1109" s="869">
        <v>0.33570251699999998</v>
      </c>
      <c r="H1109" s="874">
        <v>14287792.560000001</v>
      </c>
      <c r="I1109" s="871"/>
      <c r="J1109" s="863" t="s">
        <v>5902</v>
      </c>
      <c r="K1109" s="868">
        <f t="shared" si="90"/>
        <v>316</v>
      </c>
      <c r="L1109" s="861"/>
      <c r="M1109" s="671">
        <f t="shared" si="91"/>
        <v>1107</v>
      </c>
      <c r="N1109" s="671" t="str">
        <f t="shared" si="92"/>
        <v>N/A</v>
      </c>
      <c r="O1109" s="671" t="str">
        <f t="shared" si="93"/>
        <v>N/A</v>
      </c>
      <c r="P1109" s="861" t="s">
        <v>5903</v>
      </c>
      <c r="Q1109" s="861"/>
      <c r="R1109" s="861"/>
      <c r="S1109" s="861" t="s">
        <v>1081</v>
      </c>
      <c r="T1109" s="866" t="s">
        <v>5904</v>
      </c>
      <c r="U1109" s="865"/>
    </row>
    <row r="1110" spans="1:21" ht="15">
      <c r="A1110" s="672"/>
      <c r="B1110" s="861" t="s">
        <v>5905</v>
      </c>
      <c r="C1110" s="861" t="s">
        <v>5906</v>
      </c>
      <c r="D1110" s="861" t="s">
        <v>371</v>
      </c>
      <c r="E1110" s="861"/>
      <c r="F1110" s="862">
        <v>-0.26700000000000002</v>
      </c>
      <c r="G1110" s="870" t="s">
        <v>5907</v>
      </c>
      <c r="H1110" s="874">
        <v>14283596.189999999</v>
      </c>
      <c r="I1110" s="871"/>
      <c r="J1110" s="863" t="s">
        <v>5908</v>
      </c>
      <c r="K1110" s="868">
        <f t="shared" si="90"/>
        <v>437</v>
      </c>
      <c r="L1110" s="863" t="s">
        <v>4456</v>
      </c>
      <c r="M1110" s="671">
        <f t="shared" si="91"/>
        <v>1108</v>
      </c>
      <c r="N1110" s="671" t="str">
        <f t="shared" si="92"/>
        <v>N/A</v>
      </c>
      <c r="O1110" s="671" t="str">
        <f t="shared" si="93"/>
        <v>N/A</v>
      </c>
      <c r="P1110" s="861" t="s">
        <v>2784</v>
      </c>
      <c r="Q1110" s="861"/>
      <c r="R1110" s="863" t="s">
        <v>3670</v>
      </c>
      <c r="S1110" s="861" t="s">
        <v>473</v>
      </c>
      <c r="T1110" s="866" t="s">
        <v>5909</v>
      </c>
      <c r="U1110" s="865"/>
    </row>
    <row r="1111" spans="1:21" ht="15">
      <c r="A1111" s="857"/>
      <c r="B1111" s="861" t="s">
        <v>5910</v>
      </c>
      <c r="C1111" s="861" t="s">
        <v>5911</v>
      </c>
      <c r="D1111" s="861" t="s">
        <v>371</v>
      </c>
      <c r="E1111" s="861"/>
      <c r="F1111" s="862"/>
      <c r="G1111" s="870" t="s">
        <v>5912</v>
      </c>
      <c r="H1111" s="874">
        <v>14275524.859999999</v>
      </c>
      <c r="I1111" s="871"/>
      <c r="J1111" s="863"/>
      <c r="K1111" s="868">
        <f t="shared" si="90"/>
        <v>316</v>
      </c>
      <c r="L1111" s="861"/>
      <c r="M1111" s="671">
        <f t="shared" si="91"/>
        <v>1109</v>
      </c>
      <c r="N1111" s="671" t="str">
        <f t="shared" si="92"/>
        <v>N/A</v>
      </c>
      <c r="O1111" s="671">
        <f t="shared" si="93"/>
        <v>708</v>
      </c>
      <c r="P1111" s="861" t="s">
        <v>768</v>
      </c>
      <c r="Q1111" s="861" t="s">
        <v>5913</v>
      </c>
      <c r="R1111" s="861"/>
      <c r="S1111" s="861" t="s">
        <v>2553</v>
      </c>
      <c r="T1111" s="866" t="s">
        <v>5914</v>
      </c>
      <c r="U1111" s="865"/>
    </row>
    <row r="1112" spans="1:21" ht="15">
      <c r="A1112" s="672"/>
      <c r="B1112" s="861" t="s">
        <v>5915</v>
      </c>
      <c r="C1112" s="861" t="s">
        <v>5916</v>
      </c>
      <c r="D1112" s="861" t="s">
        <v>371</v>
      </c>
      <c r="E1112" s="861"/>
      <c r="F1112" s="862"/>
      <c r="G1112" s="870" t="s">
        <v>5917</v>
      </c>
      <c r="H1112" s="874">
        <v>14244867.609999999</v>
      </c>
      <c r="I1112" s="871"/>
      <c r="J1112" s="863" t="s">
        <v>5918</v>
      </c>
      <c r="K1112" s="868">
        <f t="shared" si="90"/>
        <v>316</v>
      </c>
      <c r="L1112" s="861"/>
      <c r="M1112" s="671">
        <f t="shared" si="91"/>
        <v>1110</v>
      </c>
      <c r="N1112" s="671" t="str">
        <f t="shared" si="92"/>
        <v>N/A</v>
      </c>
      <c r="O1112" s="671" t="str">
        <f t="shared" si="93"/>
        <v>N/A</v>
      </c>
      <c r="P1112" s="861" t="s">
        <v>434</v>
      </c>
      <c r="Q1112" s="861" t="s">
        <v>5184</v>
      </c>
      <c r="R1112" s="861"/>
      <c r="S1112" s="861" t="s">
        <v>5919</v>
      </c>
      <c r="T1112" s="866" t="s">
        <v>5920</v>
      </c>
      <c r="U1112" s="865"/>
    </row>
    <row r="1113" spans="1:21" ht="15">
      <c r="A1113" s="857"/>
      <c r="B1113" s="861" t="s">
        <v>5921</v>
      </c>
      <c r="C1113" s="861" t="s">
        <v>5922</v>
      </c>
      <c r="D1113" s="861" t="s">
        <v>371</v>
      </c>
      <c r="E1113" s="861"/>
      <c r="F1113" s="862">
        <v>-1.611</v>
      </c>
      <c r="G1113" s="870" t="s">
        <v>5923</v>
      </c>
      <c r="H1113" s="874">
        <v>14129561.17</v>
      </c>
      <c r="I1113" s="871"/>
      <c r="J1113" s="861"/>
      <c r="K1113" s="868">
        <f t="shared" si="90"/>
        <v>496</v>
      </c>
      <c r="L1113" s="861"/>
      <c r="M1113" s="671">
        <f t="shared" si="91"/>
        <v>1111</v>
      </c>
      <c r="N1113" s="671" t="str">
        <f t="shared" si="92"/>
        <v>N/A</v>
      </c>
      <c r="O1113" s="671">
        <f t="shared" si="93"/>
        <v>708</v>
      </c>
      <c r="P1113" s="861"/>
      <c r="Q1113" s="861"/>
      <c r="R1113" s="861"/>
      <c r="S1113" s="861" t="s">
        <v>557</v>
      </c>
      <c r="T1113" s="866" t="s">
        <v>5924</v>
      </c>
      <c r="U1113" s="865"/>
    </row>
    <row r="1114" spans="1:21" ht="15">
      <c r="A1114" s="672"/>
      <c r="B1114" s="861" t="s">
        <v>5925</v>
      </c>
      <c r="C1114" s="861" t="s">
        <v>5926</v>
      </c>
      <c r="D1114" s="861" t="s">
        <v>371</v>
      </c>
      <c r="E1114" s="861"/>
      <c r="F1114" s="862"/>
      <c r="G1114" s="869">
        <v>0</v>
      </c>
      <c r="H1114" s="874">
        <v>14060262.220000001</v>
      </c>
      <c r="I1114" s="872" t="s">
        <v>5927</v>
      </c>
      <c r="J1114" s="862">
        <v>0.123</v>
      </c>
      <c r="K1114" s="868">
        <f t="shared" si="90"/>
        <v>316</v>
      </c>
      <c r="L1114" s="861"/>
      <c r="M1114" s="671">
        <f t="shared" si="91"/>
        <v>1112</v>
      </c>
      <c r="N1114" s="671" t="str">
        <f t="shared" si="92"/>
        <v>N/A</v>
      </c>
      <c r="O1114" s="671">
        <f t="shared" si="93"/>
        <v>419</v>
      </c>
      <c r="P1114" s="861" t="s">
        <v>611</v>
      </c>
      <c r="Q1114" s="861" t="s">
        <v>2498</v>
      </c>
      <c r="R1114" s="861"/>
      <c r="S1114" s="861" t="s">
        <v>5928</v>
      </c>
      <c r="T1114" s="866" t="s">
        <v>4602</v>
      </c>
      <c r="U1114" s="865"/>
    </row>
    <row r="1115" spans="1:21" ht="15">
      <c r="A1115" s="857"/>
      <c r="B1115" s="861" t="s">
        <v>5929</v>
      </c>
      <c r="C1115" s="861" t="s">
        <v>5930</v>
      </c>
      <c r="D1115" s="861" t="s">
        <v>371</v>
      </c>
      <c r="E1115" s="861"/>
      <c r="F1115" s="862"/>
      <c r="G1115" s="869">
        <v>0</v>
      </c>
      <c r="H1115" s="874">
        <v>14056289.560000001</v>
      </c>
      <c r="I1115" s="871"/>
      <c r="J1115" s="863"/>
      <c r="K1115" s="868">
        <f t="shared" si="90"/>
        <v>316</v>
      </c>
      <c r="L1115" s="863" t="s">
        <v>5931</v>
      </c>
      <c r="M1115" s="671">
        <f t="shared" si="91"/>
        <v>1113</v>
      </c>
      <c r="N1115" s="671" t="str">
        <f t="shared" si="92"/>
        <v>N/A</v>
      </c>
      <c r="O1115" s="671">
        <f t="shared" si="93"/>
        <v>708</v>
      </c>
      <c r="P1115" s="861" t="s">
        <v>1881</v>
      </c>
      <c r="Q1115" s="861"/>
      <c r="R1115" s="863" t="s">
        <v>5932</v>
      </c>
      <c r="S1115" s="861" t="s">
        <v>3042</v>
      </c>
      <c r="T1115" s="866" t="s">
        <v>5933</v>
      </c>
      <c r="U1115" s="865"/>
    </row>
    <row r="1116" spans="1:21" ht="15">
      <c r="A1116" s="672"/>
      <c r="B1116" s="861" t="s">
        <v>5934</v>
      </c>
      <c r="C1116" s="861" t="s">
        <v>5935</v>
      </c>
      <c r="D1116" s="861" t="s">
        <v>371</v>
      </c>
      <c r="E1116" s="861"/>
      <c r="F1116" s="862"/>
      <c r="G1116" s="869" t="e">
        <v>#DIV/0!</v>
      </c>
      <c r="H1116" s="874">
        <v>13920155.880000001</v>
      </c>
      <c r="I1116" s="871"/>
      <c r="J1116" s="863" t="s">
        <v>5936</v>
      </c>
      <c r="K1116" s="868">
        <f t="shared" si="90"/>
        <v>316</v>
      </c>
      <c r="L1116" s="861" t="s">
        <v>1659</v>
      </c>
      <c r="M1116" s="671">
        <f t="shared" si="91"/>
        <v>1114</v>
      </c>
      <c r="N1116" s="671" t="str">
        <f t="shared" si="92"/>
        <v>N/A</v>
      </c>
      <c r="O1116" s="671" t="str">
        <f t="shared" si="93"/>
        <v>N/A</v>
      </c>
      <c r="P1116" s="861" t="s">
        <v>548</v>
      </c>
      <c r="Q1116" s="861"/>
      <c r="R1116" s="861" t="s">
        <v>2062</v>
      </c>
      <c r="S1116" s="861" t="s">
        <v>5937</v>
      </c>
      <c r="T1116" s="866" t="s">
        <v>5938</v>
      </c>
      <c r="U1116" s="865"/>
    </row>
    <row r="1117" spans="1:21" ht="15">
      <c r="A1117" s="857"/>
      <c r="B1117" s="861" t="s">
        <v>5939</v>
      </c>
      <c r="C1117" s="861" t="s">
        <v>5940</v>
      </c>
      <c r="D1117" s="861" t="s">
        <v>371</v>
      </c>
      <c r="E1117" s="861"/>
      <c r="F1117" s="862"/>
      <c r="G1117" s="869">
        <v>0</v>
      </c>
      <c r="H1117" s="874">
        <v>13908700.970000001</v>
      </c>
      <c r="I1117" s="871"/>
      <c r="J1117" s="862">
        <v>0.23200000000000001</v>
      </c>
      <c r="K1117" s="868">
        <f t="shared" si="90"/>
        <v>316</v>
      </c>
      <c r="L1117" s="861" t="s">
        <v>449</v>
      </c>
      <c r="M1117" s="671">
        <f t="shared" si="91"/>
        <v>1115</v>
      </c>
      <c r="N1117" s="671" t="str">
        <f t="shared" si="92"/>
        <v>N/A</v>
      </c>
      <c r="O1117" s="671">
        <f t="shared" si="93"/>
        <v>211</v>
      </c>
      <c r="P1117" s="861" t="s">
        <v>5793</v>
      </c>
      <c r="Q1117" s="861" t="s">
        <v>5941</v>
      </c>
      <c r="R1117" s="861" t="s">
        <v>506</v>
      </c>
      <c r="S1117" s="861" t="s">
        <v>5942</v>
      </c>
      <c r="T1117" s="866" t="s">
        <v>5943</v>
      </c>
      <c r="U1117" s="865"/>
    </row>
    <row r="1118" spans="1:21" ht="15">
      <c r="A1118" s="672"/>
      <c r="B1118" s="861" t="s">
        <v>5944</v>
      </c>
      <c r="C1118" s="861" t="s">
        <v>5945</v>
      </c>
      <c r="D1118" s="861" t="s">
        <v>371</v>
      </c>
      <c r="E1118" s="861"/>
      <c r="F1118" s="862"/>
      <c r="G1118" s="870" t="s">
        <v>5946</v>
      </c>
      <c r="H1118" s="874">
        <v>13837185.539999999</v>
      </c>
      <c r="I1118" s="871"/>
      <c r="J1118" s="862">
        <v>8.7999999999999995E-2</v>
      </c>
      <c r="K1118" s="868">
        <f t="shared" si="90"/>
        <v>316</v>
      </c>
      <c r="L1118" s="861"/>
      <c r="M1118" s="671">
        <f t="shared" si="91"/>
        <v>1116</v>
      </c>
      <c r="N1118" s="671" t="str">
        <f t="shared" si="92"/>
        <v>N/A</v>
      </c>
      <c r="O1118" s="671">
        <f t="shared" si="93"/>
        <v>524</v>
      </c>
      <c r="P1118" s="861" t="s">
        <v>2081</v>
      </c>
      <c r="Q1118" s="861"/>
      <c r="R1118" s="861"/>
      <c r="S1118" s="861" t="s">
        <v>2195</v>
      </c>
      <c r="T1118" s="866" t="s">
        <v>5947</v>
      </c>
      <c r="U1118" s="865"/>
    </row>
    <row r="1119" spans="1:21" ht="15">
      <c r="A1119" s="857"/>
      <c r="B1119" s="861" t="s">
        <v>5948</v>
      </c>
      <c r="C1119" s="861" t="s">
        <v>5949</v>
      </c>
      <c r="D1119" s="861" t="s">
        <v>371</v>
      </c>
      <c r="E1119" s="861"/>
      <c r="F1119" s="862">
        <v>6.5000000000000002E-2</v>
      </c>
      <c r="G1119" s="870" t="s">
        <v>5950</v>
      </c>
      <c r="H1119" s="874">
        <v>13796380.390000001</v>
      </c>
      <c r="I1119" s="871"/>
      <c r="J1119" s="862">
        <v>0.13700000000000001</v>
      </c>
      <c r="K1119" s="868">
        <f t="shared" si="90"/>
        <v>236</v>
      </c>
      <c r="L1119" s="861"/>
      <c r="M1119" s="671">
        <f t="shared" si="91"/>
        <v>1117</v>
      </c>
      <c r="N1119" s="671" t="str">
        <f t="shared" si="92"/>
        <v>N/A</v>
      </c>
      <c r="O1119" s="671">
        <f t="shared" si="93"/>
        <v>376</v>
      </c>
      <c r="P1119" s="861"/>
      <c r="Q1119" s="861"/>
      <c r="R1119" s="861"/>
      <c r="S1119" s="861"/>
      <c r="T1119" s="866"/>
      <c r="U1119" s="865"/>
    </row>
    <row r="1120" spans="1:21" ht="15">
      <c r="A1120" s="672"/>
      <c r="B1120" s="861" t="s">
        <v>5951</v>
      </c>
      <c r="C1120" s="861" t="s">
        <v>5952</v>
      </c>
      <c r="D1120" s="861" t="s">
        <v>371</v>
      </c>
      <c r="E1120" s="861"/>
      <c r="F1120" s="862"/>
      <c r="G1120" s="869">
        <v>22.785714290000001</v>
      </c>
      <c r="H1120" s="874">
        <v>13738691.050000001</v>
      </c>
      <c r="I1120" s="871"/>
      <c r="J1120" s="863" t="s">
        <v>5953</v>
      </c>
      <c r="K1120" s="868">
        <f t="shared" si="90"/>
        <v>316</v>
      </c>
      <c r="L1120" s="861"/>
      <c r="M1120" s="671">
        <f t="shared" si="91"/>
        <v>1118</v>
      </c>
      <c r="N1120" s="671" t="str">
        <f t="shared" si="92"/>
        <v>N/A</v>
      </c>
      <c r="O1120" s="671" t="str">
        <f t="shared" si="93"/>
        <v>N/A</v>
      </c>
      <c r="P1120" s="861" t="s">
        <v>1150</v>
      </c>
      <c r="Q1120" s="861" t="s">
        <v>5954</v>
      </c>
      <c r="R1120" s="861"/>
      <c r="S1120" s="861" t="s">
        <v>2252</v>
      </c>
      <c r="T1120" s="866" t="s">
        <v>5955</v>
      </c>
      <c r="U1120" s="865"/>
    </row>
    <row r="1121" spans="1:21" ht="15">
      <c r="A1121" s="857"/>
      <c r="B1121" s="861" t="s">
        <v>5956</v>
      </c>
      <c r="C1121" s="861" t="s">
        <v>5957</v>
      </c>
      <c r="D1121" s="861" t="s">
        <v>371</v>
      </c>
      <c r="E1121" s="861"/>
      <c r="F1121" s="862"/>
      <c r="G1121" s="870" t="s">
        <v>5958</v>
      </c>
      <c r="H1121" s="874">
        <v>13733499.74</v>
      </c>
      <c r="I1121" s="871"/>
      <c r="J1121" s="863"/>
      <c r="K1121" s="868">
        <f t="shared" si="90"/>
        <v>316</v>
      </c>
      <c r="L1121" s="861" t="s">
        <v>563</v>
      </c>
      <c r="M1121" s="671">
        <f t="shared" si="91"/>
        <v>1119</v>
      </c>
      <c r="N1121" s="671" t="str">
        <f t="shared" si="92"/>
        <v>N/A</v>
      </c>
      <c r="O1121" s="671">
        <f t="shared" si="93"/>
        <v>708</v>
      </c>
      <c r="P1121" s="861" t="s">
        <v>881</v>
      </c>
      <c r="Q1121" s="861" t="s">
        <v>5959</v>
      </c>
      <c r="R1121" s="861"/>
      <c r="S1121" s="861" t="s">
        <v>4489</v>
      </c>
      <c r="T1121" s="866" t="s">
        <v>5960</v>
      </c>
      <c r="U1121" s="865"/>
    </row>
    <row r="1122" spans="1:21" ht="15">
      <c r="A1122" s="672"/>
      <c r="B1122" s="861" t="s">
        <v>5961</v>
      </c>
      <c r="C1122" s="861" t="s">
        <v>5962</v>
      </c>
      <c r="D1122" s="861" t="s">
        <v>371</v>
      </c>
      <c r="E1122" s="861"/>
      <c r="F1122" s="862"/>
      <c r="G1122" s="869">
        <v>0.21149927499999999</v>
      </c>
      <c r="H1122" s="874">
        <v>13712540.82</v>
      </c>
      <c r="I1122" s="871"/>
      <c r="J1122" s="862">
        <v>0.217</v>
      </c>
      <c r="K1122" s="868">
        <f t="shared" si="90"/>
        <v>316</v>
      </c>
      <c r="L1122" s="861"/>
      <c r="M1122" s="671">
        <f t="shared" si="91"/>
        <v>1120</v>
      </c>
      <c r="N1122" s="671" t="str">
        <f t="shared" si="92"/>
        <v>N/A</v>
      </c>
      <c r="O1122" s="671">
        <f t="shared" si="93"/>
        <v>226</v>
      </c>
      <c r="P1122" s="861"/>
      <c r="Q1122" s="861"/>
      <c r="R1122" s="863" t="s">
        <v>5963</v>
      </c>
      <c r="S1122" s="861" t="s">
        <v>1848</v>
      </c>
      <c r="T1122" s="866" t="s">
        <v>5964</v>
      </c>
      <c r="U1122" s="865"/>
    </row>
    <row r="1123" spans="1:21" ht="15">
      <c r="A1123" s="857"/>
      <c r="B1123" s="861" t="s">
        <v>5965</v>
      </c>
      <c r="C1123" s="861" t="s">
        <v>5966</v>
      </c>
      <c r="D1123" s="861" t="s">
        <v>371</v>
      </c>
      <c r="E1123" s="861"/>
      <c r="F1123" s="862">
        <v>0.19600000000000001</v>
      </c>
      <c r="G1123" s="869">
        <v>0</v>
      </c>
      <c r="H1123" s="874">
        <v>13550860.48</v>
      </c>
      <c r="I1123" s="871"/>
      <c r="J1123" s="863" t="s">
        <v>5967</v>
      </c>
      <c r="K1123" s="868">
        <f t="shared" si="90"/>
        <v>98</v>
      </c>
      <c r="L1123" s="861"/>
      <c r="M1123" s="671">
        <f t="shared" si="91"/>
        <v>1121</v>
      </c>
      <c r="N1123" s="671" t="str">
        <f t="shared" si="92"/>
        <v>N/A</v>
      </c>
      <c r="O1123" s="671" t="str">
        <f t="shared" si="93"/>
        <v>N/A</v>
      </c>
      <c r="P1123" s="861" t="s">
        <v>1538</v>
      </c>
      <c r="Q1123" s="861"/>
      <c r="R1123" s="861"/>
      <c r="S1123" s="861" t="s">
        <v>624</v>
      </c>
      <c r="T1123" s="866" t="s">
        <v>5968</v>
      </c>
      <c r="U1123" s="865"/>
    </row>
    <row r="1124" spans="1:21" ht="15">
      <c r="A1124" s="672"/>
      <c r="B1124" s="861" t="s">
        <v>5969</v>
      </c>
      <c r="C1124" s="861" t="s">
        <v>5970</v>
      </c>
      <c r="D1124" s="861" t="s">
        <v>371</v>
      </c>
      <c r="E1124" s="861"/>
      <c r="F1124" s="862"/>
      <c r="G1124" s="870" t="s">
        <v>5971</v>
      </c>
      <c r="H1124" s="874">
        <v>13490125.279999999</v>
      </c>
      <c r="I1124" s="871"/>
      <c r="J1124" s="863" t="s">
        <v>5972</v>
      </c>
      <c r="K1124" s="868">
        <f t="shared" si="90"/>
        <v>316</v>
      </c>
      <c r="L1124" s="861"/>
      <c r="M1124" s="671">
        <f t="shared" si="91"/>
        <v>1122</v>
      </c>
      <c r="N1124" s="671" t="str">
        <f t="shared" si="92"/>
        <v>N/A</v>
      </c>
      <c r="O1124" s="671" t="str">
        <f t="shared" si="93"/>
        <v>N/A</v>
      </c>
      <c r="P1124" s="861"/>
      <c r="Q1124" s="861"/>
      <c r="R1124" s="861"/>
      <c r="S1124" s="861" t="s">
        <v>404</v>
      </c>
      <c r="T1124" s="866" t="s">
        <v>5973</v>
      </c>
      <c r="U1124" s="865"/>
    </row>
    <row r="1125" spans="1:21" ht="15">
      <c r="A1125" s="857"/>
      <c r="B1125" s="861" t="s">
        <v>5974</v>
      </c>
      <c r="C1125" s="861" t="s">
        <v>5975</v>
      </c>
      <c r="D1125" s="861" t="s">
        <v>371</v>
      </c>
      <c r="E1125" s="861"/>
      <c r="F1125" s="862"/>
      <c r="G1125" s="869">
        <v>7.0816429430000003</v>
      </c>
      <c r="H1125" s="874">
        <v>13469319.199999999</v>
      </c>
      <c r="I1125" s="871"/>
      <c r="J1125" s="862">
        <v>0.16900000000000001</v>
      </c>
      <c r="K1125" s="868">
        <f t="shared" si="90"/>
        <v>316</v>
      </c>
      <c r="L1125" s="861"/>
      <c r="M1125" s="671">
        <f t="shared" si="91"/>
        <v>1123</v>
      </c>
      <c r="N1125" s="671" t="str">
        <f t="shared" si="92"/>
        <v>N/A</v>
      </c>
      <c r="O1125" s="671">
        <f t="shared" si="93"/>
        <v>306</v>
      </c>
      <c r="P1125" s="861" t="s">
        <v>3047</v>
      </c>
      <c r="Q1125" s="861" t="s">
        <v>5976</v>
      </c>
      <c r="R1125" s="861"/>
      <c r="S1125" s="861" t="s">
        <v>3630</v>
      </c>
      <c r="T1125" s="866" t="s">
        <v>5977</v>
      </c>
      <c r="U1125" s="865"/>
    </row>
    <row r="1126" spans="1:21" ht="15">
      <c r="A1126" s="672"/>
      <c r="B1126" s="861" t="s">
        <v>5978</v>
      </c>
      <c r="C1126" s="861" t="s">
        <v>5979</v>
      </c>
      <c r="D1126" s="861" t="s">
        <v>371</v>
      </c>
      <c r="E1126" s="861"/>
      <c r="F1126" s="862"/>
      <c r="G1126" s="869">
        <v>0</v>
      </c>
      <c r="H1126" s="874">
        <v>13380372.939999999</v>
      </c>
      <c r="I1126" s="871"/>
      <c r="J1126" s="861"/>
      <c r="K1126" s="868">
        <f t="shared" si="90"/>
        <v>316</v>
      </c>
      <c r="L1126" s="861"/>
      <c r="M1126" s="671">
        <f t="shared" si="91"/>
        <v>1124</v>
      </c>
      <c r="N1126" s="671" t="str">
        <f t="shared" si="92"/>
        <v>N/A</v>
      </c>
      <c r="O1126" s="671">
        <f t="shared" si="93"/>
        <v>708</v>
      </c>
      <c r="P1126" s="861" t="s">
        <v>4172</v>
      </c>
      <c r="Q1126" s="861" t="s">
        <v>5980</v>
      </c>
      <c r="R1126" s="861"/>
      <c r="S1126" s="861" t="s">
        <v>3023</v>
      </c>
      <c r="T1126" s="866" t="s">
        <v>5981</v>
      </c>
      <c r="U1126" s="865"/>
    </row>
    <row r="1127" spans="1:21" ht="15">
      <c r="A1127" s="857"/>
      <c r="B1127" s="861" t="s">
        <v>5982</v>
      </c>
      <c r="C1127" s="861" t="s">
        <v>5983</v>
      </c>
      <c r="D1127" s="861" t="s">
        <v>371</v>
      </c>
      <c r="E1127" s="861"/>
      <c r="F1127" s="862"/>
      <c r="G1127" s="870" t="s">
        <v>5984</v>
      </c>
      <c r="H1127" s="874">
        <v>13307420.970000001</v>
      </c>
      <c r="I1127" s="871"/>
      <c r="J1127" s="863"/>
      <c r="K1127" s="868">
        <f t="shared" si="90"/>
        <v>316</v>
      </c>
      <c r="L1127" s="861"/>
      <c r="M1127" s="671">
        <f t="shared" si="91"/>
        <v>1125</v>
      </c>
      <c r="N1127" s="671" t="str">
        <f t="shared" si="92"/>
        <v>N/A</v>
      </c>
      <c r="O1127" s="671">
        <f t="shared" si="93"/>
        <v>708</v>
      </c>
      <c r="P1127" s="861"/>
      <c r="Q1127" s="861"/>
      <c r="R1127" s="861"/>
      <c r="S1127" s="861" t="s">
        <v>424</v>
      </c>
      <c r="T1127" s="866" t="s">
        <v>5985</v>
      </c>
      <c r="U1127" s="865"/>
    </row>
    <row r="1128" spans="1:21" ht="15">
      <c r="A1128" s="672"/>
      <c r="B1128" s="861" t="s">
        <v>5986</v>
      </c>
      <c r="C1128" s="861" t="s">
        <v>5987</v>
      </c>
      <c r="D1128" s="861" t="s">
        <v>371</v>
      </c>
      <c r="E1128" s="861"/>
      <c r="F1128" s="862"/>
      <c r="G1128" s="869">
        <v>2.3360972310000001</v>
      </c>
      <c r="H1128" s="874">
        <v>13205832.109999999</v>
      </c>
      <c r="I1128" s="872" t="s">
        <v>5988</v>
      </c>
      <c r="J1128" s="863" t="s">
        <v>5989</v>
      </c>
      <c r="K1128" s="868">
        <f t="shared" si="90"/>
        <v>316</v>
      </c>
      <c r="L1128" s="863" t="s">
        <v>2330</v>
      </c>
      <c r="M1128" s="671">
        <f t="shared" si="91"/>
        <v>1126</v>
      </c>
      <c r="N1128" s="671" t="str">
        <f t="shared" si="92"/>
        <v>N/A</v>
      </c>
      <c r="O1128" s="671" t="str">
        <f t="shared" si="93"/>
        <v>N/A</v>
      </c>
      <c r="P1128" s="861" t="s">
        <v>1062</v>
      </c>
      <c r="Q1128" s="861"/>
      <c r="R1128" s="863" t="s">
        <v>4456</v>
      </c>
      <c r="S1128" s="861" t="s">
        <v>1529</v>
      </c>
      <c r="T1128" s="866" t="s">
        <v>5990</v>
      </c>
      <c r="U1128" s="865"/>
    </row>
    <row r="1129" spans="1:21" ht="15">
      <c r="A1129" s="857"/>
      <c r="B1129" s="861" t="s">
        <v>5991</v>
      </c>
      <c r="C1129" s="861" t="s">
        <v>5992</v>
      </c>
      <c r="D1129" s="861" t="s">
        <v>371</v>
      </c>
      <c r="E1129" s="861"/>
      <c r="F1129" s="862"/>
      <c r="G1129" s="870" t="s">
        <v>5993</v>
      </c>
      <c r="H1129" s="874">
        <v>13170971.869999999</v>
      </c>
      <c r="I1129" s="871"/>
      <c r="J1129" s="863" t="s">
        <v>5994</v>
      </c>
      <c r="K1129" s="868">
        <f t="shared" si="90"/>
        <v>316</v>
      </c>
      <c r="L1129" s="861"/>
      <c r="M1129" s="671">
        <f t="shared" si="91"/>
        <v>1127</v>
      </c>
      <c r="N1129" s="671" t="str">
        <f t="shared" si="92"/>
        <v>N/A</v>
      </c>
      <c r="O1129" s="671" t="str">
        <f t="shared" si="93"/>
        <v>N/A</v>
      </c>
      <c r="P1129" s="861" t="s">
        <v>1549</v>
      </c>
      <c r="Q1129" s="861"/>
      <c r="R1129" s="861"/>
      <c r="S1129" s="861" t="s">
        <v>404</v>
      </c>
      <c r="T1129" s="866" t="s">
        <v>5995</v>
      </c>
      <c r="U1129" s="865"/>
    </row>
    <row r="1130" spans="1:21" ht="15">
      <c r="A1130" s="672"/>
      <c r="B1130" s="861" t="s">
        <v>5996</v>
      </c>
      <c r="C1130" s="861" t="s">
        <v>5997</v>
      </c>
      <c r="D1130" s="861" t="s">
        <v>371</v>
      </c>
      <c r="E1130" s="861"/>
      <c r="F1130" s="862"/>
      <c r="G1130" s="870" t="s">
        <v>5998</v>
      </c>
      <c r="H1130" s="874">
        <v>13162555.16</v>
      </c>
      <c r="I1130" s="871"/>
      <c r="J1130" s="862">
        <v>0.126</v>
      </c>
      <c r="K1130" s="868">
        <f t="shared" si="90"/>
        <v>316</v>
      </c>
      <c r="L1130" s="861"/>
      <c r="M1130" s="671">
        <f t="shared" si="91"/>
        <v>1128</v>
      </c>
      <c r="N1130" s="671" t="str">
        <f t="shared" si="92"/>
        <v>N/A</v>
      </c>
      <c r="O1130" s="671">
        <f t="shared" si="93"/>
        <v>410</v>
      </c>
      <c r="P1130" s="861" t="s">
        <v>1064</v>
      </c>
      <c r="Q1130" s="861"/>
      <c r="R1130" s="861"/>
      <c r="S1130" s="861" t="s">
        <v>4306</v>
      </c>
      <c r="T1130" s="866" t="s">
        <v>5999</v>
      </c>
      <c r="U1130" s="865"/>
    </row>
    <row r="1131" spans="1:21" ht="15">
      <c r="A1131" s="857"/>
      <c r="B1131" s="861" t="s">
        <v>6000</v>
      </c>
      <c r="C1131" s="861" t="s">
        <v>6001</v>
      </c>
      <c r="D1131" s="861" t="s">
        <v>371</v>
      </c>
      <c r="E1131" s="861"/>
      <c r="F1131" s="862"/>
      <c r="G1131" s="869">
        <v>6.7505350000000006E-2</v>
      </c>
      <c r="H1131" s="874">
        <v>13100739.32</v>
      </c>
      <c r="I1131" s="871"/>
      <c r="J1131" s="862">
        <v>0.13500000000000001</v>
      </c>
      <c r="K1131" s="868">
        <f t="shared" si="90"/>
        <v>316</v>
      </c>
      <c r="L1131" s="861" t="s">
        <v>4109</v>
      </c>
      <c r="M1131" s="671">
        <f t="shared" si="91"/>
        <v>1129</v>
      </c>
      <c r="N1131" s="671" t="str">
        <f t="shared" si="92"/>
        <v>N/A</v>
      </c>
      <c r="O1131" s="671">
        <f t="shared" si="93"/>
        <v>384</v>
      </c>
      <c r="P1131" s="861" t="s">
        <v>2687</v>
      </c>
      <c r="Q1131" s="861"/>
      <c r="R1131" s="861" t="s">
        <v>487</v>
      </c>
      <c r="S1131" s="861" t="s">
        <v>6002</v>
      </c>
      <c r="T1131" s="866" t="s">
        <v>6003</v>
      </c>
      <c r="U1131" s="865"/>
    </row>
    <row r="1132" spans="1:21" ht="15">
      <c r="A1132" s="672"/>
      <c r="B1132" s="861" t="s">
        <v>6004</v>
      </c>
      <c r="C1132" s="861" t="s">
        <v>6005</v>
      </c>
      <c r="D1132" s="861" t="s">
        <v>371</v>
      </c>
      <c r="E1132" s="861"/>
      <c r="F1132" s="862"/>
      <c r="G1132" s="869">
        <v>0.48262548300000002</v>
      </c>
      <c r="H1132" s="874">
        <v>13067678.609999999</v>
      </c>
      <c r="I1132" s="871"/>
      <c r="J1132" s="862">
        <v>0.30599999999999999</v>
      </c>
      <c r="K1132" s="868">
        <f t="shared" si="90"/>
        <v>316</v>
      </c>
      <c r="L1132" s="861"/>
      <c r="M1132" s="671">
        <f t="shared" si="91"/>
        <v>1130</v>
      </c>
      <c r="N1132" s="671" t="str">
        <f t="shared" si="92"/>
        <v>N/A</v>
      </c>
      <c r="O1132" s="671">
        <f t="shared" si="93"/>
        <v>120</v>
      </c>
      <c r="P1132" s="861" t="s">
        <v>4821</v>
      </c>
      <c r="Q1132" s="861"/>
      <c r="R1132" s="861"/>
      <c r="S1132" s="861" t="s">
        <v>392</v>
      </c>
      <c r="T1132" s="866" t="s">
        <v>6006</v>
      </c>
      <c r="U1132" s="865"/>
    </row>
    <row r="1133" spans="1:21" ht="15">
      <c r="A1133" s="857"/>
      <c r="B1133" s="861" t="s">
        <v>6007</v>
      </c>
      <c r="C1133" s="861" t="s">
        <v>6008</v>
      </c>
      <c r="D1133" s="861" t="s">
        <v>371</v>
      </c>
      <c r="E1133" s="861"/>
      <c r="F1133" s="862"/>
      <c r="G1133" s="869">
        <v>0</v>
      </c>
      <c r="H1133" s="874">
        <v>13056549.52</v>
      </c>
      <c r="I1133" s="871"/>
      <c r="J1133" s="863" t="s">
        <v>6009</v>
      </c>
      <c r="K1133" s="868">
        <f t="shared" si="90"/>
        <v>316</v>
      </c>
      <c r="L1133" s="861"/>
      <c r="M1133" s="671">
        <f t="shared" si="91"/>
        <v>1131</v>
      </c>
      <c r="N1133" s="671" t="str">
        <f t="shared" si="92"/>
        <v>N/A</v>
      </c>
      <c r="O1133" s="671" t="str">
        <f t="shared" si="93"/>
        <v>N/A</v>
      </c>
      <c r="P1133" s="861" t="s">
        <v>1848</v>
      </c>
      <c r="Q1133" s="861" t="s">
        <v>1617</v>
      </c>
      <c r="R1133" s="861"/>
      <c r="S1133" s="861" t="s">
        <v>630</v>
      </c>
      <c r="T1133" s="866" t="s">
        <v>6010</v>
      </c>
      <c r="U1133" s="865"/>
    </row>
    <row r="1134" spans="1:21" ht="15">
      <c r="A1134" s="672"/>
      <c r="B1134" s="861" t="s">
        <v>6011</v>
      </c>
      <c r="C1134" s="861" t="s">
        <v>6012</v>
      </c>
      <c r="D1134" s="861" t="s">
        <v>371</v>
      </c>
      <c r="E1134" s="861"/>
      <c r="F1134" s="862"/>
      <c r="G1134" s="870" t="s">
        <v>6013</v>
      </c>
      <c r="H1134" s="874">
        <v>12927551</v>
      </c>
      <c r="I1134" s="871"/>
      <c r="J1134" s="861"/>
      <c r="K1134" s="868">
        <f t="shared" si="90"/>
        <v>316</v>
      </c>
      <c r="L1134" s="861"/>
      <c r="M1134" s="671">
        <f t="shared" si="91"/>
        <v>1132</v>
      </c>
      <c r="N1134" s="671" t="str">
        <f t="shared" si="92"/>
        <v>N/A</v>
      </c>
      <c r="O1134" s="671">
        <f t="shared" si="93"/>
        <v>708</v>
      </c>
      <c r="P1134" s="861" t="s">
        <v>611</v>
      </c>
      <c r="Q1134" s="861" t="s">
        <v>6014</v>
      </c>
      <c r="R1134" s="861"/>
      <c r="S1134" s="861" t="s">
        <v>1363</v>
      </c>
      <c r="T1134" s="866" t="s">
        <v>6015</v>
      </c>
      <c r="U1134" s="865"/>
    </row>
    <row r="1135" spans="1:21" ht="15">
      <c r="A1135" s="857"/>
      <c r="B1135" s="861" t="s">
        <v>6016</v>
      </c>
      <c r="C1135" s="861" t="s">
        <v>6017</v>
      </c>
      <c r="D1135" s="861" t="s">
        <v>371</v>
      </c>
      <c r="E1135" s="861"/>
      <c r="F1135" s="862"/>
      <c r="G1135" s="869" t="e">
        <v>#DIV/0!</v>
      </c>
      <c r="H1135" s="874">
        <v>12916406.23</v>
      </c>
      <c r="I1135" s="871"/>
      <c r="J1135" s="863" t="s">
        <v>6018</v>
      </c>
      <c r="K1135" s="868">
        <f t="shared" si="90"/>
        <v>316</v>
      </c>
      <c r="L1135" s="861"/>
      <c r="M1135" s="671">
        <f t="shared" si="91"/>
        <v>1133</v>
      </c>
      <c r="N1135" s="671" t="str">
        <f t="shared" si="92"/>
        <v>N/A</v>
      </c>
      <c r="O1135" s="671" t="str">
        <f t="shared" si="93"/>
        <v>N/A</v>
      </c>
      <c r="P1135" s="861" t="s">
        <v>3693</v>
      </c>
      <c r="Q1135" s="861" t="s">
        <v>4908</v>
      </c>
      <c r="R1135" s="861"/>
      <c r="S1135" s="861" t="s">
        <v>3901</v>
      </c>
      <c r="T1135" s="866" t="s">
        <v>6019</v>
      </c>
      <c r="U1135" s="865"/>
    </row>
    <row r="1136" spans="1:21" ht="15">
      <c r="A1136" s="672"/>
      <c r="B1136" s="861" t="s">
        <v>6020</v>
      </c>
      <c r="C1136" s="861" t="s">
        <v>6021</v>
      </c>
      <c r="D1136" s="861" t="s">
        <v>371</v>
      </c>
      <c r="E1136" s="861"/>
      <c r="F1136" s="862"/>
      <c r="G1136" s="870" t="s">
        <v>6022</v>
      </c>
      <c r="H1136" s="874">
        <v>12902722.32</v>
      </c>
      <c r="I1136" s="871"/>
      <c r="J1136" s="861"/>
      <c r="K1136" s="868">
        <f t="shared" si="90"/>
        <v>316</v>
      </c>
      <c r="L1136" s="861"/>
      <c r="M1136" s="671">
        <f t="shared" si="91"/>
        <v>1134</v>
      </c>
      <c r="N1136" s="671" t="str">
        <f t="shared" si="92"/>
        <v>N/A</v>
      </c>
      <c r="O1136" s="671">
        <f t="shared" si="93"/>
        <v>708</v>
      </c>
      <c r="P1136" s="861"/>
      <c r="Q1136" s="861"/>
      <c r="R1136" s="861"/>
      <c r="S1136" s="861" t="s">
        <v>1127</v>
      </c>
      <c r="T1136" s="866" t="s">
        <v>6023</v>
      </c>
      <c r="U1136" s="865"/>
    </row>
    <row r="1137" spans="1:21" ht="15">
      <c r="A1137" s="857"/>
      <c r="B1137" s="861" t="s">
        <v>6024</v>
      </c>
      <c r="C1137" s="861" t="s">
        <v>6025</v>
      </c>
      <c r="D1137" s="861" t="s">
        <v>371</v>
      </c>
      <c r="E1137" s="861"/>
      <c r="F1137" s="862"/>
      <c r="G1137" s="869" t="e">
        <v>#DIV/0!</v>
      </c>
      <c r="H1137" s="874">
        <v>12848828.050000001</v>
      </c>
      <c r="I1137" s="871"/>
      <c r="J1137" s="863"/>
      <c r="K1137" s="868">
        <f t="shared" si="90"/>
        <v>316</v>
      </c>
      <c r="L1137" s="861" t="s">
        <v>449</v>
      </c>
      <c r="M1137" s="671">
        <f t="shared" si="91"/>
        <v>1135</v>
      </c>
      <c r="N1137" s="671" t="str">
        <f t="shared" si="92"/>
        <v>N/A</v>
      </c>
      <c r="O1137" s="671">
        <f t="shared" si="93"/>
        <v>708</v>
      </c>
      <c r="P1137" s="861" t="s">
        <v>6026</v>
      </c>
      <c r="Q1137" s="861" t="s">
        <v>6027</v>
      </c>
      <c r="R1137" s="861" t="s">
        <v>1538</v>
      </c>
      <c r="S1137" s="861" t="s">
        <v>5561</v>
      </c>
      <c r="T1137" s="866" t="s">
        <v>6028</v>
      </c>
      <c r="U1137" s="865"/>
    </row>
    <row r="1138" spans="1:21" ht="15">
      <c r="A1138" s="672"/>
      <c r="B1138" s="861" t="s">
        <v>6029</v>
      </c>
      <c r="C1138" s="861" t="s">
        <v>6030</v>
      </c>
      <c r="D1138" s="861" t="s">
        <v>371</v>
      </c>
      <c r="E1138" s="861"/>
      <c r="F1138" s="862">
        <v>-1.006</v>
      </c>
      <c r="G1138" s="869" t="e">
        <v>#DIV/0!</v>
      </c>
      <c r="H1138" s="874">
        <v>12748202.84</v>
      </c>
      <c r="I1138" s="871"/>
      <c r="J1138" s="862">
        <v>0.39500000000000002</v>
      </c>
      <c r="K1138" s="868">
        <f t="shared" si="90"/>
        <v>490</v>
      </c>
      <c r="L1138" s="863" t="s">
        <v>2330</v>
      </c>
      <c r="M1138" s="671">
        <f t="shared" si="91"/>
        <v>1136</v>
      </c>
      <c r="N1138" s="671" t="str">
        <f t="shared" si="92"/>
        <v>N/A</v>
      </c>
      <c r="O1138" s="671">
        <f t="shared" si="93"/>
        <v>59</v>
      </c>
      <c r="P1138" s="861" t="s">
        <v>622</v>
      </c>
      <c r="Q1138" s="861" t="s">
        <v>6031</v>
      </c>
      <c r="R1138" s="861"/>
      <c r="S1138" s="861" t="s">
        <v>2062</v>
      </c>
      <c r="T1138" s="866" t="s">
        <v>6032</v>
      </c>
      <c r="U1138" s="865"/>
    </row>
    <row r="1139" spans="1:21" ht="15">
      <c r="A1139" s="857"/>
      <c r="B1139" s="861" t="s">
        <v>6033</v>
      </c>
      <c r="C1139" s="861" t="s">
        <v>6034</v>
      </c>
      <c r="D1139" s="861" t="s">
        <v>371</v>
      </c>
      <c r="E1139" s="861"/>
      <c r="F1139" s="862"/>
      <c r="G1139" s="869">
        <v>0.71146562599999996</v>
      </c>
      <c r="H1139" s="874">
        <v>12741048.689999999</v>
      </c>
      <c r="I1139" s="871"/>
      <c r="J1139" s="863" t="s">
        <v>6035</v>
      </c>
      <c r="K1139" s="868">
        <f t="shared" si="90"/>
        <v>316</v>
      </c>
      <c r="L1139" s="861"/>
      <c r="M1139" s="671">
        <f t="shared" si="91"/>
        <v>1137</v>
      </c>
      <c r="N1139" s="671" t="str">
        <f t="shared" si="92"/>
        <v>N/A</v>
      </c>
      <c r="O1139" s="671" t="str">
        <f t="shared" si="93"/>
        <v>N/A</v>
      </c>
      <c r="P1139" s="861" t="s">
        <v>2068</v>
      </c>
      <c r="Q1139" s="861" t="s">
        <v>6036</v>
      </c>
      <c r="R1139" s="861"/>
      <c r="S1139" s="861" t="s">
        <v>1020</v>
      </c>
      <c r="T1139" s="866" t="s">
        <v>6037</v>
      </c>
      <c r="U1139" s="865"/>
    </row>
    <row r="1140" spans="1:21" ht="15">
      <c r="A1140" s="672"/>
      <c r="B1140" s="861" t="s">
        <v>6038</v>
      </c>
      <c r="C1140" s="861" t="s">
        <v>6039</v>
      </c>
      <c r="D1140" s="861" t="s">
        <v>371</v>
      </c>
      <c r="E1140" s="861"/>
      <c r="F1140" s="862"/>
      <c r="G1140" s="870" t="s">
        <v>6040</v>
      </c>
      <c r="H1140" s="874">
        <v>12630593.83</v>
      </c>
      <c r="I1140" s="871"/>
      <c r="J1140" s="863"/>
      <c r="K1140" s="868">
        <f t="shared" si="90"/>
        <v>316</v>
      </c>
      <c r="L1140" s="861"/>
      <c r="M1140" s="671">
        <f t="shared" si="91"/>
        <v>1138</v>
      </c>
      <c r="N1140" s="671" t="str">
        <f t="shared" si="92"/>
        <v>N/A</v>
      </c>
      <c r="O1140" s="671">
        <f t="shared" si="93"/>
        <v>708</v>
      </c>
      <c r="P1140" s="861" t="s">
        <v>6041</v>
      </c>
      <c r="Q1140" s="861"/>
      <c r="R1140" s="861"/>
      <c r="S1140" s="861" t="s">
        <v>454</v>
      </c>
      <c r="T1140" s="866" t="s">
        <v>6042</v>
      </c>
      <c r="U1140" s="865"/>
    </row>
    <row r="1141" spans="1:21" ht="15">
      <c r="A1141" s="857"/>
      <c r="B1141" s="861" t="s">
        <v>6043</v>
      </c>
      <c r="C1141" s="861" t="s">
        <v>6044</v>
      </c>
      <c r="D1141" s="861" t="s">
        <v>371</v>
      </c>
      <c r="E1141" s="861"/>
      <c r="F1141" s="862"/>
      <c r="G1141" s="869" t="e">
        <v>#DIV/0!</v>
      </c>
      <c r="H1141" s="874">
        <v>12629508.57</v>
      </c>
      <c r="I1141" s="871"/>
      <c r="J1141" s="863" t="s">
        <v>3333</v>
      </c>
      <c r="K1141" s="868">
        <f t="shared" si="90"/>
        <v>316</v>
      </c>
      <c r="L1141" s="861"/>
      <c r="M1141" s="671">
        <f t="shared" si="91"/>
        <v>1139</v>
      </c>
      <c r="N1141" s="671" t="str">
        <f t="shared" si="92"/>
        <v>N/A</v>
      </c>
      <c r="O1141" s="671" t="str">
        <f t="shared" si="93"/>
        <v>N/A</v>
      </c>
      <c r="P1141" s="861" t="s">
        <v>6045</v>
      </c>
      <c r="Q1141" s="861"/>
      <c r="R1141" s="861"/>
      <c r="S1141" s="861" t="s">
        <v>1989</v>
      </c>
      <c r="T1141" s="866" t="s">
        <v>6046</v>
      </c>
      <c r="U1141" s="865"/>
    </row>
    <row r="1142" spans="1:21" ht="15">
      <c r="A1142" s="672"/>
      <c r="B1142" s="861" t="s">
        <v>6047</v>
      </c>
      <c r="C1142" s="861" t="s">
        <v>6048</v>
      </c>
      <c r="D1142" s="861" t="s">
        <v>371</v>
      </c>
      <c r="E1142" s="861"/>
      <c r="F1142" s="862"/>
      <c r="G1142" s="870" t="s">
        <v>6049</v>
      </c>
      <c r="H1142" s="874">
        <v>12598509.58</v>
      </c>
      <c r="I1142" s="871"/>
      <c r="J1142" s="863" t="s">
        <v>2686</v>
      </c>
      <c r="K1142" s="868">
        <f t="shared" si="90"/>
        <v>316</v>
      </c>
      <c r="L1142" s="861"/>
      <c r="M1142" s="671">
        <f t="shared" si="91"/>
        <v>1140</v>
      </c>
      <c r="N1142" s="671" t="str">
        <f t="shared" si="92"/>
        <v>N/A</v>
      </c>
      <c r="O1142" s="671" t="str">
        <f t="shared" si="93"/>
        <v>N/A</v>
      </c>
      <c r="P1142" s="861" t="s">
        <v>771</v>
      </c>
      <c r="Q1142" s="861" t="s">
        <v>6050</v>
      </c>
      <c r="R1142" s="861"/>
      <c r="S1142" s="861" t="s">
        <v>454</v>
      </c>
      <c r="T1142" s="866" t="s">
        <v>6051</v>
      </c>
      <c r="U1142" s="865"/>
    </row>
    <row r="1143" spans="1:21" ht="15">
      <c r="A1143" s="857"/>
      <c r="B1143" s="861" t="s">
        <v>6052</v>
      </c>
      <c r="C1143" s="861" t="s">
        <v>6053</v>
      </c>
      <c r="D1143" s="861" t="s">
        <v>371</v>
      </c>
      <c r="E1143" s="861"/>
      <c r="F1143" s="862"/>
      <c r="G1143" s="869">
        <v>0</v>
      </c>
      <c r="H1143" s="874">
        <v>12577737.24</v>
      </c>
      <c r="I1143" s="871"/>
      <c r="J1143" s="863"/>
      <c r="K1143" s="868">
        <f t="shared" si="90"/>
        <v>316</v>
      </c>
      <c r="L1143" s="861"/>
      <c r="M1143" s="671">
        <f t="shared" si="91"/>
        <v>1141</v>
      </c>
      <c r="N1143" s="671" t="str">
        <f t="shared" si="92"/>
        <v>N/A</v>
      </c>
      <c r="O1143" s="671">
        <f t="shared" si="93"/>
        <v>708</v>
      </c>
      <c r="P1143" s="861" t="s">
        <v>434</v>
      </c>
      <c r="Q1143" s="861"/>
      <c r="R1143" s="863" t="s">
        <v>945</v>
      </c>
      <c r="S1143" s="861" t="s">
        <v>506</v>
      </c>
      <c r="T1143" s="866" t="s">
        <v>6054</v>
      </c>
      <c r="U1143" s="865"/>
    </row>
    <row r="1144" spans="1:21" ht="15">
      <c r="A1144" s="672"/>
      <c r="B1144" s="861" t="s">
        <v>6055</v>
      </c>
      <c r="C1144" s="861" t="s">
        <v>6056</v>
      </c>
      <c r="D1144" s="861" t="s">
        <v>371</v>
      </c>
      <c r="E1144" s="861"/>
      <c r="F1144" s="862"/>
      <c r="G1144" s="869">
        <v>2.0004135079999998</v>
      </c>
      <c r="H1144" s="874">
        <v>12576343.93</v>
      </c>
      <c r="I1144" s="871"/>
      <c r="J1144" s="862">
        <v>0.18</v>
      </c>
      <c r="K1144" s="868">
        <f t="shared" si="90"/>
        <v>316</v>
      </c>
      <c r="L1144" s="863" t="s">
        <v>1768</v>
      </c>
      <c r="M1144" s="671">
        <f t="shared" si="91"/>
        <v>1142</v>
      </c>
      <c r="N1144" s="671" t="str">
        <f t="shared" si="92"/>
        <v>N/A</v>
      </c>
      <c r="O1144" s="671">
        <f t="shared" si="93"/>
        <v>289</v>
      </c>
      <c r="P1144" s="861" t="s">
        <v>3476</v>
      </c>
      <c r="Q1144" s="861"/>
      <c r="R1144" s="863" t="s">
        <v>1522</v>
      </c>
      <c r="S1144" s="861" t="s">
        <v>487</v>
      </c>
      <c r="T1144" s="866" t="s">
        <v>6057</v>
      </c>
      <c r="U1144" s="865"/>
    </row>
    <row r="1145" spans="1:21" ht="15">
      <c r="A1145" s="857"/>
      <c r="B1145" s="861" t="s">
        <v>6058</v>
      </c>
      <c r="C1145" s="861" t="s">
        <v>6059</v>
      </c>
      <c r="D1145" s="861" t="s">
        <v>371</v>
      </c>
      <c r="E1145" s="861"/>
      <c r="F1145" s="862"/>
      <c r="G1145" s="870" t="s">
        <v>6060</v>
      </c>
      <c r="H1145" s="874">
        <v>12492750.27</v>
      </c>
      <c r="I1145" s="871"/>
      <c r="J1145" s="863" t="s">
        <v>6061</v>
      </c>
      <c r="K1145" s="868">
        <f t="shared" si="90"/>
        <v>316</v>
      </c>
      <c r="L1145" s="861"/>
      <c r="M1145" s="671">
        <f t="shared" si="91"/>
        <v>1143</v>
      </c>
      <c r="N1145" s="671" t="str">
        <f t="shared" si="92"/>
        <v>N/A</v>
      </c>
      <c r="O1145" s="671" t="str">
        <f t="shared" si="93"/>
        <v>N/A</v>
      </c>
      <c r="P1145" s="861" t="s">
        <v>6062</v>
      </c>
      <c r="Q1145" s="861"/>
      <c r="R1145" s="861"/>
      <c r="S1145" s="861" t="s">
        <v>460</v>
      </c>
      <c r="T1145" s="866" t="s">
        <v>6063</v>
      </c>
      <c r="U1145" s="865"/>
    </row>
    <row r="1146" spans="1:21" ht="15">
      <c r="A1146" s="672"/>
      <c r="B1146" s="861" t="s">
        <v>6064</v>
      </c>
      <c r="C1146" s="861" t="s">
        <v>6065</v>
      </c>
      <c r="D1146" s="861" t="s">
        <v>371</v>
      </c>
      <c r="E1146" s="861"/>
      <c r="F1146" s="862">
        <v>-1.978</v>
      </c>
      <c r="G1146" s="870" t="s">
        <v>6066</v>
      </c>
      <c r="H1146" s="874">
        <v>12449496.75</v>
      </c>
      <c r="I1146" s="871"/>
      <c r="J1146" s="863"/>
      <c r="K1146" s="868">
        <f t="shared" si="90"/>
        <v>498</v>
      </c>
      <c r="L1146" s="861"/>
      <c r="M1146" s="671">
        <f t="shared" si="91"/>
        <v>1144</v>
      </c>
      <c r="N1146" s="671" t="str">
        <f t="shared" si="92"/>
        <v>N/A</v>
      </c>
      <c r="O1146" s="671">
        <f t="shared" si="93"/>
        <v>708</v>
      </c>
      <c r="P1146" s="861" t="s">
        <v>1230</v>
      </c>
      <c r="Q1146" s="861"/>
      <c r="R1146" s="863" t="s">
        <v>2094</v>
      </c>
      <c r="S1146" s="861" t="s">
        <v>392</v>
      </c>
      <c r="T1146" s="866" t="s">
        <v>6067</v>
      </c>
      <c r="U1146" s="865"/>
    </row>
    <row r="1147" spans="1:21" ht="15">
      <c r="A1147" s="857"/>
      <c r="B1147" s="861" t="s">
        <v>6068</v>
      </c>
      <c r="C1147" s="861" t="s">
        <v>6069</v>
      </c>
      <c r="D1147" s="861" t="s">
        <v>371</v>
      </c>
      <c r="E1147" s="861"/>
      <c r="F1147" s="862"/>
      <c r="G1147" s="869" t="e">
        <v>#DIV/0!</v>
      </c>
      <c r="H1147" s="874">
        <v>12413570.619999999</v>
      </c>
      <c r="I1147" s="872" t="s">
        <v>6070</v>
      </c>
      <c r="J1147" s="863" t="s">
        <v>6071</v>
      </c>
      <c r="K1147" s="868">
        <f t="shared" si="90"/>
        <v>316</v>
      </c>
      <c r="L1147" s="861"/>
      <c r="M1147" s="671">
        <f t="shared" si="91"/>
        <v>1145</v>
      </c>
      <c r="N1147" s="671" t="str">
        <f t="shared" si="92"/>
        <v>N/A</v>
      </c>
      <c r="O1147" s="671" t="str">
        <f t="shared" si="93"/>
        <v>N/A</v>
      </c>
      <c r="P1147" s="861"/>
      <c r="Q1147" s="861"/>
      <c r="R1147" s="861"/>
      <c r="S1147" s="861" t="s">
        <v>392</v>
      </c>
      <c r="T1147" s="866" t="s">
        <v>6072</v>
      </c>
      <c r="U1147" s="865"/>
    </row>
    <row r="1148" spans="1:21" ht="15">
      <c r="A1148" s="672"/>
      <c r="B1148" s="861" t="s">
        <v>6073</v>
      </c>
      <c r="C1148" s="861" t="s">
        <v>6074</v>
      </c>
      <c r="D1148" s="861" t="s">
        <v>371</v>
      </c>
      <c r="E1148" s="861"/>
      <c r="F1148" s="862">
        <v>-0.439</v>
      </c>
      <c r="G1148" s="869">
        <v>0</v>
      </c>
      <c r="H1148" s="874">
        <v>12402970.68</v>
      </c>
      <c r="I1148" s="871"/>
      <c r="J1148" s="863" t="s">
        <v>6075</v>
      </c>
      <c r="K1148" s="868">
        <f t="shared" si="90"/>
        <v>469</v>
      </c>
      <c r="L1148" s="861"/>
      <c r="M1148" s="671">
        <f t="shared" si="91"/>
        <v>1146</v>
      </c>
      <c r="N1148" s="671" t="str">
        <f t="shared" si="92"/>
        <v>N/A</v>
      </c>
      <c r="O1148" s="671" t="str">
        <f t="shared" si="93"/>
        <v>N/A</v>
      </c>
      <c r="P1148" s="861"/>
      <c r="Q1148" s="861"/>
      <c r="R1148" s="861"/>
      <c r="S1148" s="861" t="s">
        <v>1574</v>
      </c>
      <c r="T1148" s="866" t="s">
        <v>6076</v>
      </c>
      <c r="U1148" s="865"/>
    </row>
    <row r="1149" spans="1:21" ht="15">
      <c r="A1149" s="857"/>
      <c r="B1149" s="861" t="s">
        <v>6077</v>
      </c>
      <c r="C1149" s="861" t="s">
        <v>6078</v>
      </c>
      <c r="D1149" s="861" t="s">
        <v>371</v>
      </c>
      <c r="E1149" s="861"/>
      <c r="F1149" s="862"/>
      <c r="G1149" s="870" t="s">
        <v>6079</v>
      </c>
      <c r="H1149" s="874">
        <v>12311587.75</v>
      </c>
      <c r="I1149" s="871">
        <v>96.61</v>
      </c>
      <c r="J1149" s="863" t="s">
        <v>6080</v>
      </c>
      <c r="K1149" s="868">
        <f t="shared" si="90"/>
        <v>316</v>
      </c>
      <c r="L1149" s="861"/>
      <c r="M1149" s="671">
        <f t="shared" si="91"/>
        <v>1147</v>
      </c>
      <c r="N1149" s="671">
        <f t="shared" si="92"/>
        <v>37</v>
      </c>
      <c r="O1149" s="671" t="str">
        <f t="shared" si="93"/>
        <v>N/A</v>
      </c>
      <c r="P1149" s="861" t="s">
        <v>1848</v>
      </c>
      <c r="Q1149" s="861" t="s">
        <v>6081</v>
      </c>
      <c r="R1149" s="861"/>
      <c r="S1149" s="861" t="s">
        <v>1246</v>
      </c>
      <c r="T1149" s="866" t="s">
        <v>6082</v>
      </c>
      <c r="U1149" s="865"/>
    </row>
    <row r="1150" spans="1:21" ht="15">
      <c r="A1150" s="672"/>
      <c r="B1150" s="861" t="s">
        <v>6083</v>
      </c>
      <c r="C1150" s="861" t="s">
        <v>6084</v>
      </c>
      <c r="D1150" s="861" t="s">
        <v>371</v>
      </c>
      <c r="E1150" s="861"/>
      <c r="F1150" s="862"/>
      <c r="G1150" s="870" t="s">
        <v>6085</v>
      </c>
      <c r="H1150" s="874">
        <v>12298914.220000001</v>
      </c>
      <c r="I1150" s="871"/>
      <c r="J1150" s="863" t="s">
        <v>6086</v>
      </c>
      <c r="K1150" s="868">
        <f t="shared" si="90"/>
        <v>316</v>
      </c>
      <c r="L1150" s="861"/>
      <c r="M1150" s="671">
        <f t="shared" si="91"/>
        <v>1148</v>
      </c>
      <c r="N1150" s="671" t="str">
        <f t="shared" si="92"/>
        <v>N/A</v>
      </c>
      <c r="O1150" s="671" t="str">
        <f t="shared" si="93"/>
        <v>N/A</v>
      </c>
      <c r="P1150" s="861" t="s">
        <v>1724</v>
      </c>
      <c r="Q1150" s="861" t="s">
        <v>6087</v>
      </c>
      <c r="R1150" s="861"/>
      <c r="S1150" s="861" t="s">
        <v>6088</v>
      </c>
      <c r="T1150" s="866" t="s">
        <v>6089</v>
      </c>
      <c r="U1150" s="865"/>
    </row>
    <row r="1151" spans="1:21" ht="15">
      <c r="A1151" s="857"/>
      <c r="B1151" s="861" t="s">
        <v>6090</v>
      </c>
      <c r="C1151" s="861" t="s">
        <v>6091</v>
      </c>
      <c r="D1151" s="861" t="s">
        <v>371</v>
      </c>
      <c r="E1151" s="861"/>
      <c r="F1151" s="862"/>
      <c r="G1151" s="870" t="s">
        <v>6092</v>
      </c>
      <c r="H1151" s="874">
        <v>12164924.85</v>
      </c>
      <c r="I1151" s="871"/>
      <c r="J1151" s="863" t="s">
        <v>4801</v>
      </c>
      <c r="K1151" s="868">
        <f t="shared" si="90"/>
        <v>316</v>
      </c>
      <c r="L1151" s="863" t="s">
        <v>6093</v>
      </c>
      <c r="M1151" s="671">
        <f t="shared" si="91"/>
        <v>1149</v>
      </c>
      <c r="N1151" s="671" t="str">
        <f t="shared" si="92"/>
        <v>N/A</v>
      </c>
      <c r="O1151" s="671" t="str">
        <f t="shared" si="93"/>
        <v>N/A</v>
      </c>
      <c r="P1151" s="861" t="s">
        <v>6094</v>
      </c>
      <c r="Q1151" s="861"/>
      <c r="R1151" s="863" t="s">
        <v>1420</v>
      </c>
      <c r="S1151" s="861" t="s">
        <v>3798</v>
      </c>
      <c r="T1151" s="866" t="s">
        <v>6095</v>
      </c>
      <c r="U1151" s="865"/>
    </row>
    <row r="1152" spans="1:21" ht="15">
      <c r="A1152" s="672"/>
      <c r="B1152" s="861" t="s">
        <v>6096</v>
      </c>
      <c r="C1152" s="861" t="s">
        <v>6097</v>
      </c>
      <c r="D1152" s="861" t="s">
        <v>371</v>
      </c>
      <c r="E1152" s="861"/>
      <c r="F1152" s="862"/>
      <c r="G1152" s="869">
        <v>39.40520446</v>
      </c>
      <c r="H1152" s="874">
        <v>12108065.98</v>
      </c>
      <c r="I1152" s="871"/>
      <c r="J1152" s="862">
        <v>0.13400000000000001</v>
      </c>
      <c r="K1152" s="868">
        <f t="shared" si="90"/>
        <v>316</v>
      </c>
      <c r="L1152" s="863" t="s">
        <v>4505</v>
      </c>
      <c r="M1152" s="671">
        <f t="shared" si="91"/>
        <v>1150</v>
      </c>
      <c r="N1152" s="671" t="str">
        <f t="shared" si="92"/>
        <v>N/A</v>
      </c>
      <c r="O1152" s="671">
        <f t="shared" si="93"/>
        <v>387</v>
      </c>
      <c r="P1152" s="861" t="s">
        <v>542</v>
      </c>
      <c r="Q1152" s="861"/>
      <c r="R1152" s="863" t="s">
        <v>6098</v>
      </c>
      <c r="S1152" s="861" t="s">
        <v>3233</v>
      </c>
      <c r="T1152" s="866" t="s">
        <v>6099</v>
      </c>
      <c r="U1152" s="865"/>
    </row>
    <row r="1153" spans="1:21" ht="15">
      <c r="A1153" s="857"/>
      <c r="B1153" s="861" t="s">
        <v>6100</v>
      </c>
      <c r="C1153" s="861" t="s">
        <v>6101</v>
      </c>
      <c r="D1153" s="861" t="s">
        <v>371</v>
      </c>
      <c r="E1153" s="861"/>
      <c r="F1153" s="862"/>
      <c r="G1153" s="869">
        <v>0</v>
      </c>
      <c r="H1153" s="874">
        <v>12019689.199999999</v>
      </c>
      <c r="I1153" s="871"/>
      <c r="J1153" s="861"/>
      <c r="K1153" s="868">
        <f t="shared" si="90"/>
        <v>316</v>
      </c>
      <c r="L1153" s="861"/>
      <c r="M1153" s="671">
        <f t="shared" si="91"/>
        <v>1151</v>
      </c>
      <c r="N1153" s="671" t="str">
        <f t="shared" si="92"/>
        <v>N/A</v>
      </c>
      <c r="O1153" s="671">
        <f t="shared" si="93"/>
        <v>708</v>
      </c>
      <c r="P1153" s="861" t="s">
        <v>1636</v>
      </c>
      <c r="Q1153" s="861" t="s">
        <v>6102</v>
      </c>
      <c r="R1153" s="861"/>
      <c r="S1153" s="861" t="s">
        <v>1215</v>
      </c>
      <c r="T1153" s="866" t="s">
        <v>6103</v>
      </c>
      <c r="U1153" s="865"/>
    </row>
    <row r="1154" spans="1:21" ht="15">
      <c r="A1154" s="672"/>
      <c r="B1154" s="861" t="s">
        <v>6104</v>
      </c>
      <c r="C1154" s="861" t="s">
        <v>6105</v>
      </c>
      <c r="D1154" s="861" t="s">
        <v>371</v>
      </c>
      <c r="E1154" s="861"/>
      <c r="F1154" s="862"/>
      <c r="G1154" s="869">
        <v>0.90087280700000005</v>
      </c>
      <c r="H1154" s="874">
        <v>11989168.82</v>
      </c>
      <c r="I1154" s="871"/>
      <c r="J1154" s="862">
        <v>5.0000000000000001E-3</v>
      </c>
      <c r="K1154" s="868">
        <f t="shared" si="90"/>
        <v>316</v>
      </c>
      <c r="L1154" s="861"/>
      <c r="M1154" s="671">
        <f t="shared" si="91"/>
        <v>1152</v>
      </c>
      <c r="N1154" s="671" t="str">
        <f t="shared" si="92"/>
        <v>N/A</v>
      </c>
      <c r="O1154" s="671">
        <f t="shared" si="93"/>
        <v>695</v>
      </c>
      <c r="P1154" s="861" t="s">
        <v>943</v>
      </c>
      <c r="Q1154" s="861" t="s">
        <v>6106</v>
      </c>
      <c r="R1154" s="861"/>
      <c r="S1154" s="861" t="s">
        <v>6107</v>
      </c>
      <c r="T1154" s="866" t="s">
        <v>6108</v>
      </c>
      <c r="U1154" s="865"/>
    </row>
    <row r="1155" spans="1:21" ht="15">
      <c r="A1155" s="857"/>
      <c r="B1155" s="861" t="s">
        <v>6109</v>
      </c>
      <c r="C1155" s="861" t="s">
        <v>6110</v>
      </c>
      <c r="D1155" s="861" t="s">
        <v>371</v>
      </c>
      <c r="E1155" s="861"/>
      <c r="F1155" s="862"/>
      <c r="G1155" s="869">
        <v>1.242011078</v>
      </c>
      <c r="H1155" s="874">
        <v>11763705.560000001</v>
      </c>
      <c r="I1155" s="871">
        <v>24.29</v>
      </c>
      <c r="J1155" s="863" t="s">
        <v>6111</v>
      </c>
      <c r="K1155" s="868">
        <f t="shared" si="90"/>
        <v>316</v>
      </c>
      <c r="L1155" s="861"/>
      <c r="M1155" s="671">
        <f t="shared" si="91"/>
        <v>1153</v>
      </c>
      <c r="N1155" s="671">
        <f t="shared" si="92"/>
        <v>164</v>
      </c>
      <c r="O1155" s="671" t="str">
        <f t="shared" si="93"/>
        <v>N/A</v>
      </c>
      <c r="P1155" s="863" t="s">
        <v>4085</v>
      </c>
      <c r="Q1155" s="863" t="s">
        <v>6112</v>
      </c>
      <c r="R1155" s="861"/>
      <c r="S1155" s="861" t="s">
        <v>734</v>
      </c>
      <c r="T1155" s="866" t="s">
        <v>6113</v>
      </c>
      <c r="U1155" s="865"/>
    </row>
    <row r="1156" spans="1:21" ht="15">
      <c r="A1156" s="672"/>
      <c r="B1156" s="861" t="s">
        <v>6114</v>
      </c>
      <c r="C1156" s="861" t="s">
        <v>6115</v>
      </c>
      <c r="D1156" s="861" t="s">
        <v>371</v>
      </c>
      <c r="E1156" s="861"/>
      <c r="F1156" s="862"/>
      <c r="G1156" s="870" t="s">
        <v>6116</v>
      </c>
      <c r="H1156" s="874">
        <v>11756972.109999999</v>
      </c>
      <c r="I1156" s="871"/>
      <c r="J1156" s="862">
        <v>0.12</v>
      </c>
      <c r="K1156" s="868">
        <f t="shared" ref="K1156:K1219" si="94">IFERROR(_xlfn.RANK.EQ(F1156,F$3:F$1770),"N/A")</f>
        <v>316</v>
      </c>
      <c r="L1156" s="861"/>
      <c r="M1156" s="671">
        <f t="shared" ref="M1156:M1219" si="95">IFERROR(_xlfn.RANK.EQ(H1156,H$3:H$1770),"N/A")</f>
        <v>1154</v>
      </c>
      <c r="N1156" s="671" t="str">
        <f t="shared" ref="N1156:N1219" si="96">IFERROR(_xlfn.RANK.EQ(I1156,I$3:I$1770),"N/A")</f>
        <v>N/A</v>
      </c>
      <c r="O1156" s="671">
        <f t="shared" ref="O1156:O1219" si="97">IFERROR(_xlfn.RANK.EQ(J1156,J$3:J$1770),"N/A")</f>
        <v>424</v>
      </c>
      <c r="P1156" s="861" t="s">
        <v>6117</v>
      </c>
      <c r="Q1156" s="861"/>
      <c r="R1156" s="863" t="s">
        <v>3670</v>
      </c>
      <c r="S1156" s="861" t="s">
        <v>1150</v>
      </c>
      <c r="T1156" s="866" t="s">
        <v>6118</v>
      </c>
      <c r="U1156" s="865"/>
    </row>
    <row r="1157" spans="1:21" ht="15">
      <c r="A1157" s="857"/>
      <c r="B1157" s="861" t="s">
        <v>6119</v>
      </c>
      <c r="C1157" s="861" t="s">
        <v>6120</v>
      </c>
      <c r="D1157" s="861" t="s">
        <v>371</v>
      </c>
      <c r="E1157" s="861"/>
      <c r="F1157" s="862"/>
      <c r="G1157" s="869">
        <v>0</v>
      </c>
      <c r="H1157" s="874">
        <v>11584976.24</v>
      </c>
      <c r="I1157" s="871">
        <v>111.34</v>
      </c>
      <c r="J1157" s="863" t="s">
        <v>6121</v>
      </c>
      <c r="K1157" s="868">
        <f t="shared" si="94"/>
        <v>316</v>
      </c>
      <c r="L1157" s="861"/>
      <c r="M1157" s="671">
        <f t="shared" si="95"/>
        <v>1155</v>
      </c>
      <c r="N1157" s="671">
        <f t="shared" si="96"/>
        <v>23</v>
      </c>
      <c r="O1157" s="671" t="str">
        <f t="shared" si="97"/>
        <v>N/A</v>
      </c>
      <c r="P1157" s="861" t="s">
        <v>6122</v>
      </c>
      <c r="Q1157" s="861"/>
      <c r="R1157" s="861"/>
      <c r="S1157" s="861" t="s">
        <v>404</v>
      </c>
      <c r="T1157" s="866" t="s">
        <v>6123</v>
      </c>
      <c r="U1157" s="865"/>
    </row>
    <row r="1158" spans="1:21" ht="15">
      <c r="A1158" s="672"/>
      <c r="B1158" s="861" t="s">
        <v>6124</v>
      </c>
      <c r="C1158" s="861" t="s">
        <v>6125</v>
      </c>
      <c r="D1158" s="861" t="s">
        <v>371</v>
      </c>
      <c r="E1158" s="861"/>
      <c r="F1158" s="862"/>
      <c r="G1158" s="870" t="s">
        <v>6126</v>
      </c>
      <c r="H1158" s="874">
        <v>11484322.189999999</v>
      </c>
      <c r="I1158" s="871"/>
      <c r="J1158" s="863" t="s">
        <v>6127</v>
      </c>
      <c r="K1158" s="868">
        <f t="shared" si="94"/>
        <v>316</v>
      </c>
      <c r="L1158" s="861" t="s">
        <v>653</v>
      </c>
      <c r="M1158" s="671">
        <f t="shared" si="95"/>
        <v>1156</v>
      </c>
      <c r="N1158" s="671" t="str">
        <f t="shared" si="96"/>
        <v>N/A</v>
      </c>
      <c r="O1158" s="671" t="str">
        <f t="shared" si="97"/>
        <v>N/A</v>
      </c>
      <c r="P1158" s="861" t="s">
        <v>5046</v>
      </c>
      <c r="Q1158" s="861" t="s">
        <v>6128</v>
      </c>
      <c r="R1158" s="861" t="s">
        <v>653</v>
      </c>
      <c r="S1158" s="861" t="s">
        <v>6129</v>
      </c>
      <c r="T1158" s="866" t="s">
        <v>6130</v>
      </c>
      <c r="U1158" s="865"/>
    </row>
    <row r="1159" spans="1:21" ht="15">
      <c r="A1159" s="857"/>
      <c r="B1159" s="861" t="s">
        <v>6131</v>
      </c>
      <c r="C1159" s="861" t="s">
        <v>6132</v>
      </c>
      <c r="D1159" s="861" t="s">
        <v>371</v>
      </c>
      <c r="E1159" s="861"/>
      <c r="F1159" s="862"/>
      <c r="G1159" s="870" t="s">
        <v>6133</v>
      </c>
      <c r="H1159" s="874">
        <v>11404910.550000001</v>
      </c>
      <c r="I1159" s="871"/>
      <c r="J1159" s="863" t="s">
        <v>6134</v>
      </c>
      <c r="K1159" s="868">
        <f t="shared" si="94"/>
        <v>316</v>
      </c>
      <c r="L1159" s="861"/>
      <c r="M1159" s="671">
        <f t="shared" si="95"/>
        <v>1157</v>
      </c>
      <c r="N1159" s="671" t="str">
        <f t="shared" si="96"/>
        <v>N/A</v>
      </c>
      <c r="O1159" s="671" t="str">
        <f t="shared" si="97"/>
        <v>N/A</v>
      </c>
      <c r="P1159" s="861"/>
      <c r="Q1159" s="861"/>
      <c r="R1159" s="861"/>
      <c r="S1159" s="861" t="s">
        <v>1860</v>
      </c>
      <c r="T1159" s="866" t="s">
        <v>6135</v>
      </c>
      <c r="U1159" s="865"/>
    </row>
    <row r="1160" spans="1:21" ht="15">
      <c r="A1160" s="672"/>
      <c r="B1160" s="861" t="s">
        <v>6136</v>
      </c>
      <c r="C1160" s="861" t="s">
        <v>6137</v>
      </c>
      <c r="D1160" s="861" t="s">
        <v>371</v>
      </c>
      <c r="E1160" s="861"/>
      <c r="F1160" s="862"/>
      <c r="G1160" s="870" t="s">
        <v>6138</v>
      </c>
      <c r="H1160" s="874">
        <v>11404898.16</v>
      </c>
      <c r="I1160" s="871"/>
      <c r="J1160" s="863" t="s">
        <v>6139</v>
      </c>
      <c r="K1160" s="868">
        <f t="shared" si="94"/>
        <v>316</v>
      </c>
      <c r="L1160" s="863" t="s">
        <v>448</v>
      </c>
      <c r="M1160" s="671">
        <f t="shared" si="95"/>
        <v>1158</v>
      </c>
      <c r="N1160" s="671" t="str">
        <f t="shared" si="96"/>
        <v>N/A</v>
      </c>
      <c r="O1160" s="671" t="str">
        <f t="shared" si="97"/>
        <v>N/A</v>
      </c>
      <c r="P1160" s="861" t="s">
        <v>1617</v>
      </c>
      <c r="Q1160" s="861" t="s">
        <v>6140</v>
      </c>
      <c r="R1160" s="861"/>
      <c r="S1160" s="861" t="s">
        <v>3584</v>
      </c>
      <c r="T1160" s="866" t="s">
        <v>6141</v>
      </c>
      <c r="U1160" s="865"/>
    </row>
    <row r="1161" spans="1:21" ht="15">
      <c r="A1161" s="857"/>
      <c r="B1161" s="861" t="s">
        <v>6142</v>
      </c>
      <c r="C1161" s="861" t="s">
        <v>6143</v>
      </c>
      <c r="D1161" s="861" t="s">
        <v>371</v>
      </c>
      <c r="E1161" s="861"/>
      <c r="F1161" s="862">
        <v>-0.93400000000000005</v>
      </c>
      <c r="G1161" s="870" t="s">
        <v>6144</v>
      </c>
      <c r="H1161" s="874">
        <v>11374634.220000001</v>
      </c>
      <c r="I1161" s="871"/>
      <c r="J1161" s="863" t="s">
        <v>3333</v>
      </c>
      <c r="K1161" s="868">
        <f t="shared" si="94"/>
        <v>488</v>
      </c>
      <c r="L1161" s="861"/>
      <c r="M1161" s="671">
        <f t="shared" si="95"/>
        <v>1159</v>
      </c>
      <c r="N1161" s="671" t="str">
        <f t="shared" si="96"/>
        <v>N/A</v>
      </c>
      <c r="O1161" s="671" t="str">
        <f t="shared" si="97"/>
        <v>N/A</v>
      </c>
      <c r="P1161" s="861"/>
      <c r="Q1161" s="861"/>
      <c r="R1161" s="861"/>
      <c r="S1161" s="861" t="s">
        <v>454</v>
      </c>
      <c r="T1161" s="866" t="s">
        <v>6145</v>
      </c>
      <c r="U1161" s="865"/>
    </row>
    <row r="1162" spans="1:21" ht="15">
      <c r="A1162" s="672"/>
      <c r="B1162" s="861" t="s">
        <v>6146</v>
      </c>
      <c r="C1162" s="861" t="s">
        <v>6147</v>
      </c>
      <c r="D1162" s="861" t="s">
        <v>371</v>
      </c>
      <c r="E1162" s="861"/>
      <c r="F1162" s="862"/>
      <c r="G1162" s="869">
        <v>0</v>
      </c>
      <c r="H1162" s="874">
        <v>11354506.17</v>
      </c>
      <c r="I1162" s="871"/>
      <c r="J1162" s="862">
        <v>7.1999999999999995E-2</v>
      </c>
      <c r="K1162" s="868">
        <f t="shared" si="94"/>
        <v>316</v>
      </c>
      <c r="L1162" s="861" t="s">
        <v>487</v>
      </c>
      <c r="M1162" s="671">
        <f t="shared" si="95"/>
        <v>1160</v>
      </c>
      <c r="N1162" s="671" t="str">
        <f t="shared" si="96"/>
        <v>N/A</v>
      </c>
      <c r="O1162" s="671">
        <f t="shared" si="97"/>
        <v>558</v>
      </c>
      <c r="P1162" s="861" t="s">
        <v>2068</v>
      </c>
      <c r="Q1162" s="861" t="s">
        <v>6148</v>
      </c>
      <c r="R1162" s="861" t="s">
        <v>487</v>
      </c>
      <c r="S1162" s="861" t="s">
        <v>3255</v>
      </c>
      <c r="T1162" s="866" t="s">
        <v>6149</v>
      </c>
      <c r="U1162" s="865"/>
    </row>
    <row r="1163" spans="1:21" ht="15">
      <c r="A1163" s="857"/>
      <c r="B1163" s="861" t="s">
        <v>6150</v>
      </c>
      <c r="C1163" s="861" t="s">
        <v>6151</v>
      </c>
      <c r="D1163" s="861" t="s">
        <v>371</v>
      </c>
      <c r="E1163" s="861"/>
      <c r="F1163" s="862"/>
      <c r="G1163" s="869">
        <v>2.065489049</v>
      </c>
      <c r="H1163" s="874">
        <v>11344905.810000001</v>
      </c>
      <c r="I1163" s="871"/>
      <c r="J1163" s="863" t="s">
        <v>6152</v>
      </c>
      <c r="K1163" s="868">
        <f t="shared" si="94"/>
        <v>316</v>
      </c>
      <c r="L1163" s="861"/>
      <c r="M1163" s="671">
        <f t="shared" si="95"/>
        <v>1161</v>
      </c>
      <c r="N1163" s="671" t="str">
        <f t="shared" si="96"/>
        <v>N/A</v>
      </c>
      <c r="O1163" s="671" t="str">
        <f t="shared" si="97"/>
        <v>N/A</v>
      </c>
      <c r="P1163" s="861" t="s">
        <v>6153</v>
      </c>
      <c r="Q1163" s="861"/>
      <c r="R1163" s="861"/>
      <c r="S1163" s="861" t="s">
        <v>424</v>
      </c>
      <c r="T1163" s="866" t="s">
        <v>6154</v>
      </c>
      <c r="U1163" s="865"/>
    </row>
    <row r="1164" spans="1:21" ht="15">
      <c r="A1164" s="672"/>
      <c r="B1164" s="861" t="s">
        <v>6155</v>
      </c>
      <c r="C1164" s="861" t="s">
        <v>6156</v>
      </c>
      <c r="D1164" s="861" t="s">
        <v>371</v>
      </c>
      <c r="E1164" s="861"/>
      <c r="F1164" s="862"/>
      <c r="G1164" s="870" t="s">
        <v>6157</v>
      </c>
      <c r="H1164" s="874">
        <v>11247752.859999999</v>
      </c>
      <c r="I1164" s="871"/>
      <c r="J1164" s="862">
        <v>7.2999999999999995E-2</v>
      </c>
      <c r="K1164" s="868">
        <f t="shared" si="94"/>
        <v>316</v>
      </c>
      <c r="L1164" s="861"/>
      <c r="M1164" s="671">
        <f t="shared" si="95"/>
        <v>1162</v>
      </c>
      <c r="N1164" s="671" t="str">
        <f t="shared" si="96"/>
        <v>N/A</v>
      </c>
      <c r="O1164" s="671">
        <f t="shared" si="97"/>
        <v>554</v>
      </c>
      <c r="P1164" s="861" t="s">
        <v>6158</v>
      </c>
      <c r="Q1164" s="861"/>
      <c r="R1164" s="861"/>
      <c r="S1164" s="861" t="s">
        <v>6159</v>
      </c>
      <c r="T1164" s="866" t="s">
        <v>6160</v>
      </c>
      <c r="U1164" s="865"/>
    </row>
    <row r="1165" spans="1:21" ht="15">
      <c r="A1165" s="857"/>
      <c r="B1165" s="861" t="s">
        <v>6161</v>
      </c>
      <c r="C1165" s="861" t="s">
        <v>6162</v>
      </c>
      <c r="D1165" s="861" t="s">
        <v>371</v>
      </c>
      <c r="E1165" s="861"/>
      <c r="F1165" s="862"/>
      <c r="G1165" s="869">
        <v>2.878207739</v>
      </c>
      <c r="H1165" s="874">
        <v>11245405.02</v>
      </c>
      <c r="I1165" s="871"/>
      <c r="J1165" s="862">
        <v>6.9000000000000006E-2</v>
      </c>
      <c r="K1165" s="868">
        <f t="shared" si="94"/>
        <v>316</v>
      </c>
      <c r="L1165" s="861"/>
      <c r="M1165" s="671">
        <f t="shared" si="95"/>
        <v>1163</v>
      </c>
      <c r="N1165" s="671" t="str">
        <f t="shared" si="96"/>
        <v>N/A</v>
      </c>
      <c r="O1165" s="671">
        <f t="shared" si="97"/>
        <v>565</v>
      </c>
      <c r="P1165" s="861" t="s">
        <v>6163</v>
      </c>
      <c r="Q1165" s="861" t="s">
        <v>6164</v>
      </c>
      <c r="R1165" s="861"/>
      <c r="S1165" s="861" t="s">
        <v>2629</v>
      </c>
      <c r="T1165" s="866" t="s">
        <v>6165</v>
      </c>
      <c r="U1165" s="865"/>
    </row>
    <row r="1166" spans="1:21" ht="15">
      <c r="A1166" s="672"/>
      <c r="B1166" s="861" t="s">
        <v>6166</v>
      </c>
      <c r="C1166" s="861" t="s">
        <v>6167</v>
      </c>
      <c r="D1166" s="861" t="s">
        <v>371</v>
      </c>
      <c r="E1166" s="861"/>
      <c r="F1166" s="862"/>
      <c r="G1166" s="869">
        <v>1.1608058569999999</v>
      </c>
      <c r="H1166" s="874">
        <v>11158446.6</v>
      </c>
      <c r="I1166" s="871">
        <v>172.33</v>
      </c>
      <c r="J1166" s="863" t="s">
        <v>6168</v>
      </c>
      <c r="K1166" s="868">
        <f t="shared" si="94"/>
        <v>316</v>
      </c>
      <c r="L1166" s="861"/>
      <c r="M1166" s="671">
        <f t="shared" si="95"/>
        <v>1164</v>
      </c>
      <c r="N1166" s="671">
        <f t="shared" si="96"/>
        <v>9</v>
      </c>
      <c r="O1166" s="671" t="str">
        <f t="shared" si="97"/>
        <v>N/A</v>
      </c>
      <c r="P1166" s="861" t="s">
        <v>6169</v>
      </c>
      <c r="Q1166" s="861"/>
      <c r="R1166" s="861"/>
      <c r="S1166" s="861" t="s">
        <v>1475</v>
      </c>
      <c r="T1166" s="866" t="s">
        <v>6170</v>
      </c>
      <c r="U1166" s="865"/>
    </row>
    <row r="1167" spans="1:21" ht="15">
      <c r="A1167" s="857"/>
      <c r="B1167" s="861" t="s">
        <v>6171</v>
      </c>
      <c r="C1167" s="861" t="s">
        <v>6172</v>
      </c>
      <c r="D1167" s="861" t="s">
        <v>371</v>
      </c>
      <c r="E1167" s="861"/>
      <c r="F1167" s="862">
        <v>-4.532</v>
      </c>
      <c r="G1167" s="870" t="s">
        <v>6173</v>
      </c>
      <c r="H1167" s="874">
        <v>11147474.439999999</v>
      </c>
      <c r="I1167" s="871"/>
      <c r="J1167" s="862">
        <v>5.0000000000000001E-3</v>
      </c>
      <c r="K1167" s="868">
        <f t="shared" si="94"/>
        <v>504</v>
      </c>
      <c r="L1167" s="861"/>
      <c r="M1167" s="671">
        <f t="shared" si="95"/>
        <v>1165</v>
      </c>
      <c r="N1167" s="671" t="str">
        <f t="shared" si="96"/>
        <v>N/A</v>
      </c>
      <c r="O1167" s="671">
        <f t="shared" si="97"/>
        <v>695</v>
      </c>
      <c r="P1167" s="861" t="s">
        <v>2096</v>
      </c>
      <c r="Q1167" s="861"/>
      <c r="R1167" s="861"/>
      <c r="S1167" s="861" t="s">
        <v>763</v>
      </c>
      <c r="T1167" s="866" t="s">
        <v>6174</v>
      </c>
      <c r="U1167" s="865"/>
    </row>
    <row r="1168" spans="1:21" ht="15">
      <c r="A1168" s="672"/>
      <c r="B1168" s="861" t="s">
        <v>6175</v>
      </c>
      <c r="C1168" s="861" t="s">
        <v>6176</v>
      </c>
      <c r="D1168" s="861" t="s">
        <v>371</v>
      </c>
      <c r="E1168" s="861"/>
      <c r="F1168" s="862"/>
      <c r="G1168" s="870" t="s">
        <v>6177</v>
      </c>
      <c r="H1168" s="874">
        <v>11093883.15</v>
      </c>
      <c r="I1168" s="871">
        <v>195.19</v>
      </c>
      <c r="J1168" s="863" t="s">
        <v>6178</v>
      </c>
      <c r="K1168" s="868">
        <f t="shared" si="94"/>
        <v>316</v>
      </c>
      <c r="L1168" s="861"/>
      <c r="M1168" s="671">
        <f t="shared" si="95"/>
        <v>1166</v>
      </c>
      <c r="N1168" s="671">
        <f t="shared" si="96"/>
        <v>6</v>
      </c>
      <c r="O1168" s="671" t="str">
        <f t="shared" si="97"/>
        <v>N/A</v>
      </c>
      <c r="P1168" s="861"/>
      <c r="Q1168" s="861"/>
      <c r="R1168" s="861"/>
      <c r="S1168" s="861" t="s">
        <v>424</v>
      </c>
      <c r="T1168" s="866" t="s">
        <v>6179</v>
      </c>
      <c r="U1168" s="865"/>
    </row>
    <row r="1169" spans="1:21" ht="15">
      <c r="A1169" s="857"/>
      <c r="B1169" s="861" t="s">
        <v>6180</v>
      </c>
      <c r="C1169" s="861" t="s">
        <v>6181</v>
      </c>
      <c r="D1169" s="861" t="s">
        <v>371</v>
      </c>
      <c r="E1169" s="861"/>
      <c r="F1169" s="862"/>
      <c r="G1169" s="870" t="s">
        <v>6182</v>
      </c>
      <c r="H1169" s="874">
        <v>11045249.23</v>
      </c>
      <c r="I1169" s="871"/>
      <c r="J1169" s="863" t="s">
        <v>978</v>
      </c>
      <c r="K1169" s="868">
        <f t="shared" si="94"/>
        <v>316</v>
      </c>
      <c r="L1169" s="861"/>
      <c r="M1169" s="671">
        <f t="shared" si="95"/>
        <v>1167</v>
      </c>
      <c r="N1169" s="671" t="str">
        <f t="shared" si="96"/>
        <v>N/A</v>
      </c>
      <c r="O1169" s="671" t="str">
        <f t="shared" si="97"/>
        <v>N/A</v>
      </c>
      <c r="P1169" s="861" t="s">
        <v>6183</v>
      </c>
      <c r="Q1169" s="861" t="s">
        <v>6184</v>
      </c>
      <c r="R1169" s="861"/>
      <c r="S1169" s="861" t="s">
        <v>6185</v>
      </c>
      <c r="T1169" s="866" t="s">
        <v>6186</v>
      </c>
      <c r="U1169" s="865"/>
    </row>
    <row r="1170" spans="1:21" ht="15">
      <c r="A1170" s="672"/>
      <c r="B1170" s="861" t="s">
        <v>6187</v>
      </c>
      <c r="C1170" s="861" t="s">
        <v>6188</v>
      </c>
      <c r="D1170" s="861" t="s">
        <v>371</v>
      </c>
      <c r="E1170" s="861"/>
      <c r="F1170" s="862"/>
      <c r="G1170" s="870" t="s">
        <v>6189</v>
      </c>
      <c r="H1170" s="874">
        <v>11015386.199999999</v>
      </c>
      <c r="I1170" s="871"/>
      <c r="J1170" s="863" t="s">
        <v>6190</v>
      </c>
      <c r="K1170" s="868">
        <f t="shared" si="94"/>
        <v>316</v>
      </c>
      <c r="L1170" s="861"/>
      <c r="M1170" s="671">
        <f t="shared" si="95"/>
        <v>1168</v>
      </c>
      <c r="N1170" s="671" t="str">
        <f t="shared" si="96"/>
        <v>N/A</v>
      </c>
      <c r="O1170" s="671" t="str">
        <f t="shared" si="97"/>
        <v>N/A</v>
      </c>
      <c r="P1170" s="861" t="s">
        <v>3248</v>
      </c>
      <c r="Q1170" s="861"/>
      <c r="R1170" s="861"/>
      <c r="S1170" s="861" t="s">
        <v>904</v>
      </c>
      <c r="T1170" s="866" t="s">
        <v>6191</v>
      </c>
      <c r="U1170" s="865"/>
    </row>
    <row r="1171" spans="1:21" ht="15">
      <c r="A1171" s="857"/>
      <c r="B1171" s="861" t="s">
        <v>6192</v>
      </c>
      <c r="C1171" s="861" t="s">
        <v>6193</v>
      </c>
      <c r="D1171" s="861" t="s">
        <v>371</v>
      </c>
      <c r="E1171" s="861"/>
      <c r="F1171" s="862"/>
      <c r="G1171" s="870" t="s">
        <v>6194</v>
      </c>
      <c r="H1171" s="874">
        <v>11013561.859999999</v>
      </c>
      <c r="I1171" s="871">
        <v>14.2</v>
      </c>
      <c r="J1171" s="862">
        <v>1E-3</v>
      </c>
      <c r="K1171" s="868">
        <f t="shared" si="94"/>
        <v>316</v>
      </c>
      <c r="L1171" s="861"/>
      <c r="M1171" s="671">
        <f t="shared" si="95"/>
        <v>1169</v>
      </c>
      <c r="N1171" s="671">
        <f t="shared" si="96"/>
        <v>199</v>
      </c>
      <c r="O1171" s="671">
        <f t="shared" si="97"/>
        <v>703</v>
      </c>
      <c r="P1171" s="861" t="s">
        <v>2096</v>
      </c>
      <c r="Q1171" s="861" t="s">
        <v>630</v>
      </c>
      <c r="R1171" s="861"/>
      <c r="S1171" s="861" t="s">
        <v>6195</v>
      </c>
      <c r="T1171" s="866" t="s">
        <v>6196</v>
      </c>
      <c r="U1171" s="865"/>
    </row>
    <row r="1172" spans="1:21" ht="15">
      <c r="A1172" s="672"/>
      <c r="B1172" s="861" t="s">
        <v>6197</v>
      </c>
      <c r="C1172" s="861" t="s">
        <v>6198</v>
      </c>
      <c r="D1172" s="861" t="s">
        <v>371</v>
      </c>
      <c r="E1172" s="861"/>
      <c r="F1172" s="862"/>
      <c r="G1172" s="870" t="s">
        <v>6199</v>
      </c>
      <c r="H1172" s="874">
        <v>10994884.74</v>
      </c>
      <c r="I1172" s="871"/>
      <c r="J1172" s="861"/>
      <c r="K1172" s="868">
        <f t="shared" si="94"/>
        <v>316</v>
      </c>
      <c r="L1172" s="861" t="s">
        <v>1020</v>
      </c>
      <c r="M1172" s="671">
        <f t="shared" si="95"/>
        <v>1170</v>
      </c>
      <c r="N1172" s="671" t="str">
        <f t="shared" si="96"/>
        <v>N/A</v>
      </c>
      <c r="O1172" s="671">
        <f t="shared" si="97"/>
        <v>708</v>
      </c>
      <c r="P1172" s="861" t="s">
        <v>3180</v>
      </c>
      <c r="Q1172" s="861" t="s">
        <v>6200</v>
      </c>
      <c r="R1172" s="861" t="s">
        <v>1665</v>
      </c>
      <c r="S1172" s="861" t="s">
        <v>6201</v>
      </c>
      <c r="T1172" s="866" t="s">
        <v>6202</v>
      </c>
      <c r="U1172" s="865"/>
    </row>
    <row r="1173" spans="1:21" ht="15">
      <c r="A1173" s="857"/>
      <c r="B1173" s="861" t="s">
        <v>6203</v>
      </c>
      <c r="C1173" s="861" t="s">
        <v>6204</v>
      </c>
      <c r="D1173" s="861" t="s">
        <v>371</v>
      </c>
      <c r="E1173" s="861"/>
      <c r="F1173" s="862"/>
      <c r="G1173" s="870" t="s">
        <v>6205</v>
      </c>
      <c r="H1173" s="874">
        <v>10885449.140000001</v>
      </c>
      <c r="I1173" s="871"/>
      <c r="J1173" s="862">
        <v>9.2999999999999999E-2</v>
      </c>
      <c r="K1173" s="868">
        <f t="shared" si="94"/>
        <v>316</v>
      </c>
      <c r="L1173" s="861" t="s">
        <v>2117</v>
      </c>
      <c r="M1173" s="671">
        <f t="shared" si="95"/>
        <v>1171</v>
      </c>
      <c r="N1173" s="671" t="str">
        <f t="shared" si="96"/>
        <v>N/A</v>
      </c>
      <c r="O1173" s="671">
        <f t="shared" si="97"/>
        <v>517</v>
      </c>
      <c r="P1173" s="861" t="s">
        <v>1195</v>
      </c>
      <c r="Q1173" s="861" t="s">
        <v>6206</v>
      </c>
      <c r="R1173" s="861" t="s">
        <v>791</v>
      </c>
      <c r="S1173" s="861" t="s">
        <v>6207</v>
      </c>
      <c r="T1173" s="866" t="s">
        <v>6208</v>
      </c>
      <c r="U1173" s="865"/>
    </row>
    <row r="1174" spans="1:21" ht="15">
      <c r="A1174" s="672"/>
      <c r="B1174" s="861" t="s">
        <v>6209</v>
      </c>
      <c r="C1174" s="861" t="s">
        <v>6210</v>
      </c>
      <c r="D1174" s="861" t="s">
        <v>371</v>
      </c>
      <c r="E1174" s="861"/>
      <c r="F1174" s="862"/>
      <c r="G1174" s="869">
        <v>0.84070920299999996</v>
      </c>
      <c r="H1174" s="874">
        <v>10814558.92</v>
      </c>
      <c r="I1174" s="871"/>
      <c r="J1174" s="863"/>
      <c r="K1174" s="868">
        <f t="shared" si="94"/>
        <v>316</v>
      </c>
      <c r="L1174" s="861" t="s">
        <v>487</v>
      </c>
      <c r="M1174" s="671">
        <f t="shared" si="95"/>
        <v>1172</v>
      </c>
      <c r="N1174" s="671" t="str">
        <f t="shared" si="96"/>
        <v>N/A</v>
      </c>
      <c r="O1174" s="671">
        <f t="shared" si="97"/>
        <v>708</v>
      </c>
      <c r="P1174" s="861" t="s">
        <v>1597</v>
      </c>
      <c r="Q1174" s="861"/>
      <c r="R1174" s="863" t="s">
        <v>1522</v>
      </c>
      <c r="S1174" s="861" t="s">
        <v>6211</v>
      </c>
      <c r="T1174" s="866" t="s">
        <v>6212</v>
      </c>
      <c r="U1174" s="865"/>
    </row>
    <row r="1175" spans="1:21" ht="15">
      <c r="A1175" s="857"/>
      <c r="B1175" s="861" t="s">
        <v>6213</v>
      </c>
      <c r="C1175" s="861" t="s">
        <v>6214</v>
      </c>
      <c r="D1175" s="861" t="s">
        <v>371</v>
      </c>
      <c r="E1175" s="861"/>
      <c r="F1175" s="862"/>
      <c r="G1175" s="870" t="s">
        <v>6215</v>
      </c>
      <c r="H1175" s="874">
        <v>10810918.439999999</v>
      </c>
      <c r="I1175" s="871"/>
      <c r="J1175" s="862">
        <v>0.47299999999999998</v>
      </c>
      <c r="K1175" s="868">
        <f t="shared" si="94"/>
        <v>316</v>
      </c>
      <c r="L1175" s="861"/>
      <c r="M1175" s="671">
        <f t="shared" si="95"/>
        <v>1173</v>
      </c>
      <c r="N1175" s="671" t="str">
        <f t="shared" si="96"/>
        <v>N/A</v>
      </c>
      <c r="O1175" s="671">
        <f t="shared" si="97"/>
        <v>30</v>
      </c>
      <c r="P1175" s="861" t="s">
        <v>6216</v>
      </c>
      <c r="Q1175" s="861" t="s">
        <v>6217</v>
      </c>
      <c r="R1175" s="861"/>
      <c r="S1175" s="861" t="s">
        <v>415</v>
      </c>
      <c r="T1175" s="866" t="s">
        <v>6218</v>
      </c>
      <c r="U1175" s="865"/>
    </row>
    <row r="1176" spans="1:21" ht="15">
      <c r="A1176" s="672"/>
      <c r="B1176" s="861" t="s">
        <v>6219</v>
      </c>
      <c r="C1176" s="861" t="s">
        <v>6220</v>
      </c>
      <c r="D1176" s="861" t="s">
        <v>371</v>
      </c>
      <c r="E1176" s="861"/>
      <c r="F1176" s="862">
        <v>-0.246</v>
      </c>
      <c r="G1176" s="869">
        <v>9.5710260000000005E-2</v>
      </c>
      <c r="H1176" s="874">
        <v>10808936.539999999</v>
      </c>
      <c r="I1176" s="871"/>
      <c r="J1176" s="863"/>
      <c r="K1176" s="868">
        <f t="shared" si="94"/>
        <v>431</v>
      </c>
      <c r="L1176" s="863" t="s">
        <v>3167</v>
      </c>
      <c r="M1176" s="671">
        <f t="shared" si="95"/>
        <v>1174</v>
      </c>
      <c r="N1176" s="671" t="str">
        <f t="shared" si="96"/>
        <v>N/A</v>
      </c>
      <c r="O1176" s="671">
        <f t="shared" si="97"/>
        <v>708</v>
      </c>
      <c r="P1176" s="861" t="s">
        <v>889</v>
      </c>
      <c r="Q1176" s="861" t="s">
        <v>769</v>
      </c>
      <c r="R1176" s="863" t="s">
        <v>1032</v>
      </c>
      <c r="S1176" s="861" t="s">
        <v>2534</v>
      </c>
      <c r="T1176" s="866" t="s">
        <v>6221</v>
      </c>
      <c r="U1176" s="865"/>
    </row>
    <row r="1177" spans="1:21" ht="15">
      <c r="A1177" s="857"/>
      <c r="B1177" s="861" t="s">
        <v>6222</v>
      </c>
      <c r="C1177" s="861" t="s">
        <v>6223</v>
      </c>
      <c r="D1177" s="861" t="s">
        <v>371</v>
      </c>
      <c r="E1177" s="861"/>
      <c r="F1177" s="862"/>
      <c r="G1177" s="869" t="e">
        <v>#DIV/0!</v>
      </c>
      <c r="H1177" s="874">
        <v>10743708.779999999</v>
      </c>
      <c r="I1177" s="871"/>
      <c r="J1177" s="863" t="s">
        <v>6224</v>
      </c>
      <c r="K1177" s="868">
        <f t="shared" si="94"/>
        <v>316</v>
      </c>
      <c r="L1177" s="861"/>
      <c r="M1177" s="671">
        <f t="shared" si="95"/>
        <v>1175</v>
      </c>
      <c r="N1177" s="671" t="str">
        <f t="shared" si="96"/>
        <v>N/A</v>
      </c>
      <c r="O1177" s="671" t="str">
        <f t="shared" si="97"/>
        <v>N/A</v>
      </c>
      <c r="P1177" s="861" t="s">
        <v>3041</v>
      </c>
      <c r="Q1177" s="861"/>
      <c r="R1177" s="861"/>
      <c r="S1177" s="861" t="s">
        <v>1646</v>
      </c>
      <c r="T1177" s="866" t="s">
        <v>6225</v>
      </c>
      <c r="U1177" s="865"/>
    </row>
    <row r="1178" spans="1:21" ht="15">
      <c r="A1178" s="672"/>
      <c r="B1178" s="861" t="s">
        <v>6226</v>
      </c>
      <c r="C1178" s="861" t="s">
        <v>6227</v>
      </c>
      <c r="D1178" s="861" t="s">
        <v>371</v>
      </c>
      <c r="E1178" s="861"/>
      <c r="F1178" s="862"/>
      <c r="G1178" s="870" t="s">
        <v>6228</v>
      </c>
      <c r="H1178" s="874">
        <v>10733450.199999999</v>
      </c>
      <c r="I1178" s="871"/>
      <c r="J1178" s="862">
        <v>0.14799999999999999</v>
      </c>
      <c r="K1178" s="868">
        <f t="shared" si="94"/>
        <v>316</v>
      </c>
      <c r="L1178" s="861"/>
      <c r="M1178" s="671">
        <f t="shared" si="95"/>
        <v>1176</v>
      </c>
      <c r="N1178" s="671" t="str">
        <f t="shared" si="96"/>
        <v>N/A</v>
      </c>
      <c r="O1178" s="671">
        <f t="shared" si="97"/>
        <v>349</v>
      </c>
      <c r="P1178" s="861" t="s">
        <v>6229</v>
      </c>
      <c r="Q1178" s="861"/>
      <c r="R1178" s="861"/>
      <c r="S1178" s="861" t="s">
        <v>487</v>
      </c>
      <c r="T1178" s="866" t="s">
        <v>6230</v>
      </c>
      <c r="U1178" s="865"/>
    </row>
    <row r="1179" spans="1:21" ht="15">
      <c r="A1179" s="857"/>
      <c r="B1179" s="861" t="s">
        <v>6231</v>
      </c>
      <c r="C1179" s="861" t="s">
        <v>6232</v>
      </c>
      <c r="D1179" s="861" t="s">
        <v>371</v>
      </c>
      <c r="E1179" s="861"/>
      <c r="F1179" s="862"/>
      <c r="G1179" s="869">
        <v>2.3662810950000002</v>
      </c>
      <c r="H1179" s="874">
        <v>10729003.99</v>
      </c>
      <c r="I1179" s="871"/>
      <c r="J1179" s="861"/>
      <c r="K1179" s="868">
        <f t="shared" si="94"/>
        <v>316</v>
      </c>
      <c r="L1179" s="861"/>
      <c r="M1179" s="671">
        <f t="shared" si="95"/>
        <v>1177</v>
      </c>
      <c r="N1179" s="671" t="str">
        <f t="shared" si="96"/>
        <v>N/A</v>
      </c>
      <c r="O1179" s="671">
        <f t="shared" si="97"/>
        <v>708</v>
      </c>
      <c r="P1179" s="861" t="s">
        <v>4710</v>
      </c>
      <c r="Q1179" s="861"/>
      <c r="R1179" s="861"/>
      <c r="S1179" s="861" t="s">
        <v>4013</v>
      </c>
      <c r="T1179" s="866" t="s">
        <v>6233</v>
      </c>
      <c r="U1179" s="865"/>
    </row>
    <row r="1180" spans="1:21" ht="15">
      <c r="A1180" s="672"/>
      <c r="B1180" s="861" t="s">
        <v>6234</v>
      </c>
      <c r="C1180" s="861" t="s">
        <v>6235</v>
      </c>
      <c r="D1180" s="861" t="s">
        <v>371</v>
      </c>
      <c r="E1180" s="861"/>
      <c r="F1180" s="862"/>
      <c r="G1180" s="869" t="e">
        <v>#DIV/0!</v>
      </c>
      <c r="H1180" s="874">
        <v>10726522.84</v>
      </c>
      <c r="I1180" s="871"/>
      <c r="J1180" s="861"/>
      <c r="K1180" s="868">
        <f t="shared" si="94"/>
        <v>316</v>
      </c>
      <c r="L1180" s="861"/>
      <c r="M1180" s="671">
        <f t="shared" si="95"/>
        <v>1178</v>
      </c>
      <c r="N1180" s="671" t="str">
        <f t="shared" si="96"/>
        <v>N/A</v>
      </c>
      <c r="O1180" s="671">
        <f t="shared" si="97"/>
        <v>708</v>
      </c>
      <c r="P1180" s="861" t="s">
        <v>819</v>
      </c>
      <c r="Q1180" s="861" t="s">
        <v>6236</v>
      </c>
      <c r="R1180" s="861"/>
      <c r="S1180" s="861" t="s">
        <v>1893</v>
      </c>
      <c r="T1180" s="866" t="s">
        <v>6237</v>
      </c>
      <c r="U1180" s="865"/>
    </row>
    <row r="1181" spans="1:21" ht="15">
      <c r="A1181" s="857"/>
      <c r="B1181" s="861" t="s">
        <v>6238</v>
      </c>
      <c r="C1181" s="861" t="s">
        <v>6239</v>
      </c>
      <c r="D1181" s="861" t="s">
        <v>371</v>
      </c>
      <c r="E1181" s="861"/>
      <c r="F1181" s="862"/>
      <c r="G1181" s="869">
        <v>2.0454739999999999E-2</v>
      </c>
      <c r="H1181" s="874">
        <v>10689784.140000001</v>
      </c>
      <c r="I1181" s="871"/>
      <c r="J1181" s="861"/>
      <c r="K1181" s="868">
        <f t="shared" si="94"/>
        <v>316</v>
      </c>
      <c r="L1181" s="861"/>
      <c r="M1181" s="671">
        <f t="shared" si="95"/>
        <v>1179</v>
      </c>
      <c r="N1181" s="671" t="str">
        <f t="shared" si="96"/>
        <v>N/A</v>
      </c>
      <c r="O1181" s="671">
        <f t="shared" si="97"/>
        <v>708</v>
      </c>
      <c r="P1181" s="861" t="s">
        <v>409</v>
      </c>
      <c r="Q1181" s="861" t="s">
        <v>6240</v>
      </c>
      <c r="R1181" s="861"/>
      <c r="S1181" s="861" t="s">
        <v>1664</v>
      </c>
      <c r="T1181" s="866" t="s">
        <v>6241</v>
      </c>
      <c r="U1181" s="865"/>
    </row>
    <row r="1182" spans="1:21" ht="15">
      <c r="A1182" s="672"/>
      <c r="B1182" s="861" t="s">
        <v>6242</v>
      </c>
      <c r="C1182" s="861" t="s">
        <v>6243</v>
      </c>
      <c r="D1182" s="861" t="s">
        <v>371</v>
      </c>
      <c r="E1182" s="861"/>
      <c r="F1182" s="862"/>
      <c r="G1182" s="869">
        <v>15.27733183</v>
      </c>
      <c r="H1182" s="874">
        <v>10641240.560000001</v>
      </c>
      <c r="I1182" s="871"/>
      <c r="J1182" s="862">
        <v>0.06</v>
      </c>
      <c r="K1182" s="868">
        <f t="shared" si="94"/>
        <v>316</v>
      </c>
      <c r="L1182" s="861"/>
      <c r="M1182" s="671">
        <f t="shared" si="95"/>
        <v>1180</v>
      </c>
      <c r="N1182" s="671" t="str">
        <f t="shared" si="96"/>
        <v>N/A</v>
      </c>
      <c r="O1182" s="671">
        <f t="shared" si="97"/>
        <v>583</v>
      </c>
      <c r="P1182" s="861" t="s">
        <v>801</v>
      </c>
      <c r="Q1182" s="861"/>
      <c r="R1182" s="861"/>
      <c r="S1182" s="861" t="s">
        <v>1127</v>
      </c>
      <c r="T1182" s="866" t="s">
        <v>6244</v>
      </c>
      <c r="U1182" s="865"/>
    </row>
    <row r="1183" spans="1:21" ht="15">
      <c r="A1183" s="857"/>
      <c r="B1183" s="861" t="s">
        <v>6245</v>
      </c>
      <c r="C1183" s="861" t="s">
        <v>6246</v>
      </c>
      <c r="D1183" s="861" t="s">
        <v>371</v>
      </c>
      <c r="E1183" s="861"/>
      <c r="F1183" s="862"/>
      <c r="G1183" s="870" t="s">
        <v>6247</v>
      </c>
      <c r="H1183" s="874">
        <v>10617803.470000001</v>
      </c>
      <c r="I1183" s="871"/>
      <c r="J1183" s="863" t="s">
        <v>2289</v>
      </c>
      <c r="K1183" s="868">
        <f t="shared" si="94"/>
        <v>316</v>
      </c>
      <c r="L1183" s="861"/>
      <c r="M1183" s="671">
        <f t="shared" si="95"/>
        <v>1181</v>
      </c>
      <c r="N1183" s="671" t="str">
        <f t="shared" si="96"/>
        <v>N/A</v>
      </c>
      <c r="O1183" s="671" t="str">
        <f t="shared" si="97"/>
        <v>N/A</v>
      </c>
      <c r="P1183" s="861" t="s">
        <v>1001</v>
      </c>
      <c r="Q1183" s="861" t="s">
        <v>6248</v>
      </c>
      <c r="R1183" s="861"/>
      <c r="S1183" s="861" t="s">
        <v>1168</v>
      </c>
      <c r="T1183" s="866" t="s">
        <v>6249</v>
      </c>
      <c r="U1183" s="865"/>
    </row>
    <row r="1184" spans="1:21" ht="15">
      <c r="A1184" s="672"/>
      <c r="B1184" s="861" t="s">
        <v>6250</v>
      </c>
      <c r="C1184" s="861" t="s">
        <v>6251</v>
      </c>
      <c r="D1184" s="861" t="s">
        <v>371</v>
      </c>
      <c r="E1184" s="861"/>
      <c r="F1184" s="862"/>
      <c r="G1184" s="870" t="s">
        <v>6252</v>
      </c>
      <c r="H1184" s="874">
        <v>10563672.550000001</v>
      </c>
      <c r="I1184" s="871"/>
      <c r="J1184" s="862">
        <v>0.108</v>
      </c>
      <c r="K1184" s="868">
        <f t="shared" si="94"/>
        <v>316</v>
      </c>
      <c r="L1184" s="861"/>
      <c r="M1184" s="671">
        <f t="shared" si="95"/>
        <v>1182</v>
      </c>
      <c r="N1184" s="671" t="str">
        <f t="shared" si="96"/>
        <v>N/A</v>
      </c>
      <c r="O1184" s="671">
        <f t="shared" si="97"/>
        <v>461</v>
      </c>
      <c r="P1184" s="861" t="s">
        <v>1404</v>
      </c>
      <c r="Q1184" s="861"/>
      <c r="R1184" s="861"/>
      <c r="S1184" s="861" t="s">
        <v>526</v>
      </c>
      <c r="T1184" s="866" t="s">
        <v>6253</v>
      </c>
      <c r="U1184" s="865"/>
    </row>
    <row r="1185" spans="1:21" ht="15">
      <c r="A1185" s="857"/>
      <c r="B1185" s="861" t="s">
        <v>6254</v>
      </c>
      <c r="C1185" s="861" t="s">
        <v>6255</v>
      </c>
      <c r="D1185" s="861" t="s">
        <v>371</v>
      </c>
      <c r="E1185" s="861"/>
      <c r="F1185" s="862"/>
      <c r="G1185" s="869">
        <v>3.9015753E-2</v>
      </c>
      <c r="H1185" s="874">
        <v>10553684.4</v>
      </c>
      <c r="I1185" s="871"/>
      <c r="J1185" s="861"/>
      <c r="K1185" s="868">
        <f t="shared" si="94"/>
        <v>316</v>
      </c>
      <c r="L1185" s="861" t="s">
        <v>5240</v>
      </c>
      <c r="M1185" s="671">
        <f t="shared" si="95"/>
        <v>1183</v>
      </c>
      <c r="N1185" s="671" t="str">
        <f t="shared" si="96"/>
        <v>N/A</v>
      </c>
      <c r="O1185" s="671">
        <f t="shared" si="97"/>
        <v>708</v>
      </c>
      <c r="P1185" s="861" t="s">
        <v>1938</v>
      </c>
      <c r="Q1185" s="861" t="s">
        <v>6256</v>
      </c>
      <c r="R1185" s="861" t="s">
        <v>1953</v>
      </c>
      <c r="S1185" s="861" t="s">
        <v>6257</v>
      </c>
      <c r="T1185" s="866" t="s">
        <v>6258</v>
      </c>
      <c r="U1185" s="865"/>
    </row>
    <row r="1186" spans="1:21" ht="15">
      <c r="A1186" s="672"/>
      <c r="B1186" s="861" t="s">
        <v>6259</v>
      </c>
      <c r="C1186" s="861" t="s">
        <v>6260</v>
      </c>
      <c r="D1186" s="861" t="s">
        <v>371</v>
      </c>
      <c r="E1186" s="861"/>
      <c r="F1186" s="862"/>
      <c r="G1186" s="869" t="e">
        <v>#DIV/0!</v>
      </c>
      <c r="H1186" s="874">
        <v>10536809.67</v>
      </c>
      <c r="I1186" s="871"/>
      <c r="J1186" s="863"/>
      <c r="K1186" s="868">
        <f t="shared" si="94"/>
        <v>316</v>
      </c>
      <c r="L1186" s="861" t="s">
        <v>2096</v>
      </c>
      <c r="M1186" s="671">
        <f t="shared" si="95"/>
        <v>1184</v>
      </c>
      <c r="N1186" s="671" t="str">
        <f t="shared" si="96"/>
        <v>N/A</v>
      </c>
      <c r="O1186" s="671">
        <f t="shared" si="97"/>
        <v>708</v>
      </c>
      <c r="P1186" s="861" t="s">
        <v>3694</v>
      </c>
      <c r="Q1186" s="861"/>
      <c r="R1186" s="863" t="s">
        <v>1017</v>
      </c>
      <c r="S1186" s="861" t="s">
        <v>6261</v>
      </c>
      <c r="T1186" s="866" t="s">
        <v>6262</v>
      </c>
      <c r="U1186" s="865"/>
    </row>
    <row r="1187" spans="1:21" ht="15">
      <c r="A1187" s="857"/>
      <c r="B1187" s="861" t="s">
        <v>6263</v>
      </c>
      <c r="C1187" s="861" t="s">
        <v>6264</v>
      </c>
      <c r="D1187" s="861" t="s">
        <v>371</v>
      </c>
      <c r="E1187" s="861"/>
      <c r="F1187" s="862"/>
      <c r="G1187" s="869" t="e">
        <v>#DIV/0!</v>
      </c>
      <c r="H1187" s="874">
        <v>10532484.49</v>
      </c>
      <c r="I1187" s="871"/>
      <c r="J1187" s="863"/>
      <c r="K1187" s="868">
        <f t="shared" si="94"/>
        <v>316</v>
      </c>
      <c r="L1187" s="861" t="s">
        <v>424</v>
      </c>
      <c r="M1187" s="671">
        <f t="shared" si="95"/>
        <v>1185</v>
      </c>
      <c r="N1187" s="671" t="str">
        <f t="shared" si="96"/>
        <v>N/A</v>
      </c>
      <c r="O1187" s="671">
        <f t="shared" si="97"/>
        <v>708</v>
      </c>
      <c r="P1187" s="861" t="s">
        <v>819</v>
      </c>
      <c r="Q1187" s="861" t="s">
        <v>3693</v>
      </c>
      <c r="R1187" s="861"/>
      <c r="S1187" s="861" t="s">
        <v>473</v>
      </c>
      <c r="T1187" s="866" t="s">
        <v>6265</v>
      </c>
      <c r="U1187" s="865"/>
    </row>
    <row r="1188" spans="1:21" ht="15">
      <c r="A1188" s="672"/>
      <c r="B1188" s="861" t="s">
        <v>6266</v>
      </c>
      <c r="C1188" s="861" t="s">
        <v>6267</v>
      </c>
      <c r="D1188" s="861" t="s">
        <v>371</v>
      </c>
      <c r="E1188" s="861"/>
      <c r="F1188" s="862"/>
      <c r="G1188" s="869" t="e">
        <v>#DIV/0!</v>
      </c>
      <c r="H1188" s="874">
        <v>10493740.699999999</v>
      </c>
      <c r="I1188" s="871"/>
      <c r="J1188" s="863"/>
      <c r="K1188" s="868">
        <f t="shared" si="94"/>
        <v>316</v>
      </c>
      <c r="L1188" s="863" t="s">
        <v>3167</v>
      </c>
      <c r="M1188" s="671">
        <f t="shared" si="95"/>
        <v>1186</v>
      </c>
      <c r="N1188" s="671" t="str">
        <f t="shared" si="96"/>
        <v>N/A</v>
      </c>
      <c r="O1188" s="671">
        <f t="shared" si="97"/>
        <v>708</v>
      </c>
      <c r="P1188" s="861" t="s">
        <v>1749</v>
      </c>
      <c r="Q1188" s="861"/>
      <c r="R1188" s="863" t="s">
        <v>4566</v>
      </c>
      <c r="S1188" s="861" t="s">
        <v>2675</v>
      </c>
      <c r="T1188" s="866" t="s">
        <v>6268</v>
      </c>
      <c r="U1188" s="865"/>
    </row>
    <row r="1189" spans="1:21" ht="15">
      <c r="A1189" s="857"/>
      <c r="B1189" s="861" t="s">
        <v>6269</v>
      </c>
      <c r="C1189" s="861" t="s">
        <v>6270</v>
      </c>
      <c r="D1189" s="861" t="s">
        <v>371</v>
      </c>
      <c r="E1189" s="861"/>
      <c r="F1189" s="862"/>
      <c r="G1189" s="869">
        <v>1.425718963</v>
      </c>
      <c r="H1189" s="874">
        <v>10394115.880000001</v>
      </c>
      <c r="I1189" s="871"/>
      <c r="J1189" s="861"/>
      <c r="K1189" s="868">
        <f t="shared" si="94"/>
        <v>316</v>
      </c>
      <c r="L1189" s="861"/>
      <c r="M1189" s="671">
        <f t="shared" si="95"/>
        <v>1187</v>
      </c>
      <c r="N1189" s="671" t="str">
        <f t="shared" si="96"/>
        <v>N/A</v>
      </c>
      <c r="O1189" s="671">
        <f t="shared" si="97"/>
        <v>708</v>
      </c>
      <c r="P1189" s="861" t="s">
        <v>942</v>
      </c>
      <c r="Q1189" s="861" t="s">
        <v>6271</v>
      </c>
      <c r="R1189" s="861"/>
      <c r="S1189" s="861" t="s">
        <v>1098</v>
      </c>
      <c r="T1189" s="866" t="s">
        <v>6272</v>
      </c>
      <c r="U1189" s="865"/>
    </row>
    <row r="1190" spans="1:21" ht="15">
      <c r="A1190" s="672"/>
      <c r="B1190" s="861" t="s">
        <v>6273</v>
      </c>
      <c r="C1190" s="861" t="s">
        <v>6274</v>
      </c>
      <c r="D1190" s="861" t="s">
        <v>371</v>
      </c>
      <c r="E1190" s="861"/>
      <c r="F1190" s="862"/>
      <c r="G1190" s="869" t="e">
        <v>#DIV/0!</v>
      </c>
      <c r="H1190" s="874">
        <v>10367423.93</v>
      </c>
      <c r="I1190" s="871"/>
      <c r="J1190" s="862">
        <v>0.27100000000000002</v>
      </c>
      <c r="K1190" s="868">
        <f t="shared" si="94"/>
        <v>316</v>
      </c>
      <c r="L1190" s="861"/>
      <c r="M1190" s="671">
        <f t="shared" si="95"/>
        <v>1188</v>
      </c>
      <c r="N1190" s="671" t="str">
        <f t="shared" si="96"/>
        <v>N/A</v>
      </c>
      <c r="O1190" s="671">
        <f t="shared" si="97"/>
        <v>155</v>
      </c>
      <c r="P1190" s="861" t="s">
        <v>494</v>
      </c>
      <c r="Q1190" s="861" t="s">
        <v>2635</v>
      </c>
      <c r="R1190" s="861"/>
      <c r="S1190" s="861" t="s">
        <v>1866</v>
      </c>
      <c r="T1190" s="866" t="s">
        <v>6275</v>
      </c>
      <c r="U1190" s="865"/>
    </row>
    <row r="1191" spans="1:21" ht="15">
      <c r="A1191" s="857"/>
      <c r="B1191" s="861" t="s">
        <v>6276</v>
      </c>
      <c r="C1191" s="861" t="s">
        <v>6277</v>
      </c>
      <c r="D1191" s="861" t="s">
        <v>371</v>
      </c>
      <c r="E1191" s="861"/>
      <c r="F1191" s="862"/>
      <c r="G1191" s="869">
        <v>3.636659436</v>
      </c>
      <c r="H1191" s="874">
        <v>10366194.300000001</v>
      </c>
      <c r="I1191" s="871"/>
      <c r="J1191" s="861"/>
      <c r="K1191" s="868">
        <f t="shared" si="94"/>
        <v>316</v>
      </c>
      <c r="L1191" s="861" t="s">
        <v>1475</v>
      </c>
      <c r="M1191" s="671">
        <f t="shared" si="95"/>
        <v>1189</v>
      </c>
      <c r="N1191" s="671" t="str">
        <f t="shared" si="96"/>
        <v>N/A</v>
      </c>
      <c r="O1191" s="671">
        <f t="shared" si="97"/>
        <v>708</v>
      </c>
      <c r="P1191" s="861" t="s">
        <v>3952</v>
      </c>
      <c r="Q1191" s="861" t="s">
        <v>6278</v>
      </c>
      <c r="R1191" s="861" t="s">
        <v>392</v>
      </c>
      <c r="S1191" s="861" t="s">
        <v>492</v>
      </c>
      <c r="T1191" s="866" t="s">
        <v>6279</v>
      </c>
      <c r="U1191" s="865"/>
    </row>
    <row r="1192" spans="1:21" ht="15">
      <c r="A1192" s="672"/>
      <c r="B1192" s="861" t="s">
        <v>6280</v>
      </c>
      <c r="C1192" s="861" t="s">
        <v>6281</v>
      </c>
      <c r="D1192" s="861" t="s">
        <v>371</v>
      </c>
      <c r="E1192" s="861"/>
      <c r="F1192" s="862"/>
      <c r="G1192" s="869" t="e">
        <v>#DIV/0!</v>
      </c>
      <c r="H1192" s="874">
        <v>10342472.49</v>
      </c>
      <c r="I1192" s="871"/>
      <c r="J1192" s="863" t="s">
        <v>6282</v>
      </c>
      <c r="K1192" s="868">
        <f t="shared" si="94"/>
        <v>316</v>
      </c>
      <c r="L1192" s="861" t="s">
        <v>473</v>
      </c>
      <c r="M1192" s="671">
        <f t="shared" si="95"/>
        <v>1190</v>
      </c>
      <c r="N1192" s="671" t="str">
        <f t="shared" si="96"/>
        <v>N/A</v>
      </c>
      <c r="O1192" s="671" t="str">
        <f t="shared" si="97"/>
        <v>N/A</v>
      </c>
      <c r="P1192" s="861" t="s">
        <v>6283</v>
      </c>
      <c r="Q1192" s="861" t="s">
        <v>6284</v>
      </c>
      <c r="R1192" s="861" t="s">
        <v>1497</v>
      </c>
      <c r="S1192" s="861" t="s">
        <v>6285</v>
      </c>
      <c r="T1192" s="866" t="s">
        <v>6286</v>
      </c>
      <c r="U1192" s="865"/>
    </row>
    <row r="1193" spans="1:21" ht="15">
      <c r="A1193" s="857"/>
      <c r="B1193" s="861" t="s">
        <v>6287</v>
      </c>
      <c r="C1193" s="861" t="s">
        <v>6288</v>
      </c>
      <c r="D1193" s="861" t="s">
        <v>371</v>
      </c>
      <c r="E1193" s="861"/>
      <c r="F1193" s="862"/>
      <c r="G1193" s="870" t="s">
        <v>6289</v>
      </c>
      <c r="H1193" s="874">
        <v>10091724.060000001</v>
      </c>
      <c r="I1193" s="871">
        <v>25.12</v>
      </c>
      <c r="J1193" s="863" t="s">
        <v>6290</v>
      </c>
      <c r="K1193" s="868">
        <f t="shared" si="94"/>
        <v>316</v>
      </c>
      <c r="L1193" s="863" t="s">
        <v>2094</v>
      </c>
      <c r="M1193" s="671">
        <f t="shared" si="95"/>
        <v>1191</v>
      </c>
      <c r="N1193" s="671">
        <f t="shared" si="96"/>
        <v>160</v>
      </c>
      <c r="O1193" s="671" t="str">
        <f t="shared" si="97"/>
        <v>N/A</v>
      </c>
      <c r="P1193" s="861" t="s">
        <v>409</v>
      </c>
      <c r="Q1193" s="861" t="s">
        <v>6291</v>
      </c>
      <c r="R1193" s="863" t="s">
        <v>4078</v>
      </c>
      <c r="S1193" s="861" t="s">
        <v>2851</v>
      </c>
      <c r="T1193" s="866" t="s">
        <v>6292</v>
      </c>
      <c r="U1193" s="865"/>
    </row>
    <row r="1194" spans="1:21" ht="15">
      <c r="A1194" s="672"/>
      <c r="B1194" s="861" t="s">
        <v>6293</v>
      </c>
      <c r="C1194" s="861" t="s">
        <v>6294</v>
      </c>
      <c r="D1194" s="861" t="s">
        <v>371</v>
      </c>
      <c r="E1194" s="861"/>
      <c r="F1194" s="862"/>
      <c r="G1194" s="870" t="s">
        <v>6295</v>
      </c>
      <c r="H1194" s="874">
        <v>10013614.92</v>
      </c>
      <c r="I1194" s="871"/>
      <c r="J1194" s="863" t="s">
        <v>6296</v>
      </c>
      <c r="K1194" s="868">
        <f t="shared" si="94"/>
        <v>316</v>
      </c>
      <c r="L1194" s="861" t="s">
        <v>2851</v>
      </c>
      <c r="M1194" s="671">
        <f t="shared" si="95"/>
        <v>1192</v>
      </c>
      <c r="N1194" s="671" t="str">
        <f t="shared" si="96"/>
        <v>N/A</v>
      </c>
      <c r="O1194" s="671" t="str">
        <f t="shared" si="97"/>
        <v>N/A</v>
      </c>
      <c r="P1194" s="861" t="s">
        <v>399</v>
      </c>
      <c r="Q1194" s="861" t="s">
        <v>6297</v>
      </c>
      <c r="R1194" s="861" t="s">
        <v>718</v>
      </c>
      <c r="S1194" s="861" t="s">
        <v>2460</v>
      </c>
      <c r="T1194" s="866" t="s">
        <v>6298</v>
      </c>
      <c r="U1194" s="865"/>
    </row>
    <row r="1195" spans="1:21" ht="15">
      <c r="A1195" s="857"/>
      <c r="B1195" s="861" t="s">
        <v>6299</v>
      </c>
      <c r="C1195" s="861" t="s">
        <v>6300</v>
      </c>
      <c r="D1195" s="861" t="s">
        <v>371</v>
      </c>
      <c r="E1195" s="861"/>
      <c r="F1195" s="862"/>
      <c r="G1195" s="869">
        <v>0</v>
      </c>
      <c r="H1195" s="874">
        <v>9945996.7300000004</v>
      </c>
      <c r="I1195" s="871"/>
      <c r="J1195" s="863" t="s">
        <v>6301</v>
      </c>
      <c r="K1195" s="868">
        <f t="shared" si="94"/>
        <v>316</v>
      </c>
      <c r="L1195" s="861" t="s">
        <v>563</v>
      </c>
      <c r="M1195" s="671">
        <f t="shared" si="95"/>
        <v>1193</v>
      </c>
      <c r="N1195" s="671" t="str">
        <f t="shared" si="96"/>
        <v>N/A</v>
      </c>
      <c r="O1195" s="671" t="str">
        <f t="shared" si="97"/>
        <v>N/A</v>
      </c>
      <c r="P1195" s="861" t="s">
        <v>6302</v>
      </c>
      <c r="Q1195" s="861" t="s">
        <v>6303</v>
      </c>
      <c r="R1195" s="861" t="s">
        <v>454</v>
      </c>
      <c r="S1195" s="861" t="s">
        <v>5275</v>
      </c>
      <c r="T1195" s="866" t="s">
        <v>6304</v>
      </c>
      <c r="U1195" s="865"/>
    </row>
    <row r="1196" spans="1:21" ht="15">
      <c r="A1196" s="672"/>
      <c r="B1196" s="861" t="s">
        <v>6305</v>
      </c>
      <c r="C1196" s="861" t="s">
        <v>6306</v>
      </c>
      <c r="D1196" s="861" t="s">
        <v>371</v>
      </c>
      <c r="E1196" s="861"/>
      <c r="F1196" s="862">
        <v>-0.21299999999999999</v>
      </c>
      <c r="G1196" s="870" t="s">
        <v>6307</v>
      </c>
      <c r="H1196" s="874">
        <v>9898296.1999999993</v>
      </c>
      <c r="I1196" s="871"/>
      <c r="J1196" s="863" t="s">
        <v>6308</v>
      </c>
      <c r="K1196" s="868">
        <f t="shared" si="94"/>
        <v>419</v>
      </c>
      <c r="L1196" s="861" t="s">
        <v>392</v>
      </c>
      <c r="M1196" s="671">
        <f t="shared" si="95"/>
        <v>1194</v>
      </c>
      <c r="N1196" s="671" t="str">
        <f t="shared" si="96"/>
        <v>N/A</v>
      </c>
      <c r="O1196" s="671" t="str">
        <f t="shared" si="97"/>
        <v>N/A</v>
      </c>
      <c r="P1196" s="861" t="s">
        <v>478</v>
      </c>
      <c r="Q1196" s="861" t="s">
        <v>6309</v>
      </c>
      <c r="R1196" s="861" t="s">
        <v>506</v>
      </c>
      <c r="S1196" s="861" t="s">
        <v>2105</v>
      </c>
      <c r="T1196" s="866" t="s">
        <v>6310</v>
      </c>
      <c r="U1196" s="865"/>
    </row>
    <row r="1197" spans="1:21" ht="15">
      <c r="A1197" s="857"/>
      <c r="B1197" s="861" t="s">
        <v>6311</v>
      </c>
      <c r="C1197" s="861" t="s">
        <v>6312</v>
      </c>
      <c r="D1197" s="861" t="s">
        <v>371</v>
      </c>
      <c r="E1197" s="861"/>
      <c r="F1197" s="862"/>
      <c r="G1197" s="869">
        <v>0</v>
      </c>
      <c r="H1197" s="874">
        <v>9875290.8800000008</v>
      </c>
      <c r="I1197" s="871"/>
      <c r="J1197" s="863" t="s">
        <v>5627</v>
      </c>
      <c r="K1197" s="868">
        <f t="shared" si="94"/>
        <v>316</v>
      </c>
      <c r="L1197" s="863" t="s">
        <v>3670</v>
      </c>
      <c r="M1197" s="671">
        <f t="shared" si="95"/>
        <v>1195</v>
      </c>
      <c r="N1197" s="671" t="str">
        <f t="shared" si="96"/>
        <v>N/A</v>
      </c>
      <c r="O1197" s="671" t="str">
        <f t="shared" si="97"/>
        <v>N/A</v>
      </c>
      <c r="P1197" s="861" t="s">
        <v>5661</v>
      </c>
      <c r="Q1197" s="861"/>
      <c r="R1197" s="861" t="s">
        <v>557</v>
      </c>
      <c r="S1197" s="861" t="s">
        <v>5787</v>
      </c>
      <c r="T1197" s="866" t="s">
        <v>6313</v>
      </c>
      <c r="U1197" s="865"/>
    </row>
    <row r="1198" spans="1:21" ht="15">
      <c r="A1198" s="672"/>
      <c r="B1198" s="861" t="s">
        <v>6314</v>
      </c>
      <c r="C1198" s="861" t="s">
        <v>6315</v>
      </c>
      <c r="D1198" s="861" t="s">
        <v>371</v>
      </c>
      <c r="E1198" s="861"/>
      <c r="F1198" s="862"/>
      <c r="G1198" s="869">
        <v>0</v>
      </c>
      <c r="H1198" s="874">
        <v>9770710.9100000001</v>
      </c>
      <c r="I1198" s="871"/>
      <c r="J1198" s="863" t="s">
        <v>6316</v>
      </c>
      <c r="K1198" s="868">
        <f t="shared" si="94"/>
        <v>316</v>
      </c>
      <c r="L1198" s="861"/>
      <c r="M1198" s="671">
        <f t="shared" si="95"/>
        <v>1196</v>
      </c>
      <c r="N1198" s="671" t="str">
        <f t="shared" si="96"/>
        <v>N/A</v>
      </c>
      <c r="O1198" s="671" t="str">
        <f t="shared" si="97"/>
        <v>N/A</v>
      </c>
      <c r="P1198" s="861"/>
      <c r="Q1198" s="861"/>
      <c r="R1198" s="861"/>
      <c r="S1198" s="861" t="s">
        <v>404</v>
      </c>
      <c r="T1198" s="866" t="s">
        <v>6317</v>
      </c>
      <c r="U1198" s="865"/>
    </row>
    <row r="1199" spans="1:21" ht="15">
      <c r="A1199" s="857"/>
      <c r="B1199" s="861" t="s">
        <v>6318</v>
      </c>
      <c r="C1199" s="861" t="s">
        <v>6319</v>
      </c>
      <c r="D1199" s="861" t="s">
        <v>371</v>
      </c>
      <c r="E1199" s="861"/>
      <c r="F1199" s="862">
        <v>-8.3000000000000004E-2</v>
      </c>
      <c r="G1199" s="870" t="s">
        <v>6320</v>
      </c>
      <c r="H1199" s="874">
        <v>9720021.4199999999</v>
      </c>
      <c r="I1199" s="871"/>
      <c r="J1199" s="862">
        <v>0.09</v>
      </c>
      <c r="K1199" s="868">
        <f t="shared" si="94"/>
        <v>371</v>
      </c>
      <c r="L1199" s="861"/>
      <c r="M1199" s="671">
        <f t="shared" si="95"/>
        <v>1197</v>
      </c>
      <c r="N1199" s="671" t="str">
        <f t="shared" si="96"/>
        <v>N/A</v>
      </c>
      <c r="O1199" s="671">
        <f t="shared" si="97"/>
        <v>523</v>
      </c>
      <c r="P1199" s="861" t="s">
        <v>4094</v>
      </c>
      <c r="Q1199" s="861"/>
      <c r="R1199" s="861"/>
      <c r="S1199" s="861" t="s">
        <v>1406</v>
      </c>
      <c r="T1199" s="866" t="s">
        <v>6321</v>
      </c>
      <c r="U1199" s="865"/>
    </row>
    <row r="1200" spans="1:21" ht="15">
      <c r="A1200" s="672"/>
      <c r="B1200" s="861" t="s">
        <v>6322</v>
      </c>
      <c r="C1200" s="861" t="s">
        <v>6323</v>
      </c>
      <c r="D1200" s="861" t="s">
        <v>371</v>
      </c>
      <c r="E1200" s="861"/>
      <c r="F1200" s="862"/>
      <c r="G1200" s="869">
        <v>2.655622363</v>
      </c>
      <c r="H1200" s="874">
        <v>9680775.6699999999</v>
      </c>
      <c r="I1200" s="871"/>
      <c r="J1200" s="863" t="s">
        <v>6324</v>
      </c>
      <c r="K1200" s="868">
        <f t="shared" si="94"/>
        <v>316</v>
      </c>
      <c r="L1200" s="861"/>
      <c r="M1200" s="671">
        <f t="shared" si="95"/>
        <v>1198</v>
      </c>
      <c r="N1200" s="671" t="str">
        <f t="shared" si="96"/>
        <v>N/A</v>
      </c>
      <c r="O1200" s="671" t="str">
        <f t="shared" si="97"/>
        <v>N/A</v>
      </c>
      <c r="P1200" s="861" t="s">
        <v>6325</v>
      </c>
      <c r="Q1200" s="861"/>
      <c r="R1200" s="861" t="s">
        <v>557</v>
      </c>
      <c r="S1200" s="861" t="s">
        <v>3963</v>
      </c>
      <c r="T1200" s="866" t="s">
        <v>6326</v>
      </c>
      <c r="U1200" s="865"/>
    </row>
    <row r="1201" spans="1:21" ht="15">
      <c r="A1201" s="857"/>
      <c r="B1201" s="861" t="s">
        <v>6327</v>
      </c>
      <c r="C1201" s="861" t="s">
        <v>6328</v>
      </c>
      <c r="D1201" s="861" t="s">
        <v>371</v>
      </c>
      <c r="E1201" s="861"/>
      <c r="F1201" s="862"/>
      <c r="G1201" s="870" t="s">
        <v>6329</v>
      </c>
      <c r="H1201" s="874">
        <v>9444722.1699999999</v>
      </c>
      <c r="I1201" s="871"/>
      <c r="J1201" s="863"/>
      <c r="K1201" s="868">
        <f t="shared" si="94"/>
        <v>316</v>
      </c>
      <c r="L1201" s="861"/>
      <c r="M1201" s="671">
        <f t="shared" si="95"/>
        <v>1199</v>
      </c>
      <c r="N1201" s="671" t="str">
        <f t="shared" si="96"/>
        <v>N/A</v>
      </c>
      <c r="O1201" s="671">
        <f t="shared" si="97"/>
        <v>708</v>
      </c>
      <c r="P1201" s="861" t="s">
        <v>611</v>
      </c>
      <c r="Q1201" s="861"/>
      <c r="R1201" s="861"/>
      <c r="S1201" s="861" t="s">
        <v>404</v>
      </c>
      <c r="T1201" s="866" t="s">
        <v>6330</v>
      </c>
      <c r="U1201" s="865"/>
    </row>
    <row r="1202" spans="1:21" ht="15">
      <c r="A1202" s="672"/>
      <c r="B1202" s="861" t="s">
        <v>6331</v>
      </c>
      <c r="C1202" s="861" t="s">
        <v>6332</v>
      </c>
      <c r="D1202" s="861" t="s">
        <v>371</v>
      </c>
      <c r="E1202" s="861"/>
      <c r="F1202" s="862"/>
      <c r="G1202" s="869" t="e">
        <v>#DIV/0!</v>
      </c>
      <c r="H1202" s="874">
        <v>9439130.2100000009</v>
      </c>
      <c r="I1202" s="871"/>
      <c r="J1202" s="863" t="s">
        <v>6333</v>
      </c>
      <c r="K1202" s="868">
        <f t="shared" si="94"/>
        <v>316</v>
      </c>
      <c r="L1202" s="861"/>
      <c r="M1202" s="671">
        <f t="shared" si="95"/>
        <v>1200</v>
      </c>
      <c r="N1202" s="671" t="str">
        <f t="shared" si="96"/>
        <v>N/A</v>
      </c>
      <c r="O1202" s="671" t="str">
        <f t="shared" si="97"/>
        <v>N/A</v>
      </c>
      <c r="P1202" s="861" t="s">
        <v>6334</v>
      </c>
      <c r="Q1202" s="861" t="s">
        <v>6335</v>
      </c>
      <c r="R1202" s="861"/>
      <c r="S1202" s="861" t="s">
        <v>485</v>
      </c>
      <c r="T1202" s="866" t="s">
        <v>6336</v>
      </c>
      <c r="U1202" s="865"/>
    </row>
    <row r="1203" spans="1:21" ht="15">
      <c r="A1203" s="857"/>
      <c r="B1203" s="861" t="s">
        <v>6337</v>
      </c>
      <c r="C1203" s="861" t="s">
        <v>6338</v>
      </c>
      <c r="D1203" s="861" t="s">
        <v>371</v>
      </c>
      <c r="E1203" s="861"/>
      <c r="F1203" s="862"/>
      <c r="G1203" s="870" t="s">
        <v>6339</v>
      </c>
      <c r="H1203" s="874">
        <v>9406662.4900000002</v>
      </c>
      <c r="I1203" s="871"/>
      <c r="J1203" s="863" t="s">
        <v>6340</v>
      </c>
      <c r="K1203" s="868">
        <f t="shared" si="94"/>
        <v>316</v>
      </c>
      <c r="L1203" s="863" t="s">
        <v>2330</v>
      </c>
      <c r="M1203" s="671">
        <f t="shared" si="95"/>
        <v>1201</v>
      </c>
      <c r="N1203" s="671" t="str">
        <f t="shared" si="96"/>
        <v>N/A</v>
      </c>
      <c r="O1203" s="671" t="str">
        <f t="shared" si="97"/>
        <v>N/A</v>
      </c>
      <c r="P1203" s="861" t="s">
        <v>691</v>
      </c>
      <c r="Q1203" s="861"/>
      <c r="R1203" s="863" t="s">
        <v>1030</v>
      </c>
      <c r="S1203" s="861" t="s">
        <v>1230</v>
      </c>
      <c r="T1203" s="866" t="s">
        <v>6341</v>
      </c>
      <c r="U1203" s="865"/>
    </row>
    <row r="1204" spans="1:21" ht="15">
      <c r="A1204" s="672"/>
      <c r="B1204" s="861" t="s">
        <v>6342</v>
      </c>
      <c r="C1204" s="861" t="s">
        <v>6343</v>
      </c>
      <c r="D1204" s="861" t="s">
        <v>371</v>
      </c>
      <c r="E1204" s="861"/>
      <c r="F1204" s="862"/>
      <c r="G1204" s="870" t="s">
        <v>6344</v>
      </c>
      <c r="H1204" s="874">
        <v>9400583.8000000007</v>
      </c>
      <c r="I1204" s="871"/>
      <c r="J1204" s="862">
        <v>0.14899999999999999</v>
      </c>
      <c r="K1204" s="868">
        <f t="shared" si="94"/>
        <v>316</v>
      </c>
      <c r="L1204" s="863" t="s">
        <v>1030</v>
      </c>
      <c r="M1204" s="671">
        <f t="shared" si="95"/>
        <v>1202</v>
      </c>
      <c r="N1204" s="671" t="str">
        <f t="shared" si="96"/>
        <v>N/A</v>
      </c>
      <c r="O1204" s="671">
        <f t="shared" si="97"/>
        <v>345</v>
      </c>
      <c r="P1204" s="861" t="s">
        <v>4276</v>
      </c>
      <c r="Q1204" s="861"/>
      <c r="R1204" s="863" t="s">
        <v>1522</v>
      </c>
      <c r="S1204" s="861" t="s">
        <v>3239</v>
      </c>
      <c r="T1204" s="866" t="s">
        <v>6345</v>
      </c>
      <c r="U1204" s="865"/>
    </row>
    <row r="1205" spans="1:21" ht="15">
      <c r="A1205" s="857"/>
      <c r="B1205" s="861" t="s">
        <v>6346</v>
      </c>
      <c r="C1205" s="861" t="s">
        <v>6347</v>
      </c>
      <c r="D1205" s="861" t="s">
        <v>371</v>
      </c>
      <c r="E1205" s="861"/>
      <c r="F1205" s="862"/>
      <c r="G1205" s="869">
        <v>0</v>
      </c>
      <c r="H1205" s="874">
        <v>9392628.3100000005</v>
      </c>
      <c r="I1205" s="871"/>
      <c r="J1205" s="863" t="s">
        <v>6348</v>
      </c>
      <c r="K1205" s="868">
        <f t="shared" si="94"/>
        <v>316</v>
      </c>
      <c r="L1205" s="861"/>
      <c r="M1205" s="671">
        <f t="shared" si="95"/>
        <v>1203</v>
      </c>
      <c r="N1205" s="671" t="str">
        <f t="shared" si="96"/>
        <v>N/A</v>
      </c>
      <c r="O1205" s="671" t="str">
        <f t="shared" si="97"/>
        <v>N/A</v>
      </c>
      <c r="P1205" s="861"/>
      <c r="Q1205" s="861"/>
      <c r="R1205" s="861"/>
      <c r="S1205" s="861" t="s">
        <v>424</v>
      </c>
      <c r="T1205" s="866" t="s">
        <v>6349</v>
      </c>
      <c r="U1205" s="865"/>
    </row>
    <row r="1206" spans="1:21" ht="15">
      <c r="A1206" s="672"/>
      <c r="B1206" s="861" t="s">
        <v>6350</v>
      </c>
      <c r="C1206" s="861" t="s">
        <v>6351</v>
      </c>
      <c r="D1206" s="861" t="s">
        <v>371</v>
      </c>
      <c r="E1206" s="861"/>
      <c r="F1206" s="862"/>
      <c r="G1206" s="869">
        <v>0</v>
      </c>
      <c r="H1206" s="874">
        <v>9368847.3800000008</v>
      </c>
      <c r="I1206" s="871"/>
      <c r="J1206" s="863"/>
      <c r="K1206" s="868">
        <f t="shared" si="94"/>
        <v>316</v>
      </c>
      <c r="L1206" s="861"/>
      <c r="M1206" s="671">
        <f t="shared" si="95"/>
        <v>1204</v>
      </c>
      <c r="N1206" s="671" t="str">
        <f t="shared" si="96"/>
        <v>N/A</v>
      </c>
      <c r="O1206" s="671">
        <f t="shared" si="97"/>
        <v>708</v>
      </c>
      <c r="P1206" s="861"/>
      <c r="Q1206" s="861"/>
      <c r="R1206" s="861"/>
      <c r="S1206" s="861" t="s">
        <v>454</v>
      </c>
      <c r="T1206" s="866" t="s">
        <v>6352</v>
      </c>
      <c r="U1206" s="865"/>
    </row>
    <row r="1207" spans="1:21" ht="15">
      <c r="A1207" s="857"/>
      <c r="B1207" s="861" t="s">
        <v>6353</v>
      </c>
      <c r="C1207" s="861" t="s">
        <v>6354</v>
      </c>
      <c r="D1207" s="861" t="s">
        <v>371</v>
      </c>
      <c r="E1207" s="861"/>
      <c r="F1207" s="862"/>
      <c r="G1207" s="870" t="s">
        <v>6355</v>
      </c>
      <c r="H1207" s="874">
        <v>9348426.2699999996</v>
      </c>
      <c r="I1207" s="871"/>
      <c r="J1207" s="863" t="s">
        <v>5539</v>
      </c>
      <c r="K1207" s="868">
        <f t="shared" si="94"/>
        <v>316</v>
      </c>
      <c r="L1207" s="863" t="s">
        <v>1017</v>
      </c>
      <c r="M1207" s="671">
        <f t="shared" si="95"/>
        <v>1205</v>
      </c>
      <c r="N1207" s="671" t="str">
        <f t="shared" si="96"/>
        <v>N/A</v>
      </c>
      <c r="O1207" s="671" t="str">
        <f t="shared" si="97"/>
        <v>N/A</v>
      </c>
      <c r="P1207" s="861" t="s">
        <v>2635</v>
      </c>
      <c r="Q1207" s="861"/>
      <c r="R1207" s="863" t="s">
        <v>2330</v>
      </c>
      <c r="S1207" s="861" t="s">
        <v>2851</v>
      </c>
      <c r="T1207" s="866" t="s">
        <v>6356</v>
      </c>
      <c r="U1207" s="865"/>
    </row>
    <row r="1208" spans="1:21" ht="15">
      <c r="A1208" s="672"/>
      <c r="B1208" s="861" t="s">
        <v>6357</v>
      </c>
      <c r="C1208" s="861" t="s">
        <v>6358</v>
      </c>
      <c r="D1208" s="861" t="s">
        <v>371</v>
      </c>
      <c r="E1208" s="861"/>
      <c r="F1208" s="862"/>
      <c r="G1208" s="870" t="s">
        <v>6359</v>
      </c>
      <c r="H1208" s="874">
        <v>9295478.9000000004</v>
      </c>
      <c r="I1208" s="871"/>
      <c r="J1208" s="863" t="s">
        <v>6360</v>
      </c>
      <c r="K1208" s="868">
        <f t="shared" si="94"/>
        <v>316</v>
      </c>
      <c r="L1208" s="861"/>
      <c r="M1208" s="671">
        <f t="shared" si="95"/>
        <v>1206</v>
      </c>
      <c r="N1208" s="671" t="str">
        <f t="shared" si="96"/>
        <v>N/A</v>
      </c>
      <c r="O1208" s="671" t="str">
        <f t="shared" si="97"/>
        <v>N/A</v>
      </c>
      <c r="P1208" s="861" t="s">
        <v>5245</v>
      </c>
      <c r="Q1208" s="861"/>
      <c r="R1208" s="861"/>
      <c r="S1208" s="861" t="s">
        <v>6361</v>
      </c>
      <c r="T1208" s="866" t="s">
        <v>6362</v>
      </c>
      <c r="U1208" s="865"/>
    </row>
    <row r="1209" spans="1:21" ht="15">
      <c r="A1209" s="857"/>
      <c r="B1209" s="861" t="s">
        <v>6363</v>
      </c>
      <c r="C1209" s="861" t="s">
        <v>6364</v>
      </c>
      <c r="D1209" s="861" t="s">
        <v>371</v>
      </c>
      <c r="E1209" s="861"/>
      <c r="F1209" s="862"/>
      <c r="G1209" s="870" t="s">
        <v>6365</v>
      </c>
      <c r="H1209" s="874">
        <v>9230097.1400000006</v>
      </c>
      <c r="I1209" s="871"/>
      <c r="J1209" s="863" t="s">
        <v>6366</v>
      </c>
      <c r="K1209" s="868">
        <f t="shared" si="94"/>
        <v>316</v>
      </c>
      <c r="L1209" s="861"/>
      <c r="M1209" s="671">
        <f t="shared" si="95"/>
        <v>1207</v>
      </c>
      <c r="N1209" s="671" t="str">
        <f t="shared" si="96"/>
        <v>N/A</v>
      </c>
      <c r="O1209" s="671" t="str">
        <f t="shared" si="97"/>
        <v>N/A</v>
      </c>
      <c r="P1209" s="861" t="s">
        <v>6367</v>
      </c>
      <c r="Q1209" s="861"/>
      <c r="R1209" s="861"/>
      <c r="S1209" s="861" t="s">
        <v>424</v>
      </c>
      <c r="T1209" s="866" t="s">
        <v>6368</v>
      </c>
      <c r="U1209" s="865"/>
    </row>
    <row r="1210" spans="1:21" ht="15">
      <c r="A1210" s="672"/>
      <c r="B1210" s="861" t="s">
        <v>6369</v>
      </c>
      <c r="C1210" s="861" t="s">
        <v>6370</v>
      </c>
      <c r="D1210" s="861" t="s">
        <v>371</v>
      </c>
      <c r="E1210" s="861"/>
      <c r="F1210" s="862"/>
      <c r="G1210" s="870" t="s">
        <v>6371</v>
      </c>
      <c r="H1210" s="874">
        <v>9212966.7799999993</v>
      </c>
      <c r="I1210" s="871"/>
      <c r="J1210" s="863"/>
      <c r="K1210" s="868">
        <f t="shared" si="94"/>
        <v>316</v>
      </c>
      <c r="L1210" s="863" t="s">
        <v>448</v>
      </c>
      <c r="M1210" s="671">
        <f t="shared" si="95"/>
        <v>1208</v>
      </c>
      <c r="N1210" s="671" t="str">
        <f t="shared" si="96"/>
        <v>N/A</v>
      </c>
      <c r="O1210" s="671">
        <f t="shared" si="97"/>
        <v>708</v>
      </c>
      <c r="P1210" s="861" t="s">
        <v>4298</v>
      </c>
      <c r="Q1210" s="861"/>
      <c r="R1210" s="863" t="s">
        <v>1030</v>
      </c>
      <c r="S1210" s="861" t="s">
        <v>690</v>
      </c>
      <c r="T1210" s="866" t="s">
        <v>6372</v>
      </c>
      <c r="U1210" s="865"/>
    </row>
    <row r="1211" spans="1:21" ht="15">
      <c r="A1211" s="857"/>
      <c r="B1211" s="861" t="s">
        <v>6373</v>
      </c>
      <c r="C1211" s="861" t="s">
        <v>6374</v>
      </c>
      <c r="D1211" s="861" t="s">
        <v>371</v>
      </c>
      <c r="E1211" s="861"/>
      <c r="F1211" s="862"/>
      <c r="G1211" s="869" t="e">
        <v>#DIV/0!</v>
      </c>
      <c r="H1211" s="874">
        <v>9151306.1899999995</v>
      </c>
      <c r="I1211" s="871">
        <v>180.67</v>
      </c>
      <c r="J1211" s="863" t="s">
        <v>6333</v>
      </c>
      <c r="K1211" s="868">
        <f t="shared" si="94"/>
        <v>316</v>
      </c>
      <c r="L1211" s="861"/>
      <c r="M1211" s="671">
        <f t="shared" si="95"/>
        <v>1209</v>
      </c>
      <c r="N1211" s="671">
        <f t="shared" si="96"/>
        <v>7</v>
      </c>
      <c r="O1211" s="671" t="str">
        <f t="shared" si="97"/>
        <v>N/A</v>
      </c>
      <c r="P1211" s="861"/>
      <c r="Q1211" s="861"/>
      <c r="R1211" s="861"/>
      <c r="S1211" s="861" t="s">
        <v>563</v>
      </c>
      <c r="T1211" s="866" t="s">
        <v>6375</v>
      </c>
      <c r="U1211" s="865"/>
    </row>
    <row r="1212" spans="1:21" ht="15">
      <c r="A1212" s="672"/>
      <c r="B1212" s="861" t="s">
        <v>6376</v>
      </c>
      <c r="C1212" s="861" t="s">
        <v>6377</v>
      </c>
      <c r="D1212" s="861" t="s">
        <v>371</v>
      </c>
      <c r="E1212" s="861"/>
      <c r="F1212" s="862"/>
      <c r="G1212" s="870" t="s">
        <v>6378</v>
      </c>
      <c r="H1212" s="874">
        <v>9092082.8100000005</v>
      </c>
      <c r="I1212" s="871"/>
      <c r="J1212" s="863" t="s">
        <v>6379</v>
      </c>
      <c r="K1212" s="868">
        <f t="shared" si="94"/>
        <v>316</v>
      </c>
      <c r="L1212" s="863" t="s">
        <v>6380</v>
      </c>
      <c r="M1212" s="671">
        <f t="shared" si="95"/>
        <v>1210</v>
      </c>
      <c r="N1212" s="671" t="str">
        <f t="shared" si="96"/>
        <v>N/A</v>
      </c>
      <c r="O1212" s="671" t="str">
        <f t="shared" si="97"/>
        <v>N/A</v>
      </c>
      <c r="P1212" s="861" t="s">
        <v>1626</v>
      </c>
      <c r="Q1212" s="861"/>
      <c r="R1212" s="863" t="s">
        <v>6381</v>
      </c>
      <c r="S1212" s="861" t="s">
        <v>6382</v>
      </c>
      <c r="T1212" s="866" t="s">
        <v>6383</v>
      </c>
      <c r="U1212" s="865"/>
    </row>
    <row r="1213" spans="1:21" ht="15">
      <c r="A1213" s="857"/>
      <c r="B1213" s="861" t="s">
        <v>6384</v>
      </c>
      <c r="C1213" s="861" t="s">
        <v>6385</v>
      </c>
      <c r="D1213" s="861" t="s">
        <v>371</v>
      </c>
      <c r="E1213" s="861"/>
      <c r="F1213" s="862"/>
      <c r="G1213" s="870" t="s">
        <v>6386</v>
      </c>
      <c r="H1213" s="874">
        <v>9020676.3399999999</v>
      </c>
      <c r="I1213" s="871"/>
      <c r="J1213" s="861"/>
      <c r="K1213" s="868">
        <f t="shared" si="94"/>
        <v>316</v>
      </c>
      <c r="L1213" s="861"/>
      <c r="M1213" s="671">
        <f t="shared" si="95"/>
        <v>1211</v>
      </c>
      <c r="N1213" s="671" t="str">
        <f t="shared" si="96"/>
        <v>N/A</v>
      </c>
      <c r="O1213" s="671">
        <f t="shared" si="97"/>
        <v>708</v>
      </c>
      <c r="P1213" s="861" t="s">
        <v>1664</v>
      </c>
      <c r="Q1213" s="861" t="s">
        <v>6387</v>
      </c>
      <c r="R1213" s="861"/>
      <c r="S1213" s="861" t="s">
        <v>2998</v>
      </c>
      <c r="T1213" s="866" t="s">
        <v>6388</v>
      </c>
      <c r="U1213" s="865"/>
    </row>
    <row r="1214" spans="1:21" ht="15">
      <c r="A1214" s="672"/>
      <c r="B1214" s="861" t="s">
        <v>6389</v>
      </c>
      <c r="C1214" s="861" t="s">
        <v>6390</v>
      </c>
      <c r="D1214" s="861" t="s">
        <v>371</v>
      </c>
      <c r="E1214" s="861"/>
      <c r="F1214" s="862"/>
      <c r="G1214" s="869" t="e">
        <v>#DIV/0!</v>
      </c>
      <c r="H1214" s="874">
        <v>8930886.6300000008</v>
      </c>
      <c r="I1214" s="871">
        <v>27.75</v>
      </c>
      <c r="J1214" s="863" t="s">
        <v>6391</v>
      </c>
      <c r="K1214" s="868">
        <f t="shared" si="94"/>
        <v>316</v>
      </c>
      <c r="L1214" s="863" t="s">
        <v>6392</v>
      </c>
      <c r="M1214" s="671">
        <f t="shared" si="95"/>
        <v>1212</v>
      </c>
      <c r="N1214" s="671">
        <f t="shared" si="96"/>
        <v>152</v>
      </c>
      <c r="O1214" s="671" t="str">
        <f t="shared" si="97"/>
        <v>N/A</v>
      </c>
      <c r="P1214" s="861" t="s">
        <v>3013</v>
      </c>
      <c r="Q1214" s="861" t="s">
        <v>6393</v>
      </c>
      <c r="R1214" s="863" t="s">
        <v>6394</v>
      </c>
      <c r="S1214" s="861" t="s">
        <v>868</v>
      </c>
      <c r="T1214" s="866" t="s">
        <v>6395</v>
      </c>
      <c r="U1214" s="865"/>
    </row>
    <row r="1215" spans="1:21" ht="15">
      <c r="A1215" s="857"/>
      <c r="B1215" s="861" t="s">
        <v>6396</v>
      </c>
      <c r="C1215" s="861" t="s">
        <v>6397</v>
      </c>
      <c r="D1215" s="861" t="s">
        <v>371</v>
      </c>
      <c r="E1215" s="861"/>
      <c r="F1215" s="862">
        <v>-0.45800000000000002</v>
      </c>
      <c r="G1215" s="869">
        <v>0</v>
      </c>
      <c r="H1215" s="874">
        <v>8897529</v>
      </c>
      <c r="I1215" s="871"/>
      <c r="J1215" s="862">
        <v>0.24</v>
      </c>
      <c r="K1215" s="868">
        <f t="shared" si="94"/>
        <v>470</v>
      </c>
      <c r="L1215" s="861"/>
      <c r="M1215" s="671">
        <f t="shared" si="95"/>
        <v>1213</v>
      </c>
      <c r="N1215" s="671" t="str">
        <f t="shared" si="96"/>
        <v>N/A</v>
      </c>
      <c r="O1215" s="671">
        <f t="shared" si="97"/>
        <v>199</v>
      </c>
      <c r="P1215" s="861" t="s">
        <v>1258</v>
      </c>
      <c r="Q1215" s="861" t="s">
        <v>6398</v>
      </c>
      <c r="R1215" s="861" t="s">
        <v>1369</v>
      </c>
      <c r="S1215" s="861" t="s">
        <v>2687</v>
      </c>
      <c r="T1215" s="866" t="s">
        <v>6399</v>
      </c>
      <c r="U1215" s="865"/>
    </row>
    <row r="1216" spans="1:21" ht="15">
      <c r="A1216" s="672"/>
      <c r="B1216" s="861" t="s">
        <v>6400</v>
      </c>
      <c r="C1216" s="861" t="s">
        <v>6401</v>
      </c>
      <c r="D1216" s="861" t="s">
        <v>371</v>
      </c>
      <c r="E1216" s="861"/>
      <c r="F1216" s="862"/>
      <c r="G1216" s="869">
        <v>2.8149381000000001E-2</v>
      </c>
      <c r="H1216" s="874">
        <v>8865120.6199999992</v>
      </c>
      <c r="I1216" s="871"/>
      <c r="J1216" s="863"/>
      <c r="K1216" s="868">
        <f t="shared" si="94"/>
        <v>316</v>
      </c>
      <c r="L1216" s="861"/>
      <c r="M1216" s="671">
        <f t="shared" si="95"/>
        <v>1214</v>
      </c>
      <c r="N1216" s="671" t="str">
        <f t="shared" si="96"/>
        <v>N/A</v>
      </c>
      <c r="O1216" s="671">
        <f t="shared" si="97"/>
        <v>708</v>
      </c>
      <c r="P1216" s="863" t="s">
        <v>3167</v>
      </c>
      <c r="Q1216" s="861"/>
      <c r="R1216" s="861" t="s">
        <v>533</v>
      </c>
      <c r="S1216" s="861" t="s">
        <v>1659</v>
      </c>
      <c r="T1216" s="866" t="s">
        <v>6402</v>
      </c>
      <c r="U1216" s="865"/>
    </row>
    <row r="1217" spans="1:21" ht="15">
      <c r="A1217" s="857"/>
      <c r="B1217" s="861" t="s">
        <v>6403</v>
      </c>
      <c r="C1217" s="861" t="s">
        <v>6404</v>
      </c>
      <c r="D1217" s="861" t="s">
        <v>371</v>
      </c>
      <c r="E1217" s="861"/>
      <c r="F1217" s="862"/>
      <c r="G1217" s="869" t="e">
        <v>#DIV/0!</v>
      </c>
      <c r="H1217" s="874">
        <v>8827518.1799999997</v>
      </c>
      <c r="I1217" s="871"/>
      <c r="J1217" s="863" t="s">
        <v>6405</v>
      </c>
      <c r="K1217" s="868">
        <f t="shared" si="94"/>
        <v>316</v>
      </c>
      <c r="L1217" s="861"/>
      <c r="M1217" s="671">
        <f t="shared" si="95"/>
        <v>1215</v>
      </c>
      <c r="N1217" s="671" t="str">
        <f t="shared" si="96"/>
        <v>N/A</v>
      </c>
      <c r="O1217" s="671" t="str">
        <f t="shared" si="97"/>
        <v>N/A</v>
      </c>
      <c r="P1217" s="861" t="s">
        <v>6406</v>
      </c>
      <c r="Q1217" s="861"/>
      <c r="R1217" s="861"/>
      <c r="S1217" s="861" t="s">
        <v>6407</v>
      </c>
      <c r="T1217" s="866" t="s">
        <v>6408</v>
      </c>
      <c r="U1217" s="865"/>
    </row>
    <row r="1218" spans="1:21" ht="15">
      <c r="A1218" s="672"/>
      <c r="B1218" s="861" t="s">
        <v>6409</v>
      </c>
      <c r="C1218" s="861" t="s">
        <v>6410</v>
      </c>
      <c r="D1218" s="861" t="s">
        <v>371</v>
      </c>
      <c r="E1218" s="861"/>
      <c r="F1218" s="862"/>
      <c r="G1218" s="870" t="s">
        <v>6411</v>
      </c>
      <c r="H1218" s="874">
        <v>8817613.9299999997</v>
      </c>
      <c r="I1218" s="871"/>
      <c r="J1218" s="861"/>
      <c r="K1218" s="868">
        <f t="shared" si="94"/>
        <v>316</v>
      </c>
      <c r="L1218" s="861" t="s">
        <v>563</v>
      </c>
      <c r="M1218" s="671">
        <f t="shared" si="95"/>
        <v>1216</v>
      </c>
      <c r="N1218" s="671" t="str">
        <f t="shared" si="96"/>
        <v>N/A</v>
      </c>
      <c r="O1218" s="671">
        <f t="shared" si="97"/>
        <v>708</v>
      </c>
      <c r="P1218" s="861" t="s">
        <v>1659</v>
      </c>
      <c r="Q1218" s="861" t="s">
        <v>2421</v>
      </c>
      <c r="R1218" s="861" t="s">
        <v>734</v>
      </c>
      <c r="S1218" s="861" t="s">
        <v>904</v>
      </c>
      <c r="T1218" s="866" t="s">
        <v>6412</v>
      </c>
      <c r="U1218" s="865"/>
    </row>
    <row r="1219" spans="1:21" ht="15">
      <c r="A1219" s="857"/>
      <c r="B1219" s="861" t="s">
        <v>6413</v>
      </c>
      <c r="C1219" s="861" t="s">
        <v>6414</v>
      </c>
      <c r="D1219" s="861" t="s">
        <v>371</v>
      </c>
      <c r="E1219" s="861"/>
      <c r="F1219" s="862"/>
      <c r="G1219" s="869" t="e">
        <v>#DIV/0!</v>
      </c>
      <c r="H1219" s="874">
        <v>8809779.3599999994</v>
      </c>
      <c r="I1219" s="871"/>
      <c r="J1219" s="862">
        <v>0.113</v>
      </c>
      <c r="K1219" s="868">
        <f t="shared" si="94"/>
        <v>316</v>
      </c>
      <c r="L1219" s="861" t="s">
        <v>2851</v>
      </c>
      <c r="M1219" s="671">
        <f t="shared" si="95"/>
        <v>1217</v>
      </c>
      <c r="N1219" s="671" t="str">
        <f t="shared" si="96"/>
        <v>N/A</v>
      </c>
      <c r="O1219" s="671">
        <f t="shared" si="97"/>
        <v>448</v>
      </c>
      <c r="P1219" s="861" t="s">
        <v>4489</v>
      </c>
      <c r="Q1219" s="861"/>
      <c r="R1219" s="863" t="s">
        <v>6098</v>
      </c>
      <c r="S1219" s="861" t="s">
        <v>6415</v>
      </c>
      <c r="T1219" s="866" t="s">
        <v>6416</v>
      </c>
      <c r="U1219" s="865"/>
    </row>
    <row r="1220" spans="1:21" ht="15">
      <c r="A1220" s="672"/>
      <c r="B1220" s="861" t="s">
        <v>6417</v>
      </c>
      <c r="C1220" s="861" t="s">
        <v>6418</v>
      </c>
      <c r="D1220" s="861" t="s">
        <v>371</v>
      </c>
      <c r="E1220" s="861"/>
      <c r="F1220" s="862"/>
      <c r="G1220" s="869">
        <v>0.55037064400000002</v>
      </c>
      <c r="H1220" s="874">
        <v>8752549.2400000002</v>
      </c>
      <c r="I1220" s="871">
        <v>136.66999999999999</v>
      </c>
      <c r="J1220" s="863" t="s">
        <v>6139</v>
      </c>
      <c r="K1220" s="868">
        <f t="shared" ref="K1220:K1283" si="98">IFERROR(_xlfn.RANK.EQ(F1220,F$3:F$1770),"N/A")</f>
        <v>316</v>
      </c>
      <c r="L1220" s="861"/>
      <c r="M1220" s="671">
        <f t="shared" ref="M1220:M1283" si="99">IFERROR(_xlfn.RANK.EQ(H1220,H$3:H$1770),"N/A")</f>
        <v>1218</v>
      </c>
      <c r="N1220" s="671">
        <f t="shared" ref="N1220:N1283" si="100">IFERROR(_xlfn.RANK.EQ(I1220,I$3:I$1770),"N/A")</f>
        <v>17</v>
      </c>
      <c r="O1220" s="671" t="str">
        <f t="shared" ref="O1220:O1283" si="101">IFERROR(_xlfn.RANK.EQ(J1220,J$3:J$1770),"N/A")</f>
        <v>N/A</v>
      </c>
      <c r="P1220" s="861" t="s">
        <v>2110</v>
      </c>
      <c r="Q1220" s="861" t="s">
        <v>1300</v>
      </c>
      <c r="R1220" s="861"/>
      <c r="S1220" s="861" t="s">
        <v>392</v>
      </c>
      <c r="T1220" s="866" t="s">
        <v>6419</v>
      </c>
      <c r="U1220" s="865"/>
    </row>
    <row r="1221" spans="1:21" ht="15">
      <c r="A1221" s="857"/>
      <c r="B1221" s="861" t="s">
        <v>6420</v>
      </c>
      <c r="C1221" s="861" t="s">
        <v>6421</v>
      </c>
      <c r="D1221" s="861" t="s">
        <v>371</v>
      </c>
      <c r="E1221" s="861"/>
      <c r="F1221" s="862"/>
      <c r="G1221" s="869">
        <v>0</v>
      </c>
      <c r="H1221" s="874">
        <v>8696186.5800000001</v>
      </c>
      <c r="I1221" s="871"/>
      <c r="J1221" s="863"/>
      <c r="K1221" s="868">
        <f t="shared" si="98"/>
        <v>316</v>
      </c>
      <c r="L1221" s="863" t="s">
        <v>448</v>
      </c>
      <c r="M1221" s="671">
        <f t="shared" si="99"/>
        <v>1219</v>
      </c>
      <c r="N1221" s="671" t="str">
        <f t="shared" si="100"/>
        <v>N/A</v>
      </c>
      <c r="O1221" s="671">
        <f t="shared" si="101"/>
        <v>708</v>
      </c>
      <c r="P1221" s="861" t="s">
        <v>2629</v>
      </c>
      <c r="Q1221" s="861" t="s">
        <v>6422</v>
      </c>
      <c r="R1221" s="863" t="s">
        <v>3670</v>
      </c>
      <c r="S1221" s="861" t="s">
        <v>793</v>
      </c>
      <c r="T1221" s="866" t="s">
        <v>6423</v>
      </c>
      <c r="U1221" s="865"/>
    </row>
    <row r="1222" spans="1:21" ht="15">
      <c r="A1222" s="672"/>
      <c r="B1222" s="861" t="s">
        <v>6424</v>
      </c>
      <c r="C1222" s="861" t="s">
        <v>6425</v>
      </c>
      <c r="D1222" s="861" t="s">
        <v>371</v>
      </c>
      <c r="E1222" s="861"/>
      <c r="F1222" s="862">
        <v>-0.63500000000000001</v>
      </c>
      <c r="G1222" s="869" t="e">
        <v>#DIV/0!</v>
      </c>
      <c r="H1222" s="874">
        <v>8617471.4900000002</v>
      </c>
      <c r="I1222" s="871"/>
      <c r="J1222" s="863" t="s">
        <v>6426</v>
      </c>
      <c r="K1222" s="868">
        <f t="shared" si="98"/>
        <v>483</v>
      </c>
      <c r="L1222" s="861"/>
      <c r="M1222" s="671">
        <f t="shared" si="99"/>
        <v>1220</v>
      </c>
      <c r="N1222" s="671" t="str">
        <f t="shared" si="100"/>
        <v>N/A</v>
      </c>
      <c r="O1222" s="671" t="str">
        <f t="shared" si="101"/>
        <v>N/A</v>
      </c>
      <c r="P1222" s="861" t="s">
        <v>6427</v>
      </c>
      <c r="Q1222" s="861" t="s">
        <v>6428</v>
      </c>
      <c r="R1222" s="861"/>
      <c r="S1222" s="861" t="s">
        <v>6415</v>
      </c>
      <c r="T1222" s="866" t="s">
        <v>6429</v>
      </c>
      <c r="U1222" s="865"/>
    </row>
    <row r="1223" spans="1:21" ht="15">
      <c r="A1223" s="857"/>
      <c r="B1223" s="861" t="s">
        <v>6430</v>
      </c>
      <c r="C1223" s="861" t="s">
        <v>6431</v>
      </c>
      <c r="D1223" s="861" t="s">
        <v>371</v>
      </c>
      <c r="E1223" s="861"/>
      <c r="F1223" s="862"/>
      <c r="G1223" s="870" t="s">
        <v>6432</v>
      </c>
      <c r="H1223" s="874">
        <v>8601469.4399999995</v>
      </c>
      <c r="I1223" s="871"/>
      <c r="J1223" s="863" t="s">
        <v>6433</v>
      </c>
      <c r="K1223" s="868">
        <f t="shared" si="98"/>
        <v>316</v>
      </c>
      <c r="L1223" s="863" t="s">
        <v>937</v>
      </c>
      <c r="M1223" s="671">
        <f t="shared" si="99"/>
        <v>1221</v>
      </c>
      <c r="N1223" s="671" t="str">
        <f t="shared" si="100"/>
        <v>N/A</v>
      </c>
      <c r="O1223" s="671" t="str">
        <f t="shared" si="101"/>
        <v>N/A</v>
      </c>
      <c r="P1223" s="861" t="s">
        <v>1707</v>
      </c>
      <c r="Q1223" s="861"/>
      <c r="R1223" s="863" t="s">
        <v>1520</v>
      </c>
      <c r="S1223" s="861" t="s">
        <v>2048</v>
      </c>
      <c r="T1223" s="866" t="s">
        <v>6434</v>
      </c>
      <c r="U1223" s="865"/>
    </row>
    <row r="1224" spans="1:21" ht="15">
      <c r="A1224" s="672"/>
      <c r="B1224" s="861" t="s">
        <v>6435</v>
      </c>
      <c r="C1224" s="861" t="s">
        <v>6436</v>
      </c>
      <c r="D1224" s="861" t="s">
        <v>371</v>
      </c>
      <c r="E1224" s="861"/>
      <c r="F1224" s="862"/>
      <c r="G1224" s="870" t="s">
        <v>6437</v>
      </c>
      <c r="H1224" s="874">
        <v>8592766.8699999992</v>
      </c>
      <c r="I1224" s="871"/>
      <c r="J1224" s="863" t="s">
        <v>6438</v>
      </c>
      <c r="K1224" s="868">
        <f t="shared" si="98"/>
        <v>316</v>
      </c>
      <c r="L1224" s="863" t="s">
        <v>945</v>
      </c>
      <c r="M1224" s="671">
        <f t="shared" si="99"/>
        <v>1222</v>
      </c>
      <c r="N1224" s="671" t="str">
        <f t="shared" si="100"/>
        <v>N/A</v>
      </c>
      <c r="O1224" s="671" t="str">
        <f t="shared" si="101"/>
        <v>N/A</v>
      </c>
      <c r="P1224" s="861" t="s">
        <v>1150</v>
      </c>
      <c r="Q1224" s="861" t="s">
        <v>2977</v>
      </c>
      <c r="R1224" s="863" t="s">
        <v>448</v>
      </c>
      <c r="S1224" s="861" t="s">
        <v>1252</v>
      </c>
      <c r="T1224" s="866" t="s">
        <v>6439</v>
      </c>
      <c r="U1224" s="865"/>
    </row>
    <row r="1225" spans="1:21" ht="15">
      <c r="A1225" s="857"/>
      <c r="B1225" s="861" t="s">
        <v>6440</v>
      </c>
      <c r="C1225" s="861" t="s">
        <v>6441</v>
      </c>
      <c r="D1225" s="861" t="s">
        <v>371</v>
      </c>
      <c r="E1225" s="861"/>
      <c r="F1225" s="862"/>
      <c r="G1225" s="869">
        <v>0</v>
      </c>
      <c r="H1225" s="874">
        <v>8577400.3699999992</v>
      </c>
      <c r="I1225" s="871"/>
      <c r="J1225" s="863" t="s">
        <v>6442</v>
      </c>
      <c r="K1225" s="868">
        <f t="shared" si="98"/>
        <v>316</v>
      </c>
      <c r="L1225" s="861" t="s">
        <v>1475</v>
      </c>
      <c r="M1225" s="671">
        <f t="shared" si="99"/>
        <v>1223</v>
      </c>
      <c r="N1225" s="671" t="str">
        <f t="shared" si="100"/>
        <v>N/A</v>
      </c>
      <c r="O1225" s="671" t="str">
        <f t="shared" si="101"/>
        <v>N/A</v>
      </c>
      <c r="P1225" s="861" t="s">
        <v>4698</v>
      </c>
      <c r="Q1225" s="861" t="s">
        <v>6443</v>
      </c>
      <c r="R1225" s="861" t="s">
        <v>1252</v>
      </c>
      <c r="S1225" s="861" t="s">
        <v>6444</v>
      </c>
      <c r="T1225" s="866" t="s">
        <v>6445</v>
      </c>
      <c r="U1225" s="865"/>
    </row>
    <row r="1226" spans="1:21" ht="15">
      <c r="A1226" s="672"/>
      <c r="B1226" s="861" t="s">
        <v>6446</v>
      </c>
      <c r="C1226" s="861" t="s">
        <v>6447</v>
      </c>
      <c r="D1226" s="861" t="s">
        <v>371</v>
      </c>
      <c r="E1226" s="861"/>
      <c r="F1226" s="862"/>
      <c r="G1226" s="870" t="s">
        <v>6448</v>
      </c>
      <c r="H1226" s="874">
        <v>8516297.6899999995</v>
      </c>
      <c r="I1226" s="871">
        <v>46.08</v>
      </c>
      <c r="J1226" s="863" t="s">
        <v>6449</v>
      </c>
      <c r="K1226" s="868">
        <f t="shared" si="98"/>
        <v>316</v>
      </c>
      <c r="L1226" s="861"/>
      <c r="M1226" s="671">
        <f t="shared" si="99"/>
        <v>1224</v>
      </c>
      <c r="N1226" s="671">
        <f t="shared" si="100"/>
        <v>92</v>
      </c>
      <c r="O1226" s="671" t="str">
        <f t="shared" si="101"/>
        <v>N/A</v>
      </c>
      <c r="P1226" s="861" t="s">
        <v>6450</v>
      </c>
      <c r="Q1226" s="861" t="s">
        <v>6451</v>
      </c>
      <c r="R1226" s="861"/>
      <c r="S1226" s="861" t="s">
        <v>569</v>
      </c>
      <c r="T1226" s="866" t="s">
        <v>6452</v>
      </c>
      <c r="U1226" s="865"/>
    </row>
    <row r="1227" spans="1:21" ht="15">
      <c r="A1227" s="857"/>
      <c r="B1227" s="861" t="s">
        <v>6453</v>
      </c>
      <c r="C1227" s="861" t="s">
        <v>6454</v>
      </c>
      <c r="D1227" s="861" t="s">
        <v>371</v>
      </c>
      <c r="E1227" s="861"/>
      <c r="F1227" s="862"/>
      <c r="G1227" s="870" t="s">
        <v>6455</v>
      </c>
      <c r="H1227" s="874">
        <v>8493292.7300000004</v>
      </c>
      <c r="I1227" s="872" t="s">
        <v>6456</v>
      </c>
      <c r="J1227" s="863" t="s">
        <v>6457</v>
      </c>
      <c r="K1227" s="868">
        <f t="shared" si="98"/>
        <v>316</v>
      </c>
      <c r="L1227" s="861"/>
      <c r="M1227" s="671">
        <f t="shared" si="99"/>
        <v>1225</v>
      </c>
      <c r="N1227" s="671" t="str">
        <f t="shared" si="100"/>
        <v>N/A</v>
      </c>
      <c r="O1227" s="671" t="str">
        <f t="shared" si="101"/>
        <v>N/A</v>
      </c>
      <c r="P1227" s="861" t="s">
        <v>6458</v>
      </c>
      <c r="Q1227" s="861" t="s">
        <v>6459</v>
      </c>
      <c r="R1227" s="861"/>
      <c r="S1227" s="861" t="s">
        <v>487</v>
      </c>
      <c r="T1227" s="866" t="s">
        <v>6460</v>
      </c>
      <c r="U1227" s="865"/>
    </row>
    <row r="1228" spans="1:21" ht="15">
      <c r="A1228" s="672"/>
      <c r="B1228" s="861" t="s">
        <v>6461</v>
      </c>
      <c r="C1228" s="861" t="s">
        <v>6462</v>
      </c>
      <c r="D1228" s="861" t="s">
        <v>371</v>
      </c>
      <c r="E1228" s="861"/>
      <c r="F1228" s="862"/>
      <c r="G1228" s="870" t="s">
        <v>6463</v>
      </c>
      <c r="H1228" s="874">
        <v>8435124.3000000007</v>
      </c>
      <c r="I1228" s="871"/>
      <c r="J1228" s="861"/>
      <c r="K1228" s="868">
        <f t="shared" si="98"/>
        <v>316</v>
      </c>
      <c r="L1228" s="861"/>
      <c r="M1228" s="671">
        <f t="shared" si="99"/>
        <v>1226</v>
      </c>
      <c r="N1228" s="671" t="str">
        <f t="shared" si="100"/>
        <v>N/A</v>
      </c>
      <c r="O1228" s="671">
        <f t="shared" si="101"/>
        <v>708</v>
      </c>
      <c r="P1228" s="861" t="s">
        <v>708</v>
      </c>
      <c r="Q1228" s="861" t="s">
        <v>6464</v>
      </c>
      <c r="R1228" s="861"/>
      <c r="S1228" s="861" t="s">
        <v>6465</v>
      </c>
      <c r="T1228" s="866" t="s">
        <v>6466</v>
      </c>
      <c r="U1228" s="865"/>
    </row>
    <row r="1229" spans="1:21" ht="15">
      <c r="A1229" s="857"/>
      <c r="B1229" s="861" t="s">
        <v>6467</v>
      </c>
      <c r="C1229" s="861" t="s">
        <v>6468</v>
      </c>
      <c r="D1229" s="861" t="s">
        <v>371</v>
      </c>
      <c r="E1229" s="861"/>
      <c r="F1229" s="862"/>
      <c r="G1229" s="869">
        <v>0</v>
      </c>
      <c r="H1229" s="874">
        <v>8351891.5300000003</v>
      </c>
      <c r="I1229" s="871"/>
      <c r="J1229" s="863" t="s">
        <v>6469</v>
      </c>
      <c r="K1229" s="868">
        <f t="shared" si="98"/>
        <v>316</v>
      </c>
      <c r="L1229" s="861"/>
      <c r="M1229" s="671">
        <f t="shared" si="99"/>
        <v>1227</v>
      </c>
      <c r="N1229" s="671" t="str">
        <f t="shared" si="100"/>
        <v>N/A</v>
      </c>
      <c r="O1229" s="671" t="str">
        <f t="shared" si="101"/>
        <v>N/A</v>
      </c>
      <c r="P1229" s="861" t="s">
        <v>4591</v>
      </c>
      <c r="Q1229" s="861" t="s">
        <v>6470</v>
      </c>
      <c r="R1229" s="861"/>
      <c r="S1229" s="861" t="s">
        <v>2069</v>
      </c>
      <c r="T1229" s="866" t="s">
        <v>6471</v>
      </c>
      <c r="U1229" s="865"/>
    </row>
    <row r="1230" spans="1:21" ht="15">
      <c r="A1230" s="672"/>
      <c r="B1230" s="861" t="s">
        <v>6472</v>
      </c>
      <c r="C1230" s="861" t="s">
        <v>6473</v>
      </c>
      <c r="D1230" s="861" t="s">
        <v>371</v>
      </c>
      <c r="E1230" s="861"/>
      <c r="F1230" s="862"/>
      <c r="G1230" s="870" t="s">
        <v>6474</v>
      </c>
      <c r="H1230" s="874">
        <v>8349362.7000000002</v>
      </c>
      <c r="I1230" s="871"/>
      <c r="J1230" s="862">
        <v>0.20300000000000001</v>
      </c>
      <c r="K1230" s="868">
        <f t="shared" si="98"/>
        <v>316</v>
      </c>
      <c r="L1230" s="861" t="s">
        <v>1636</v>
      </c>
      <c r="M1230" s="671">
        <f t="shared" si="99"/>
        <v>1228</v>
      </c>
      <c r="N1230" s="671" t="str">
        <f t="shared" si="100"/>
        <v>N/A</v>
      </c>
      <c r="O1230" s="671">
        <f t="shared" si="101"/>
        <v>247</v>
      </c>
      <c r="P1230" s="861" t="s">
        <v>6475</v>
      </c>
      <c r="Q1230" s="861" t="s">
        <v>2049</v>
      </c>
      <c r="R1230" s="861" t="s">
        <v>1311</v>
      </c>
      <c r="S1230" s="861" t="s">
        <v>6476</v>
      </c>
      <c r="T1230" s="866" t="s">
        <v>6477</v>
      </c>
      <c r="U1230" s="865"/>
    </row>
    <row r="1231" spans="1:21" ht="15">
      <c r="A1231" s="857"/>
      <c r="B1231" s="861" t="s">
        <v>6478</v>
      </c>
      <c r="C1231" s="861" t="s">
        <v>6479</v>
      </c>
      <c r="D1231" s="861" t="s">
        <v>371</v>
      </c>
      <c r="E1231" s="861"/>
      <c r="F1231" s="862"/>
      <c r="G1231" s="870" t="s">
        <v>6480</v>
      </c>
      <c r="H1231" s="874">
        <v>8279280.1600000001</v>
      </c>
      <c r="I1231" s="871"/>
      <c r="J1231" s="863" t="s">
        <v>6481</v>
      </c>
      <c r="K1231" s="868">
        <f t="shared" si="98"/>
        <v>316</v>
      </c>
      <c r="L1231" s="861" t="s">
        <v>2195</v>
      </c>
      <c r="M1231" s="671">
        <f t="shared" si="99"/>
        <v>1229</v>
      </c>
      <c r="N1231" s="671" t="str">
        <f t="shared" si="100"/>
        <v>N/A</v>
      </c>
      <c r="O1231" s="671" t="str">
        <f t="shared" si="101"/>
        <v>N/A</v>
      </c>
      <c r="P1231" s="861" t="s">
        <v>6482</v>
      </c>
      <c r="Q1231" s="861" t="s">
        <v>6483</v>
      </c>
      <c r="R1231" s="861" t="s">
        <v>434</v>
      </c>
      <c r="S1231" s="861" t="s">
        <v>6484</v>
      </c>
      <c r="T1231" s="866" t="s">
        <v>6485</v>
      </c>
      <c r="U1231" s="865"/>
    </row>
    <row r="1232" spans="1:21" ht="15">
      <c r="A1232" s="672"/>
      <c r="B1232" s="861" t="s">
        <v>6486</v>
      </c>
      <c r="C1232" s="861" t="s">
        <v>6487</v>
      </c>
      <c r="D1232" s="861" t="s">
        <v>371</v>
      </c>
      <c r="E1232" s="861"/>
      <c r="F1232" s="862"/>
      <c r="G1232" s="870" t="s">
        <v>6488</v>
      </c>
      <c r="H1232" s="874">
        <v>8277567.1399999997</v>
      </c>
      <c r="I1232" s="871"/>
      <c r="J1232" s="862">
        <v>0.127</v>
      </c>
      <c r="K1232" s="868">
        <f t="shared" si="98"/>
        <v>316</v>
      </c>
      <c r="L1232" s="861" t="s">
        <v>1137</v>
      </c>
      <c r="M1232" s="671">
        <f t="shared" si="99"/>
        <v>1230</v>
      </c>
      <c r="N1232" s="671" t="str">
        <f t="shared" si="100"/>
        <v>N/A</v>
      </c>
      <c r="O1232" s="671">
        <f t="shared" si="101"/>
        <v>408</v>
      </c>
      <c r="P1232" s="861" t="s">
        <v>6489</v>
      </c>
      <c r="Q1232" s="861"/>
      <c r="R1232" s="861" t="s">
        <v>781</v>
      </c>
      <c r="S1232" s="861" t="s">
        <v>6490</v>
      </c>
      <c r="T1232" s="866" t="s">
        <v>6491</v>
      </c>
      <c r="U1232" s="865"/>
    </row>
    <row r="1233" spans="1:21" ht="15">
      <c r="A1233" s="857"/>
      <c r="B1233" s="861" t="s">
        <v>6492</v>
      </c>
      <c r="C1233" s="861" t="s">
        <v>6493</v>
      </c>
      <c r="D1233" s="861" t="s">
        <v>371</v>
      </c>
      <c r="E1233" s="861"/>
      <c r="F1233" s="862">
        <v>7.2999999999999995E-2</v>
      </c>
      <c r="G1233" s="869">
        <v>2.0659340660000001</v>
      </c>
      <c r="H1233" s="874">
        <v>8190877.8700000001</v>
      </c>
      <c r="I1233" s="871"/>
      <c r="J1233" s="862">
        <v>0.49</v>
      </c>
      <c r="K1233" s="868">
        <f t="shared" si="98"/>
        <v>222</v>
      </c>
      <c r="L1233" s="863" t="s">
        <v>2330</v>
      </c>
      <c r="M1233" s="671">
        <f t="shared" si="99"/>
        <v>1231</v>
      </c>
      <c r="N1233" s="671" t="str">
        <f t="shared" si="100"/>
        <v>N/A</v>
      </c>
      <c r="O1233" s="671">
        <f t="shared" si="101"/>
        <v>24</v>
      </c>
      <c r="P1233" s="861" t="s">
        <v>6494</v>
      </c>
      <c r="Q1233" s="861"/>
      <c r="R1233" s="861"/>
      <c r="S1233" s="861" t="s">
        <v>1511</v>
      </c>
      <c r="T1233" s="866" t="s">
        <v>6495</v>
      </c>
      <c r="U1233" s="865"/>
    </row>
    <row r="1234" spans="1:21" ht="15">
      <c r="A1234" s="672"/>
      <c r="B1234" s="861" t="s">
        <v>6496</v>
      </c>
      <c r="C1234" s="861" t="s">
        <v>6497</v>
      </c>
      <c r="D1234" s="861" t="s">
        <v>371</v>
      </c>
      <c r="E1234" s="861"/>
      <c r="F1234" s="862"/>
      <c r="G1234" s="869">
        <v>0</v>
      </c>
      <c r="H1234" s="874">
        <v>8175171</v>
      </c>
      <c r="I1234" s="871"/>
      <c r="J1234" s="863"/>
      <c r="K1234" s="868">
        <f t="shared" si="98"/>
        <v>316</v>
      </c>
      <c r="L1234" s="863" t="s">
        <v>1030</v>
      </c>
      <c r="M1234" s="671">
        <f t="shared" si="99"/>
        <v>1232</v>
      </c>
      <c r="N1234" s="671" t="str">
        <f t="shared" si="100"/>
        <v>N/A</v>
      </c>
      <c r="O1234" s="671">
        <f t="shared" si="101"/>
        <v>708</v>
      </c>
      <c r="P1234" s="861" t="s">
        <v>6498</v>
      </c>
      <c r="Q1234" s="861"/>
      <c r="R1234" s="861" t="s">
        <v>460</v>
      </c>
      <c r="S1234" s="861" t="s">
        <v>1710</v>
      </c>
      <c r="T1234" s="866" t="s">
        <v>6499</v>
      </c>
      <c r="U1234" s="865"/>
    </row>
    <row r="1235" spans="1:21" ht="15">
      <c r="A1235" s="857"/>
      <c r="B1235" s="861" t="s">
        <v>6500</v>
      </c>
      <c r="C1235" s="861" t="s">
        <v>6501</v>
      </c>
      <c r="D1235" s="861" t="s">
        <v>371</v>
      </c>
      <c r="E1235" s="861"/>
      <c r="F1235" s="862"/>
      <c r="G1235" s="869" t="e">
        <v>#DIV/0!</v>
      </c>
      <c r="H1235" s="874">
        <v>8159005.2400000002</v>
      </c>
      <c r="I1235" s="871"/>
      <c r="J1235" s="861"/>
      <c r="K1235" s="868">
        <f t="shared" si="98"/>
        <v>316</v>
      </c>
      <c r="L1235" s="861"/>
      <c r="M1235" s="671">
        <f t="shared" si="99"/>
        <v>1233</v>
      </c>
      <c r="N1235" s="671" t="str">
        <f t="shared" si="100"/>
        <v>N/A</v>
      </c>
      <c r="O1235" s="671">
        <f t="shared" si="101"/>
        <v>708</v>
      </c>
      <c r="P1235" s="861" t="s">
        <v>655</v>
      </c>
      <c r="Q1235" s="861" t="s">
        <v>6502</v>
      </c>
      <c r="R1235" s="861"/>
      <c r="S1235" s="861" t="s">
        <v>1989</v>
      </c>
      <c r="T1235" s="866" t="s">
        <v>6503</v>
      </c>
      <c r="U1235" s="865"/>
    </row>
    <row r="1236" spans="1:21" ht="15">
      <c r="A1236" s="672"/>
      <c r="B1236" s="861" t="s">
        <v>6504</v>
      </c>
      <c r="C1236" s="861" t="s">
        <v>6505</v>
      </c>
      <c r="D1236" s="861" t="s">
        <v>371</v>
      </c>
      <c r="E1236" s="861"/>
      <c r="F1236" s="862"/>
      <c r="G1236" s="869" t="e">
        <v>#DIV/0!</v>
      </c>
      <c r="H1236" s="874">
        <v>8157033.0800000001</v>
      </c>
      <c r="I1236" s="871"/>
      <c r="J1236" s="862">
        <v>1.2999999999999999E-2</v>
      </c>
      <c r="K1236" s="868">
        <f t="shared" si="98"/>
        <v>316</v>
      </c>
      <c r="L1236" s="861"/>
      <c r="M1236" s="671">
        <f t="shared" si="99"/>
        <v>1234</v>
      </c>
      <c r="N1236" s="671" t="str">
        <f t="shared" si="100"/>
        <v>N/A</v>
      </c>
      <c r="O1236" s="671">
        <f t="shared" si="101"/>
        <v>677</v>
      </c>
      <c r="P1236" s="861"/>
      <c r="Q1236" s="861"/>
      <c r="R1236" s="861"/>
      <c r="S1236" s="861" t="s">
        <v>1475</v>
      </c>
      <c r="T1236" s="866" t="s">
        <v>6506</v>
      </c>
      <c r="U1236" s="865"/>
    </row>
    <row r="1237" spans="1:21" ht="15">
      <c r="A1237" s="857"/>
      <c r="B1237" s="861" t="s">
        <v>6507</v>
      </c>
      <c r="C1237" s="861" t="s">
        <v>6508</v>
      </c>
      <c r="D1237" s="861" t="s">
        <v>371</v>
      </c>
      <c r="E1237" s="861"/>
      <c r="F1237" s="862"/>
      <c r="G1237" s="870" t="s">
        <v>6509</v>
      </c>
      <c r="H1237" s="874">
        <v>8144366.0999999996</v>
      </c>
      <c r="I1237" s="871"/>
      <c r="J1237" s="863"/>
      <c r="K1237" s="868">
        <f t="shared" si="98"/>
        <v>316</v>
      </c>
      <c r="L1237" s="863" t="s">
        <v>945</v>
      </c>
      <c r="M1237" s="671">
        <f t="shared" si="99"/>
        <v>1235</v>
      </c>
      <c r="N1237" s="671" t="str">
        <f t="shared" si="100"/>
        <v>N/A</v>
      </c>
      <c r="O1237" s="671">
        <f t="shared" si="101"/>
        <v>708</v>
      </c>
      <c r="P1237" s="861" t="s">
        <v>1082</v>
      </c>
      <c r="Q1237" s="861"/>
      <c r="R1237" s="863" t="s">
        <v>4851</v>
      </c>
      <c r="S1237" s="861" t="s">
        <v>3047</v>
      </c>
      <c r="T1237" s="866" t="s">
        <v>6510</v>
      </c>
      <c r="U1237" s="865"/>
    </row>
    <row r="1238" spans="1:21" ht="15">
      <c r="A1238" s="672"/>
      <c r="B1238" s="861" t="s">
        <v>6511</v>
      </c>
      <c r="C1238" s="861" t="s">
        <v>6512</v>
      </c>
      <c r="D1238" s="861" t="s">
        <v>371</v>
      </c>
      <c r="E1238" s="861"/>
      <c r="F1238" s="862"/>
      <c r="G1238" s="869" t="e">
        <v>#DIV/0!</v>
      </c>
      <c r="H1238" s="874">
        <v>8082986.46</v>
      </c>
      <c r="I1238" s="871"/>
      <c r="J1238" s="862">
        <v>5.1999999999999998E-2</v>
      </c>
      <c r="K1238" s="868">
        <f t="shared" si="98"/>
        <v>316</v>
      </c>
      <c r="L1238" s="861"/>
      <c r="M1238" s="671">
        <f t="shared" si="99"/>
        <v>1236</v>
      </c>
      <c r="N1238" s="671" t="str">
        <f t="shared" si="100"/>
        <v>N/A</v>
      </c>
      <c r="O1238" s="671">
        <f t="shared" si="101"/>
        <v>596</v>
      </c>
      <c r="P1238" s="861" t="s">
        <v>6513</v>
      </c>
      <c r="Q1238" s="861" t="s">
        <v>6514</v>
      </c>
      <c r="R1238" s="861"/>
      <c r="S1238" s="861" t="s">
        <v>563</v>
      </c>
      <c r="T1238" s="866" t="s">
        <v>6515</v>
      </c>
      <c r="U1238" s="865"/>
    </row>
    <row r="1239" spans="1:21" ht="15">
      <c r="A1239" s="857"/>
      <c r="B1239" s="861" t="s">
        <v>6516</v>
      </c>
      <c r="C1239" s="861" t="s">
        <v>6517</v>
      </c>
      <c r="D1239" s="861" t="s">
        <v>371</v>
      </c>
      <c r="E1239" s="861"/>
      <c r="F1239" s="862"/>
      <c r="G1239" s="869">
        <v>0.71715259399999998</v>
      </c>
      <c r="H1239" s="874">
        <v>8080211.6200000001</v>
      </c>
      <c r="I1239" s="871"/>
      <c r="J1239" s="861"/>
      <c r="K1239" s="868">
        <f t="shared" si="98"/>
        <v>316</v>
      </c>
      <c r="L1239" s="861" t="s">
        <v>506</v>
      </c>
      <c r="M1239" s="671">
        <f t="shared" si="99"/>
        <v>1237</v>
      </c>
      <c r="N1239" s="671" t="str">
        <f t="shared" si="100"/>
        <v>N/A</v>
      </c>
      <c r="O1239" s="671">
        <f t="shared" si="101"/>
        <v>708</v>
      </c>
      <c r="P1239" s="861" t="s">
        <v>4013</v>
      </c>
      <c r="Q1239" s="861" t="s">
        <v>6518</v>
      </c>
      <c r="R1239" s="861" t="s">
        <v>1369</v>
      </c>
      <c r="S1239" s="861" t="s">
        <v>6519</v>
      </c>
      <c r="T1239" s="866" t="s">
        <v>6520</v>
      </c>
      <c r="U1239" s="865"/>
    </row>
    <row r="1240" spans="1:21" ht="15">
      <c r="A1240" s="672"/>
      <c r="B1240" s="861" t="s">
        <v>6521</v>
      </c>
      <c r="C1240" s="861" t="s">
        <v>6522</v>
      </c>
      <c r="D1240" s="861" t="s">
        <v>371</v>
      </c>
      <c r="E1240" s="861"/>
      <c r="F1240" s="862">
        <v>-3.1840000000000002</v>
      </c>
      <c r="G1240" s="870" t="s">
        <v>6523</v>
      </c>
      <c r="H1240" s="874">
        <v>8038043.4500000002</v>
      </c>
      <c r="I1240" s="871"/>
      <c r="J1240" s="863"/>
      <c r="K1240" s="868">
        <f t="shared" si="98"/>
        <v>501</v>
      </c>
      <c r="L1240" s="861"/>
      <c r="M1240" s="671">
        <f t="shared" si="99"/>
        <v>1238</v>
      </c>
      <c r="N1240" s="671" t="str">
        <f t="shared" si="100"/>
        <v>N/A</v>
      </c>
      <c r="O1240" s="671">
        <f t="shared" si="101"/>
        <v>708</v>
      </c>
      <c r="P1240" s="861" t="s">
        <v>1738</v>
      </c>
      <c r="Q1240" s="861" t="s">
        <v>6524</v>
      </c>
      <c r="R1240" s="861"/>
      <c r="S1240" s="861" t="s">
        <v>487</v>
      </c>
      <c r="T1240" s="866" t="s">
        <v>6525</v>
      </c>
      <c r="U1240" s="865"/>
    </row>
    <row r="1241" spans="1:21" ht="15">
      <c r="A1241" s="857"/>
      <c r="B1241" s="861" t="s">
        <v>6526</v>
      </c>
      <c r="C1241" s="861" t="s">
        <v>6527</v>
      </c>
      <c r="D1241" s="861" t="s">
        <v>371</v>
      </c>
      <c r="E1241" s="861"/>
      <c r="F1241" s="862"/>
      <c r="G1241" s="870" t="s">
        <v>6528</v>
      </c>
      <c r="H1241" s="874">
        <v>8021558.9299999997</v>
      </c>
      <c r="I1241" s="871">
        <v>6.86</v>
      </c>
      <c r="J1241" s="863" t="s">
        <v>2901</v>
      </c>
      <c r="K1241" s="868">
        <f t="shared" si="98"/>
        <v>316</v>
      </c>
      <c r="L1241" s="861"/>
      <c r="M1241" s="671">
        <f t="shared" si="99"/>
        <v>1239</v>
      </c>
      <c r="N1241" s="671">
        <f t="shared" si="100"/>
        <v>255</v>
      </c>
      <c r="O1241" s="671" t="str">
        <f t="shared" si="101"/>
        <v>N/A</v>
      </c>
      <c r="P1241" s="861" t="s">
        <v>827</v>
      </c>
      <c r="Q1241" s="861"/>
      <c r="R1241" s="861"/>
      <c r="S1241" s="861" t="s">
        <v>460</v>
      </c>
      <c r="T1241" s="866" t="s">
        <v>6529</v>
      </c>
      <c r="U1241" s="865"/>
    </row>
    <row r="1242" spans="1:21" ht="15">
      <c r="A1242" s="672"/>
      <c r="B1242" s="861" t="s">
        <v>6530</v>
      </c>
      <c r="C1242" s="861" t="s">
        <v>6531</v>
      </c>
      <c r="D1242" s="861" t="s">
        <v>371</v>
      </c>
      <c r="E1242" s="861"/>
      <c r="F1242" s="862"/>
      <c r="G1242" s="870" t="s">
        <v>6532</v>
      </c>
      <c r="H1242" s="874">
        <v>8017915.9299999997</v>
      </c>
      <c r="I1242" s="871"/>
      <c r="J1242" s="862">
        <v>0.23200000000000001</v>
      </c>
      <c r="K1242" s="868">
        <f t="shared" si="98"/>
        <v>316</v>
      </c>
      <c r="L1242" s="861"/>
      <c r="M1242" s="671">
        <f t="shared" si="99"/>
        <v>1240</v>
      </c>
      <c r="N1242" s="671" t="str">
        <f t="shared" si="100"/>
        <v>N/A</v>
      </c>
      <c r="O1242" s="671">
        <f t="shared" si="101"/>
        <v>211</v>
      </c>
      <c r="P1242" s="861" t="s">
        <v>2064</v>
      </c>
      <c r="Q1242" s="861"/>
      <c r="R1242" s="861"/>
      <c r="S1242" s="861" t="s">
        <v>1645</v>
      </c>
      <c r="T1242" s="866" t="s">
        <v>6533</v>
      </c>
      <c r="U1242" s="865"/>
    </row>
    <row r="1243" spans="1:21" ht="15">
      <c r="A1243" s="857"/>
      <c r="B1243" s="861" t="s">
        <v>6534</v>
      </c>
      <c r="C1243" s="861" t="s">
        <v>6535</v>
      </c>
      <c r="D1243" s="861" t="s">
        <v>371</v>
      </c>
      <c r="E1243" s="861"/>
      <c r="F1243" s="862"/>
      <c r="G1243" s="869">
        <v>9.6167829900000008</v>
      </c>
      <c r="H1243" s="874">
        <v>7981939</v>
      </c>
      <c r="I1243" s="871"/>
      <c r="J1243" s="862">
        <v>6.3E-2</v>
      </c>
      <c r="K1243" s="868">
        <f t="shared" si="98"/>
        <v>316</v>
      </c>
      <c r="L1243" s="861"/>
      <c r="M1243" s="671">
        <f t="shared" si="99"/>
        <v>1241</v>
      </c>
      <c r="N1243" s="671" t="str">
        <f t="shared" si="100"/>
        <v>N/A</v>
      </c>
      <c r="O1243" s="671">
        <f t="shared" si="101"/>
        <v>573</v>
      </c>
      <c r="P1243" s="861" t="s">
        <v>6536</v>
      </c>
      <c r="Q1243" s="861"/>
      <c r="R1243" s="861"/>
      <c r="S1243" s="861" t="s">
        <v>2365</v>
      </c>
      <c r="T1243" s="866" t="s">
        <v>6537</v>
      </c>
      <c r="U1243" s="865"/>
    </row>
    <row r="1244" spans="1:21" ht="15">
      <c r="A1244" s="672"/>
      <c r="B1244" s="861" t="s">
        <v>6538</v>
      </c>
      <c r="C1244" s="861" t="s">
        <v>6539</v>
      </c>
      <c r="D1244" s="861" t="s">
        <v>371</v>
      </c>
      <c r="E1244" s="861"/>
      <c r="F1244" s="862"/>
      <c r="G1244" s="869">
        <v>2.440843654</v>
      </c>
      <c r="H1244" s="874">
        <v>7980034.7199999997</v>
      </c>
      <c r="I1244" s="871"/>
      <c r="J1244" s="863" t="s">
        <v>6540</v>
      </c>
      <c r="K1244" s="868">
        <f t="shared" si="98"/>
        <v>316</v>
      </c>
      <c r="L1244" s="863" t="s">
        <v>4400</v>
      </c>
      <c r="M1244" s="671">
        <f t="shared" si="99"/>
        <v>1242</v>
      </c>
      <c r="N1244" s="671" t="str">
        <f t="shared" si="100"/>
        <v>N/A</v>
      </c>
      <c r="O1244" s="671" t="str">
        <f t="shared" si="101"/>
        <v>N/A</v>
      </c>
      <c r="P1244" s="861" t="s">
        <v>611</v>
      </c>
      <c r="Q1244" s="861"/>
      <c r="R1244" s="863" t="s">
        <v>6541</v>
      </c>
      <c r="S1244" s="861" t="s">
        <v>6542</v>
      </c>
      <c r="T1244" s="866" t="s">
        <v>6543</v>
      </c>
      <c r="U1244" s="865"/>
    </row>
    <row r="1245" spans="1:21" ht="15">
      <c r="A1245" s="857"/>
      <c r="B1245" s="861" t="s">
        <v>6544</v>
      </c>
      <c r="C1245" s="861" t="s">
        <v>6545</v>
      </c>
      <c r="D1245" s="861" t="s">
        <v>371</v>
      </c>
      <c r="E1245" s="861"/>
      <c r="F1245" s="862"/>
      <c r="G1245" s="870" t="s">
        <v>6546</v>
      </c>
      <c r="H1245" s="874">
        <v>7904824.7199999997</v>
      </c>
      <c r="I1245" s="871"/>
      <c r="J1245" s="862">
        <v>9.8000000000000004E-2</v>
      </c>
      <c r="K1245" s="868">
        <f t="shared" si="98"/>
        <v>316</v>
      </c>
      <c r="L1245" s="861"/>
      <c r="M1245" s="671">
        <f t="shared" si="99"/>
        <v>1243</v>
      </c>
      <c r="N1245" s="671" t="str">
        <f t="shared" si="100"/>
        <v>N/A</v>
      </c>
      <c r="O1245" s="671">
        <f t="shared" si="101"/>
        <v>504</v>
      </c>
      <c r="P1245" s="861" t="s">
        <v>1019</v>
      </c>
      <c r="Q1245" s="861"/>
      <c r="R1245" s="861"/>
      <c r="S1245" s="861" t="s">
        <v>454</v>
      </c>
      <c r="T1245" s="866" t="s">
        <v>6547</v>
      </c>
      <c r="U1245" s="865"/>
    </row>
    <row r="1246" spans="1:21" ht="15">
      <c r="A1246" s="672"/>
      <c r="B1246" s="861" t="s">
        <v>6548</v>
      </c>
      <c r="C1246" s="861" t="s">
        <v>6549</v>
      </c>
      <c r="D1246" s="861" t="s">
        <v>371</v>
      </c>
      <c r="E1246" s="861"/>
      <c r="F1246" s="862"/>
      <c r="G1246" s="869">
        <v>0.85233441899999995</v>
      </c>
      <c r="H1246" s="874">
        <v>7895252.0499999998</v>
      </c>
      <c r="I1246" s="871"/>
      <c r="J1246" s="863" t="s">
        <v>6550</v>
      </c>
      <c r="K1246" s="868">
        <f t="shared" si="98"/>
        <v>316</v>
      </c>
      <c r="L1246" s="861" t="s">
        <v>533</v>
      </c>
      <c r="M1246" s="671">
        <f t="shared" si="99"/>
        <v>1244</v>
      </c>
      <c r="N1246" s="671" t="str">
        <f t="shared" si="100"/>
        <v>N/A</v>
      </c>
      <c r="O1246" s="671" t="str">
        <f t="shared" si="101"/>
        <v>N/A</v>
      </c>
      <c r="P1246" s="861" t="s">
        <v>6551</v>
      </c>
      <c r="Q1246" s="861"/>
      <c r="R1246" s="863" t="s">
        <v>6552</v>
      </c>
      <c r="S1246" s="861" t="s">
        <v>6553</v>
      </c>
      <c r="T1246" s="866" t="s">
        <v>6554</v>
      </c>
      <c r="U1246" s="865"/>
    </row>
    <row r="1247" spans="1:21" ht="15">
      <c r="A1247" s="857"/>
      <c r="B1247" s="861" t="s">
        <v>6555</v>
      </c>
      <c r="C1247" s="861" t="s">
        <v>6556</v>
      </c>
      <c r="D1247" s="861" t="s">
        <v>371</v>
      </c>
      <c r="E1247" s="861"/>
      <c r="F1247" s="862">
        <v>-0.39600000000000002</v>
      </c>
      <c r="G1247" s="869">
        <v>0</v>
      </c>
      <c r="H1247" s="874">
        <v>7895248.3600000003</v>
      </c>
      <c r="I1247" s="871"/>
      <c r="J1247" s="863" t="s">
        <v>5228</v>
      </c>
      <c r="K1247" s="868">
        <f t="shared" si="98"/>
        <v>463</v>
      </c>
      <c r="L1247" s="861"/>
      <c r="M1247" s="671">
        <f t="shared" si="99"/>
        <v>1245</v>
      </c>
      <c r="N1247" s="671" t="str">
        <f t="shared" si="100"/>
        <v>N/A</v>
      </c>
      <c r="O1247" s="671" t="str">
        <f t="shared" si="101"/>
        <v>N/A</v>
      </c>
      <c r="P1247" s="861" t="s">
        <v>6557</v>
      </c>
      <c r="Q1247" s="861"/>
      <c r="R1247" s="861"/>
      <c r="S1247" s="861" t="s">
        <v>6558</v>
      </c>
      <c r="T1247" s="866" t="s">
        <v>6559</v>
      </c>
      <c r="U1247" s="865"/>
    </row>
    <row r="1248" spans="1:21" ht="15">
      <c r="A1248" s="672"/>
      <c r="B1248" s="861" t="s">
        <v>6560</v>
      </c>
      <c r="C1248" s="861" t="s">
        <v>6561</v>
      </c>
      <c r="D1248" s="861" t="s">
        <v>371</v>
      </c>
      <c r="E1248" s="861"/>
      <c r="F1248" s="862"/>
      <c r="G1248" s="870" t="s">
        <v>6562</v>
      </c>
      <c r="H1248" s="874">
        <v>7894870.5099999998</v>
      </c>
      <c r="I1248" s="871"/>
      <c r="J1248" s="862">
        <v>0.23300000000000001</v>
      </c>
      <c r="K1248" s="868">
        <f t="shared" si="98"/>
        <v>316</v>
      </c>
      <c r="L1248" s="861"/>
      <c r="M1248" s="671">
        <f t="shared" si="99"/>
        <v>1246</v>
      </c>
      <c r="N1248" s="671" t="str">
        <f t="shared" si="100"/>
        <v>N/A</v>
      </c>
      <c r="O1248" s="671">
        <f t="shared" si="101"/>
        <v>208</v>
      </c>
      <c r="P1248" s="861" t="s">
        <v>519</v>
      </c>
      <c r="Q1248" s="861" t="s">
        <v>1470</v>
      </c>
      <c r="R1248" s="861"/>
      <c r="S1248" s="861" t="s">
        <v>5146</v>
      </c>
      <c r="T1248" s="866" t="s">
        <v>6563</v>
      </c>
      <c r="U1248" s="865"/>
    </row>
    <row r="1249" spans="1:21" ht="15">
      <c r="A1249" s="857"/>
      <c r="B1249" s="861" t="s">
        <v>6564</v>
      </c>
      <c r="C1249" s="861" t="s">
        <v>6565</v>
      </c>
      <c r="D1249" s="861" t="s">
        <v>371</v>
      </c>
      <c r="E1249" s="861"/>
      <c r="F1249" s="862"/>
      <c r="G1249" s="870" t="s">
        <v>6566</v>
      </c>
      <c r="H1249" s="874">
        <v>7891496.4199999999</v>
      </c>
      <c r="I1249" s="871"/>
      <c r="J1249" s="863"/>
      <c r="K1249" s="868">
        <f t="shared" si="98"/>
        <v>316</v>
      </c>
      <c r="L1249" s="863" t="s">
        <v>5748</v>
      </c>
      <c r="M1249" s="671">
        <f t="shared" si="99"/>
        <v>1247</v>
      </c>
      <c r="N1249" s="671" t="str">
        <f t="shared" si="100"/>
        <v>N/A</v>
      </c>
      <c r="O1249" s="671">
        <f t="shared" si="101"/>
        <v>708</v>
      </c>
      <c r="P1249" s="861" t="s">
        <v>3014</v>
      </c>
      <c r="Q1249" s="861"/>
      <c r="R1249" s="863" t="s">
        <v>6567</v>
      </c>
      <c r="S1249" s="861" t="s">
        <v>6568</v>
      </c>
      <c r="T1249" s="866" t="s">
        <v>6569</v>
      </c>
      <c r="U1249" s="865"/>
    </row>
    <row r="1250" spans="1:21" ht="15">
      <c r="A1250" s="672"/>
      <c r="B1250" s="861" t="s">
        <v>6570</v>
      </c>
      <c r="C1250" s="861" t="s">
        <v>6571</v>
      </c>
      <c r="D1250" s="861" t="s">
        <v>371</v>
      </c>
      <c r="E1250" s="861"/>
      <c r="F1250" s="862"/>
      <c r="G1250" s="869" t="e">
        <v>#DIV/0!</v>
      </c>
      <c r="H1250" s="874">
        <v>7802360.8600000003</v>
      </c>
      <c r="I1250" s="871"/>
      <c r="J1250" s="863" t="s">
        <v>6572</v>
      </c>
      <c r="K1250" s="868">
        <f t="shared" si="98"/>
        <v>316</v>
      </c>
      <c r="L1250" s="861"/>
      <c r="M1250" s="671">
        <f t="shared" si="99"/>
        <v>1248</v>
      </c>
      <c r="N1250" s="671" t="str">
        <f t="shared" si="100"/>
        <v>N/A</v>
      </c>
      <c r="O1250" s="671" t="str">
        <f t="shared" si="101"/>
        <v>N/A</v>
      </c>
      <c r="P1250" s="861" t="s">
        <v>6573</v>
      </c>
      <c r="Q1250" s="861"/>
      <c r="R1250" s="861"/>
      <c r="S1250" s="861" t="s">
        <v>890</v>
      </c>
      <c r="T1250" s="866" t="s">
        <v>6574</v>
      </c>
      <c r="U1250" s="865"/>
    </row>
    <row r="1251" spans="1:21" ht="15">
      <c r="A1251" s="857"/>
      <c r="B1251" s="861" t="s">
        <v>6575</v>
      </c>
      <c r="C1251" s="861" t="s">
        <v>6576</v>
      </c>
      <c r="D1251" s="861" t="s">
        <v>371</v>
      </c>
      <c r="E1251" s="861"/>
      <c r="F1251" s="862"/>
      <c r="G1251" s="870" t="s">
        <v>6577</v>
      </c>
      <c r="H1251" s="874">
        <v>7751599.3700000001</v>
      </c>
      <c r="I1251" s="871"/>
      <c r="J1251" s="863" t="s">
        <v>6578</v>
      </c>
      <c r="K1251" s="868">
        <f t="shared" si="98"/>
        <v>316</v>
      </c>
      <c r="L1251" s="861" t="s">
        <v>6117</v>
      </c>
      <c r="M1251" s="671">
        <f t="shared" si="99"/>
        <v>1249</v>
      </c>
      <c r="N1251" s="671" t="str">
        <f t="shared" si="100"/>
        <v>N/A</v>
      </c>
      <c r="O1251" s="671" t="str">
        <f t="shared" si="101"/>
        <v>N/A</v>
      </c>
      <c r="P1251" s="861" t="s">
        <v>1538</v>
      </c>
      <c r="Q1251" s="861" t="s">
        <v>1626</v>
      </c>
      <c r="R1251" s="861"/>
      <c r="S1251" s="861" t="s">
        <v>6579</v>
      </c>
      <c r="T1251" s="866" t="s">
        <v>6580</v>
      </c>
      <c r="U1251" s="865"/>
    </row>
    <row r="1252" spans="1:21" ht="15">
      <c r="A1252" s="672"/>
      <c r="B1252" s="861" t="s">
        <v>6581</v>
      </c>
      <c r="C1252" s="861" t="s">
        <v>6582</v>
      </c>
      <c r="D1252" s="861" t="s">
        <v>371</v>
      </c>
      <c r="E1252" s="861"/>
      <c r="F1252" s="862"/>
      <c r="G1252" s="870" t="s">
        <v>6583</v>
      </c>
      <c r="H1252" s="874">
        <v>7697294.9299999997</v>
      </c>
      <c r="I1252" s="871"/>
      <c r="J1252" s="862">
        <v>7.0000000000000007E-2</v>
      </c>
      <c r="K1252" s="868">
        <f t="shared" si="98"/>
        <v>316</v>
      </c>
      <c r="L1252" s="861" t="s">
        <v>6584</v>
      </c>
      <c r="M1252" s="671">
        <f t="shared" si="99"/>
        <v>1250</v>
      </c>
      <c r="N1252" s="671" t="str">
        <f t="shared" si="100"/>
        <v>N/A</v>
      </c>
      <c r="O1252" s="671">
        <f t="shared" si="101"/>
        <v>563</v>
      </c>
      <c r="P1252" s="861" t="s">
        <v>1747</v>
      </c>
      <c r="Q1252" s="861"/>
      <c r="R1252" s="861" t="s">
        <v>1360</v>
      </c>
      <c r="S1252" s="861" t="s">
        <v>6585</v>
      </c>
      <c r="T1252" s="866" t="s">
        <v>6586</v>
      </c>
      <c r="U1252" s="865"/>
    </row>
    <row r="1253" spans="1:21" ht="15">
      <c r="A1253" s="857"/>
      <c r="B1253" s="861" t="s">
        <v>6587</v>
      </c>
      <c r="C1253" s="861" t="s">
        <v>6588</v>
      </c>
      <c r="D1253" s="861" t="s">
        <v>371</v>
      </c>
      <c r="E1253" s="861"/>
      <c r="F1253" s="862"/>
      <c r="G1253" s="869">
        <v>1.666858945</v>
      </c>
      <c r="H1253" s="874">
        <v>7688678.5</v>
      </c>
      <c r="I1253" s="871"/>
      <c r="J1253" s="863" t="s">
        <v>6589</v>
      </c>
      <c r="K1253" s="868">
        <f t="shared" si="98"/>
        <v>316</v>
      </c>
      <c r="L1253" s="861" t="s">
        <v>734</v>
      </c>
      <c r="M1253" s="671">
        <f t="shared" si="99"/>
        <v>1251</v>
      </c>
      <c r="N1253" s="671" t="str">
        <f t="shared" si="100"/>
        <v>N/A</v>
      </c>
      <c r="O1253" s="671" t="str">
        <f t="shared" si="101"/>
        <v>N/A</v>
      </c>
      <c r="P1253" s="861" t="s">
        <v>2105</v>
      </c>
      <c r="Q1253" s="861" t="s">
        <v>6590</v>
      </c>
      <c r="R1253" s="863" t="s">
        <v>448</v>
      </c>
      <c r="S1253" s="861" t="s">
        <v>2117</v>
      </c>
      <c r="T1253" s="866" t="s">
        <v>6591</v>
      </c>
      <c r="U1253" s="865"/>
    </row>
    <row r="1254" spans="1:21" ht="15">
      <c r="A1254" s="672"/>
      <c r="B1254" s="861" t="s">
        <v>6592</v>
      </c>
      <c r="C1254" s="861" t="s">
        <v>6593</v>
      </c>
      <c r="D1254" s="861" t="s">
        <v>371</v>
      </c>
      <c r="E1254" s="861"/>
      <c r="F1254" s="862"/>
      <c r="G1254" s="869">
        <v>0</v>
      </c>
      <c r="H1254" s="874">
        <v>7606453.4400000004</v>
      </c>
      <c r="I1254" s="871"/>
      <c r="J1254" s="861" t="s">
        <v>3441</v>
      </c>
      <c r="K1254" s="868">
        <f t="shared" si="98"/>
        <v>316</v>
      </c>
      <c r="L1254" s="861" t="s">
        <v>473</v>
      </c>
      <c r="M1254" s="671">
        <f t="shared" si="99"/>
        <v>1252</v>
      </c>
      <c r="N1254" s="671" t="str">
        <f t="shared" si="100"/>
        <v>N/A</v>
      </c>
      <c r="O1254" s="671" t="str">
        <f t="shared" si="101"/>
        <v>N/A</v>
      </c>
      <c r="P1254" s="861" t="s">
        <v>4243</v>
      </c>
      <c r="Q1254" s="861" t="s">
        <v>6594</v>
      </c>
      <c r="R1254" s="863" t="s">
        <v>6595</v>
      </c>
      <c r="S1254" s="861" t="s">
        <v>6596</v>
      </c>
      <c r="T1254" s="866" t="s">
        <v>6597</v>
      </c>
      <c r="U1254" s="865"/>
    </row>
    <row r="1255" spans="1:21" ht="15">
      <c r="A1255" s="857"/>
      <c r="B1255" s="861" t="s">
        <v>6598</v>
      </c>
      <c r="C1255" s="861" t="s">
        <v>6599</v>
      </c>
      <c r="D1255" s="861" t="s">
        <v>371</v>
      </c>
      <c r="E1255" s="861"/>
      <c r="F1255" s="862"/>
      <c r="G1255" s="869">
        <v>0</v>
      </c>
      <c r="H1255" s="874">
        <v>7589296.7000000002</v>
      </c>
      <c r="I1255" s="871">
        <v>89.9</v>
      </c>
      <c r="J1255" s="863" t="s">
        <v>1025</v>
      </c>
      <c r="K1255" s="868">
        <f t="shared" si="98"/>
        <v>316</v>
      </c>
      <c r="L1255" s="861" t="s">
        <v>1252</v>
      </c>
      <c r="M1255" s="671">
        <f t="shared" si="99"/>
        <v>1253</v>
      </c>
      <c r="N1255" s="671">
        <f t="shared" si="100"/>
        <v>39</v>
      </c>
      <c r="O1255" s="671" t="str">
        <f t="shared" si="101"/>
        <v>N/A</v>
      </c>
      <c r="P1255" s="861" t="s">
        <v>4298</v>
      </c>
      <c r="Q1255" s="861" t="s">
        <v>1627</v>
      </c>
      <c r="R1255" s="861" t="s">
        <v>2851</v>
      </c>
      <c r="S1255" s="861" t="s">
        <v>2937</v>
      </c>
      <c r="T1255" s="866" t="s">
        <v>6600</v>
      </c>
      <c r="U1255" s="865"/>
    </row>
    <row r="1256" spans="1:21" ht="15">
      <c r="A1256" s="672"/>
      <c r="B1256" s="861" t="s">
        <v>6601</v>
      </c>
      <c r="C1256" s="861" t="s">
        <v>6602</v>
      </c>
      <c r="D1256" s="861" t="s">
        <v>371</v>
      </c>
      <c r="E1256" s="861"/>
      <c r="F1256" s="862"/>
      <c r="G1256" s="870" t="s">
        <v>6603</v>
      </c>
      <c r="H1256" s="874">
        <v>7507806.6399999997</v>
      </c>
      <c r="I1256" s="871"/>
      <c r="J1256" s="863"/>
      <c r="K1256" s="868">
        <f t="shared" si="98"/>
        <v>316</v>
      </c>
      <c r="L1256" s="861"/>
      <c r="M1256" s="671">
        <f t="shared" si="99"/>
        <v>1254</v>
      </c>
      <c r="N1256" s="671" t="str">
        <f t="shared" si="100"/>
        <v>N/A</v>
      </c>
      <c r="O1256" s="671">
        <f t="shared" si="101"/>
        <v>708</v>
      </c>
      <c r="P1256" s="861" t="s">
        <v>467</v>
      </c>
      <c r="Q1256" s="861"/>
      <c r="R1256" s="861"/>
      <c r="S1256" s="861" t="s">
        <v>1497</v>
      </c>
      <c r="T1256" s="866" t="s">
        <v>6604</v>
      </c>
      <c r="U1256" s="865"/>
    </row>
    <row r="1257" spans="1:21" ht="15">
      <c r="A1257" s="857"/>
      <c r="B1257" s="861" t="s">
        <v>6605</v>
      </c>
      <c r="C1257" s="861" t="s">
        <v>6606</v>
      </c>
      <c r="D1257" s="861" t="s">
        <v>371</v>
      </c>
      <c r="E1257" s="861"/>
      <c r="F1257" s="862"/>
      <c r="G1257" s="869" t="e">
        <v>#DIV/0!</v>
      </c>
      <c r="H1257" s="874">
        <v>7497013.3799999999</v>
      </c>
      <c r="I1257" s="871"/>
      <c r="J1257" s="862">
        <v>0.11799999999999999</v>
      </c>
      <c r="K1257" s="868">
        <f t="shared" si="98"/>
        <v>316</v>
      </c>
      <c r="L1257" s="861"/>
      <c r="M1257" s="671">
        <f t="shared" si="99"/>
        <v>1255</v>
      </c>
      <c r="N1257" s="671" t="str">
        <f t="shared" si="100"/>
        <v>N/A</v>
      </c>
      <c r="O1257" s="671">
        <f t="shared" si="101"/>
        <v>436</v>
      </c>
      <c r="P1257" s="861" t="s">
        <v>1760</v>
      </c>
      <c r="Q1257" s="861"/>
      <c r="R1257" s="861"/>
      <c r="S1257" s="861" t="s">
        <v>404</v>
      </c>
      <c r="T1257" s="866" t="s">
        <v>6607</v>
      </c>
      <c r="U1257" s="865"/>
    </row>
    <row r="1258" spans="1:21" ht="15">
      <c r="A1258" s="672"/>
      <c r="B1258" s="861" t="s">
        <v>6608</v>
      </c>
      <c r="C1258" s="861" t="s">
        <v>6609</v>
      </c>
      <c r="D1258" s="861" t="s">
        <v>371</v>
      </c>
      <c r="E1258" s="861"/>
      <c r="F1258" s="862"/>
      <c r="G1258" s="869">
        <v>8.022208762</v>
      </c>
      <c r="H1258" s="874">
        <v>7480508.1600000001</v>
      </c>
      <c r="I1258" s="871"/>
      <c r="J1258" s="863" t="s">
        <v>6610</v>
      </c>
      <c r="K1258" s="868">
        <f t="shared" si="98"/>
        <v>316</v>
      </c>
      <c r="L1258" s="861"/>
      <c r="M1258" s="671">
        <f t="shared" si="99"/>
        <v>1256</v>
      </c>
      <c r="N1258" s="671" t="str">
        <f t="shared" si="100"/>
        <v>N/A</v>
      </c>
      <c r="O1258" s="671" t="str">
        <f t="shared" si="101"/>
        <v>N/A</v>
      </c>
      <c r="P1258" s="861" t="s">
        <v>6611</v>
      </c>
      <c r="Q1258" s="861"/>
      <c r="R1258" s="861"/>
      <c r="S1258" s="861" t="s">
        <v>5276</v>
      </c>
      <c r="T1258" s="866" t="s">
        <v>6612</v>
      </c>
      <c r="U1258" s="865"/>
    </row>
    <row r="1259" spans="1:21" ht="15">
      <c r="A1259" s="857"/>
      <c r="B1259" s="861" t="s">
        <v>6613</v>
      </c>
      <c r="C1259" s="861" t="s">
        <v>6614</v>
      </c>
      <c r="D1259" s="861" t="s">
        <v>371</v>
      </c>
      <c r="E1259" s="861"/>
      <c r="F1259" s="862"/>
      <c r="G1259" s="869">
        <v>0</v>
      </c>
      <c r="H1259" s="874">
        <v>7458620.54</v>
      </c>
      <c r="I1259" s="871"/>
      <c r="J1259" s="863" t="s">
        <v>6615</v>
      </c>
      <c r="K1259" s="868">
        <f t="shared" si="98"/>
        <v>316</v>
      </c>
      <c r="L1259" s="861"/>
      <c r="M1259" s="671">
        <f t="shared" si="99"/>
        <v>1257</v>
      </c>
      <c r="N1259" s="671" t="str">
        <f t="shared" si="100"/>
        <v>N/A</v>
      </c>
      <c r="O1259" s="671" t="str">
        <f t="shared" si="101"/>
        <v>N/A</v>
      </c>
      <c r="P1259" s="861" t="s">
        <v>1664</v>
      </c>
      <c r="Q1259" s="861" t="s">
        <v>6616</v>
      </c>
      <c r="R1259" s="861"/>
      <c r="S1259" s="861" t="s">
        <v>6617</v>
      </c>
      <c r="T1259" s="866" t="s">
        <v>6618</v>
      </c>
      <c r="U1259" s="865"/>
    </row>
    <row r="1260" spans="1:21" ht="15">
      <c r="A1260" s="672"/>
      <c r="B1260" s="861" t="s">
        <v>6619</v>
      </c>
      <c r="C1260" s="861" t="s">
        <v>6620</v>
      </c>
      <c r="D1260" s="861" t="s">
        <v>371</v>
      </c>
      <c r="E1260" s="861"/>
      <c r="F1260" s="862"/>
      <c r="G1260" s="870" t="s">
        <v>6621</v>
      </c>
      <c r="H1260" s="874">
        <v>7447522.5199999996</v>
      </c>
      <c r="I1260" s="871"/>
      <c r="J1260" s="863" t="s">
        <v>4994</v>
      </c>
      <c r="K1260" s="868">
        <f t="shared" si="98"/>
        <v>316</v>
      </c>
      <c r="L1260" s="863" t="s">
        <v>6622</v>
      </c>
      <c r="M1260" s="671">
        <f t="shared" si="99"/>
        <v>1258</v>
      </c>
      <c r="N1260" s="671" t="str">
        <f t="shared" si="100"/>
        <v>N/A</v>
      </c>
      <c r="O1260" s="671" t="str">
        <f t="shared" si="101"/>
        <v>N/A</v>
      </c>
      <c r="P1260" s="861" t="s">
        <v>994</v>
      </c>
      <c r="Q1260" s="861" t="s">
        <v>791</v>
      </c>
      <c r="R1260" s="863" t="s">
        <v>6623</v>
      </c>
      <c r="S1260" s="861" t="s">
        <v>6624</v>
      </c>
      <c r="T1260" s="866" t="s">
        <v>6625</v>
      </c>
      <c r="U1260" s="865"/>
    </row>
    <row r="1261" spans="1:21" ht="15">
      <c r="A1261" s="857"/>
      <c r="B1261" s="861" t="s">
        <v>6626</v>
      </c>
      <c r="C1261" s="861" t="s">
        <v>6627</v>
      </c>
      <c r="D1261" s="861" t="s">
        <v>371</v>
      </c>
      <c r="E1261" s="861"/>
      <c r="F1261" s="862"/>
      <c r="G1261" s="870" t="s">
        <v>6628</v>
      </c>
      <c r="H1261" s="874">
        <v>7444067.1799999997</v>
      </c>
      <c r="I1261" s="871">
        <v>46.39</v>
      </c>
      <c r="J1261" s="863" t="s">
        <v>6629</v>
      </c>
      <c r="K1261" s="868">
        <f t="shared" si="98"/>
        <v>316</v>
      </c>
      <c r="L1261" s="861"/>
      <c r="M1261" s="671">
        <f t="shared" si="99"/>
        <v>1259</v>
      </c>
      <c r="N1261" s="671">
        <f t="shared" si="100"/>
        <v>91</v>
      </c>
      <c r="O1261" s="671" t="str">
        <f t="shared" si="101"/>
        <v>N/A</v>
      </c>
      <c r="P1261" s="861" t="s">
        <v>1386</v>
      </c>
      <c r="Q1261" s="861" t="s">
        <v>820</v>
      </c>
      <c r="R1261" s="863" t="s">
        <v>1017</v>
      </c>
      <c r="S1261" s="861" t="s">
        <v>392</v>
      </c>
      <c r="T1261" s="866" t="s">
        <v>6630</v>
      </c>
      <c r="U1261" s="865"/>
    </row>
    <row r="1262" spans="1:21" ht="15">
      <c r="A1262" s="672"/>
      <c r="B1262" s="861" t="s">
        <v>6631</v>
      </c>
      <c r="C1262" s="861" t="s">
        <v>6632</v>
      </c>
      <c r="D1262" s="861" t="s">
        <v>371</v>
      </c>
      <c r="E1262" s="861"/>
      <c r="F1262" s="862"/>
      <c r="G1262" s="870" t="s">
        <v>6633</v>
      </c>
      <c r="H1262" s="874">
        <v>7421055.29</v>
      </c>
      <c r="I1262" s="871"/>
      <c r="J1262" s="863" t="s">
        <v>6634</v>
      </c>
      <c r="K1262" s="868">
        <f t="shared" si="98"/>
        <v>316</v>
      </c>
      <c r="L1262" s="861"/>
      <c r="M1262" s="671">
        <f t="shared" si="99"/>
        <v>1260</v>
      </c>
      <c r="N1262" s="671" t="str">
        <f t="shared" si="100"/>
        <v>N/A</v>
      </c>
      <c r="O1262" s="671" t="str">
        <f t="shared" si="101"/>
        <v>N/A</v>
      </c>
      <c r="P1262" s="861" t="s">
        <v>6635</v>
      </c>
      <c r="Q1262" s="861" t="s">
        <v>5342</v>
      </c>
      <c r="R1262" s="861"/>
      <c r="S1262" s="861" t="s">
        <v>6636</v>
      </c>
      <c r="T1262" s="866" t="s">
        <v>6637</v>
      </c>
      <c r="U1262" s="865"/>
    </row>
    <row r="1263" spans="1:21" ht="15">
      <c r="A1263" s="857"/>
      <c r="B1263" s="861" t="s">
        <v>6638</v>
      </c>
      <c r="C1263" s="861" t="s">
        <v>6639</v>
      </c>
      <c r="D1263" s="861" t="s">
        <v>371</v>
      </c>
      <c r="E1263" s="861"/>
      <c r="F1263" s="862"/>
      <c r="G1263" s="870" t="s">
        <v>6640</v>
      </c>
      <c r="H1263" s="874">
        <v>7404123.7699999996</v>
      </c>
      <c r="I1263" s="871"/>
      <c r="J1263" s="863" t="s">
        <v>6641</v>
      </c>
      <c r="K1263" s="868">
        <f t="shared" si="98"/>
        <v>316</v>
      </c>
      <c r="L1263" s="861"/>
      <c r="M1263" s="671">
        <f t="shared" si="99"/>
        <v>1261</v>
      </c>
      <c r="N1263" s="671" t="str">
        <f t="shared" si="100"/>
        <v>N/A</v>
      </c>
      <c r="O1263" s="671" t="str">
        <f t="shared" si="101"/>
        <v>N/A</v>
      </c>
      <c r="P1263" s="861" t="s">
        <v>1665</v>
      </c>
      <c r="Q1263" s="861"/>
      <c r="R1263" s="861"/>
      <c r="S1263" s="861" t="s">
        <v>611</v>
      </c>
      <c r="T1263" s="866" t="s">
        <v>6642</v>
      </c>
      <c r="U1263" s="865"/>
    </row>
    <row r="1264" spans="1:21" ht="15">
      <c r="A1264" s="672"/>
      <c r="B1264" s="861" t="s">
        <v>6643</v>
      </c>
      <c r="C1264" s="861" t="s">
        <v>6644</v>
      </c>
      <c r="D1264" s="861" t="s">
        <v>371</v>
      </c>
      <c r="E1264" s="861"/>
      <c r="F1264" s="862"/>
      <c r="G1264" s="869">
        <v>0</v>
      </c>
      <c r="H1264" s="874">
        <v>7390642.1600000001</v>
      </c>
      <c r="I1264" s="871"/>
      <c r="J1264" s="862">
        <v>1.0999999999999999E-2</v>
      </c>
      <c r="K1264" s="868">
        <f t="shared" si="98"/>
        <v>316</v>
      </c>
      <c r="L1264" s="861"/>
      <c r="M1264" s="671">
        <f t="shared" si="99"/>
        <v>1262</v>
      </c>
      <c r="N1264" s="671" t="str">
        <f t="shared" si="100"/>
        <v>N/A</v>
      </c>
      <c r="O1264" s="671">
        <f t="shared" si="101"/>
        <v>681</v>
      </c>
      <c r="P1264" s="861"/>
      <c r="Q1264" s="861"/>
      <c r="R1264" s="861"/>
      <c r="S1264" s="861" t="s">
        <v>994</v>
      </c>
      <c r="T1264" s="866" t="s">
        <v>6645</v>
      </c>
      <c r="U1264" s="865"/>
    </row>
    <row r="1265" spans="1:21" ht="15">
      <c r="A1265" s="857"/>
      <c r="B1265" s="861" t="s">
        <v>6646</v>
      </c>
      <c r="C1265" s="861" t="s">
        <v>6647</v>
      </c>
      <c r="D1265" s="861" t="s">
        <v>371</v>
      </c>
      <c r="E1265" s="861"/>
      <c r="F1265" s="862"/>
      <c r="G1265" s="870" t="s">
        <v>6648</v>
      </c>
      <c r="H1265" s="874">
        <v>7375706.46</v>
      </c>
      <c r="I1265" s="871"/>
      <c r="J1265" s="863"/>
      <c r="K1265" s="868">
        <f t="shared" si="98"/>
        <v>316</v>
      </c>
      <c r="L1265" s="863" t="s">
        <v>3107</v>
      </c>
      <c r="M1265" s="671">
        <f t="shared" si="99"/>
        <v>1263</v>
      </c>
      <c r="N1265" s="671" t="str">
        <f t="shared" si="100"/>
        <v>N/A</v>
      </c>
      <c r="O1265" s="671">
        <f t="shared" si="101"/>
        <v>708</v>
      </c>
      <c r="P1265" s="861" t="s">
        <v>2376</v>
      </c>
      <c r="Q1265" s="861"/>
      <c r="R1265" s="863" t="s">
        <v>4163</v>
      </c>
      <c r="S1265" s="861" t="s">
        <v>1089</v>
      </c>
      <c r="T1265" s="866" t="s">
        <v>6649</v>
      </c>
      <c r="U1265" s="865"/>
    </row>
    <row r="1266" spans="1:21" ht="15">
      <c r="A1266" s="672"/>
      <c r="B1266" s="861" t="s">
        <v>6650</v>
      </c>
      <c r="C1266" s="861" t="s">
        <v>6651</v>
      </c>
      <c r="D1266" s="861" t="s">
        <v>371</v>
      </c>
      <c r="E1266" s="861"/>
      <c r="F1266" s="862"/>
      <c r="G1266" s="870" t="s">
        <v>6652</v>
      </c>
      <c r="H1266" s="874">
        <v>7281741.4000000004</v>
      </c>
      <c r="I1266" s="871"/>
      <c r="J1266" s="862">
        <v>8.4000000000000005E-2</v>
      </c>
      <c r="K1266" s="868">
        <f t="shared" si="98"/>
        <v>316</v>
      </c>
      <c r="L1266" s="861" t="s">
        <v>1469</v>
      </c>
      <c r="M1266" s="671">
        <f t="shared" si="99"/>
        <v>1264</v>
      </c>
      <c r="N1266" s="671" t="str">
        <f t="shared" si="100"/>
        <v>N/A</v>
      </c>
      <c r="O1266" s="671">
        <f t="shared" si="101"/>
        <v>534</v>
      </c>
      <c r="P1266" s="861" t="s">
        <v>5034</v>
      </c>
      <c r="Q1266" s="861"/>
      <c r="R1266" s="863" t="s">
        <v>6653</v>
      </c>
      <c r="S1266" s="861" t="s">
        <v>6654</v>
      </c>
      <c r="T1266" s="866" t="s">
        <v>6655</v>
      </c>
      <c r="U1266" s="865"/>
    </row>
    <row r="1267" spans="1:21" ht="15">
      <c r="A1267" s="857"/>
      <c r="B1267" s="861" t="s">
        <v>6656</v>
      </c>
      <c r="C1267" s="861" t="s">
        <v>6657</v>
      </c>
      <c r="D1267" s="861" t="s">
        <v>371</v>
      </c>
      <c r="E1267" s="861"/>
      <c r="F1267" s="862"/>
      <c r="G1267" s="869">
        <v>0</v>
      </c>
      <c r="H1267" s="874">
        <v>7146355.6600000001</v>
      </c>
      <c r="I1267" s="871"/>
      <c r="J1267" s="862">
        <v>0.158</v>
      </c>
      <c r="K1267" s="868">
        <f t="shared" si="98"/>
        <v>316</v>
      </c>
      <c r="L1267" s="861"/>
      <c r="M1267" s="671">
        <f t="shared" si="99"/>
        <v>1265</v>
      </c>
      <c r="N1267" s="671" t="str">
        <f t="shared" si="100"/>
        <v>N/A</v>
      </c>
      <c r="O1267" s="671">
        <f t="shared" si="101"/>
        <v>321</v>
      </c>
      <c r="P1267" s="861" t="s">
        <v>3656</v>
      </c>
      <c r="Q1267" s="861" t="s">
        <v>4304</v>
      </c>
      <c r="R1267" s="861"/>
      <c r="S1267" s="861" t="s">
        <v>791</v>
      </c>
      <c r="T1267" s="866" t="s">
        <v>6658</v>
      </c>
      <c r="U1267" s="865"/>
    </row>
    <row r="1268" spans="1:21" ht="15">
      <c r="A1268" s="672"/>
      <c r="B1268" s="861" t="s">
        <v>6659</v>
      </c>
      <c r="C1268" s="861" t="s">
        <v>6660</v>
      </c>
      <c r="D1268" s="861" t="s">
        <v>371</v>
      </c>
      <c r="E1268" s="861"/>
      <c r="F1268" s="862"/>
      <c r="G1268" s="869">
        <v>5.0551420839999999</v>
      </c>
      <c r="H1268" s="874">
        <v>7066786.1100000003</v>
      </c>
      <c r="I1268" s="871"/>
      <c r="J1268" s="863"/>
      <c r="K1268" s="868">
        <f t="shared" si="98"/>
        <v>316</v>
      </c>
      <c r="L1268" s="861"/>
      <c r="M1268" s="671">
        <f t="shared" si="99"/>
        <v>1266</v>
      </c>
      <c r="N1268" s="671" t="str">
        <f t="shared" si="100"/>
        <v>N/A</v>
      </c>
      <c r="O1268" s="671">
        <f t="shared" si="101"/>
        <v>708</v>
      </c>
      <c r="P1268" s="861" t="s">
        <v>6661</v>
      </c>
      <c r="Q1268" s="861"/>
      <c r="R1268" s="861"/>
      <c r="S1268" s="861" t="s">
        <v>557</v>
      </c>
      <c r="T1268" s="866" t="s">
        <v>6662</v>
      </c>
      <c r="U1268" s="865"/>
    </row>
    <row r="1269" spans="1:21" ht="15">
      <c r="A1269" s="857"/>
      <c r="B1269" s="861" t="s">
        <v>6663</v>
      </c>
      <c r="C1269" s="861" t="s">
        <v>6664</v>
      </c>
      <c r="D1269" s="861" t="s">
        <v>371</v>
      </c>
      <c r="E1269" s="861"/>
      <c r="F1269" s="862"/>
      <c r="G1269" s="869" t="e">
        <v>#DIV/0!</v>
      </c>
      <c r="H1269" s="874">
        <v>7008696.4500000002</v>
      </c>
      <c r="I1269" s="871"/>
      <c r="J1269" s="863" t="s">
        <v>6665</v>
      </c>
      <c r="K1269" s="868">
        <f t="shared" si="98"/>
        <v>316</v>
      </c>
      <c r="L1269" s="861"/>
      <c r="M1269" s="671">
        <f t="shared" si="99"/>
        <v>1267</v>
      </c>
      <c r="N1269" s="671" t="str">
        <f t="shared" si="100"/>
        <v>N/A</v>
      </c>
      <c r="O1269" s="671" t="str">
        <f t="shared" si="101"/>
        <v>N/A</v>
      </c>
      <c r="P1269" s="861" t="s">
        <v>6475</v>
      </c>
      <c r="Q1269" s="861"/>
      <c r="R1269" s="861"/>
      <c r="S1269" s="861" t="s">
        <v>833</v>
      </c>
      <c r="T1269" s="866" t="s">
        <v>6666</v>
      </c>
      <c r="U1269" s="865"/>
    </row>
    <row r="1270" spans="1:21" ht="15">
      <c r="A1270" s="672"/>
      <c r="B1270" s="861" t="s">
        <v>6667</v>
      </c>
      <c r="C1270" s="861" t="s">
        <v>6668</v>
      </c>
      <c r="D1270" s="861" t="s">
        <v>371</v>
      </c>
      <c r="E1270" s="861"/>
      <c r="F1270" s="862"/>
      <c r="G1270" s="870" t="s">
        <v>6669</v>
      </c>
      <c r="H1270" s="874">
        <v>6988643.7800000003</v>
      </c>
      <c r="I1270" s="871"/>
      <c r="J1270" s="861"/>
      <c r="K1270" s="868">
        <f t="shared" si="98"/>
        <v>316</v>
      </c>
      <c r="L1270" s="861"/>
      <c r="M1270" s="671">
        <f t="shared" si="99"/>
        <v>1268</v>
      </c>
      <c r="N1270" s="671" t="str">
        <f t="shared" si="100"/>
        <v>N/A</v>
      </c>
      <c r="O1270" s="671">
        <f t="shared" si="101"/>
        <v>708</v>
      </c>
      <c r="P1270" s="861" t="s">
        <v>3535</v>
      </c>
      <c r="Q1270" s="861" t="s">
        <v>6670</v>
      </c>
      <c r="R1270" s="861"/>
      <c r="S1270" s="861" t="s">
        <v>6671</v>
      </c>
      <c r="T1270" s="866" t="s">
        <v>6672</v>
      </c>
      <c r="U1270" s="865"/>
    </row>
    <row r="1271" spans="1:21" ht="15">
      <c r="A1271" s="857"/>
      <c r="B1271" s="861" t="s">
        <v>6673</v>
      </c>
      <c r="C1271" s="861" t="s">
        <v>6674</v>
      </c>
      <c r="D1271" s="861" t="s">
        <v>371</v>
      </c>
      <c r="E1271" s="861"/>
      <c r="F1271" s="862"/>
      <c r="G1271" s="869" t="e">
        <v>#DIV/0!</v>
      </c>
      <c r="H1271" s="874">
        <v>6961847.9699999997</v>
      </c>
      <c r="I1271" s="871"/>
      <c r="J1271" s="863"/>
      <c r="K1271" s="868">
        <f t="shared" si="98"/>
        <v>316</v>
      </c>
      <c r="L1271" s="861" t="s">
        <v>1574</v>
      </c>
      <c r="M1271" s="671">
        <f t="shared" si="99"/>
        <v>1269</v>
      </c>
      <c r="N1271" s="671" t="str">
        <f t="shared" si="100"/>
        <v>N/A</v>
      </c>
      <c r="O1271" s="671">
        <f t="shared" si="101"/>
        <v>708</v>
      </c>
      <c r="P1271" s="861" t="s">
        <v>6675</v>
      </c>
      <c r="Q1271" s="861"/>
      <c r="R1271" s="863" t="s">
        <v>6676</v>
      </c>
      <c r="S1271" s="861" t="s">
        <v>6677</v>
      </c>
      <c r="T1271" s="866" t="s">
        <v>6678</v>
      </c>
      <c r="U1271" s="865"/>
    </row>
    <row r="1272" spans="1:21" ht="15">
      <c r="A1272" s="672"/>
      <c r="B1272" s="861" t="s">
        <v>6679</v>
      </c>
      <c r="C1272" s="861" t="s">
        <v>6680</v>
      </c>
      <c r="D1272" s="861" t="s">
        <v>371</v>
      </c>
      <c r="E1272" s="861"/>
      <c r="F1272" s="862"/>
      <c r="G1272" s="869">
        <v>0</v>
      </c>
      <c r="H1272" s="874">
        <v>6956921.8600000003</v>
      </c>
      <c r="I1272" s="871"/>
      <c r="J1272" s="862">
        <v>0.129</v>
      </c>
      <c r="K1272" s="868">
        <f t="shared" si="98"/>
        <v>316</v>
      </c>
      <c r="L1272" s="861"/>
      <c r="M1272" s="671">
        <f t="shared" si="99"/>
        <v>1270</v>
      </c>
      <c r="N1272" s="671" t="str">
        <f t="shared" si="100"/>
        <v>N/A</v>
      </c>
      <c r="O1272" s="671">
        <f t="shared" si="101"/>
        <v>402</v>
      </c>
      <c r="P1272" s="861" t="s">
        <v>6681</v>
      </c>
      <c r="Q1272" s="861" t="s">
        <v>6682</v>
      </c>
      <c r="R1272" s="861"/>
      <c r="S1272" s="861" t="s">
        <v>4533</v>
      </c>
      <c r="T1272" s="866" t="s">
        <v>6683</v>
      </c>
      <c r="U1272" s="865"/>
    </row>
    <row r="1273" spans="1:21" ht="15">
      <c r="A1273" s="857"/>
      <c r="B1273" s="861" t="s">
        <v>6684</v>
      </c>
      <c r="C1273" s="861" t="s">
        <v>6685</v>
      </c>
      <c r="D1273" s="861" t="s">
        <v>371</v>
      </c>
      <c r="E1273" s="861"/>
      <c r="F1273" s="862"/>
      <c r="G1273" s="870" t="s">
        <v>6686</v>
      </c>
      <c r="H1273" s="874">
        <v>6895335.71</v>
      </c>
      <c r="I1273" s="871"/>
      <c r="J1273" s="863" t="s">
        <v>6687</v>
      </c>
      <c r="K1273" s="868">
        <f t="shared" si="98"/>
        <v>316</v>
      </c>
      <c r="L1273" s="861"/>
      <c r="M1273" s="671">
        <f t="shared" si="99"/>
        <v>1271</v>
      </c>
      <c r="N1273" s="671" t="str">
        <f t="shared" si="100"/>
        <v>N/A</v>
      </c>
      <c r="O1273" s="671" t="str">
        <f t="shared" si="101"/>
        <v>N/A</v>
      </c>
      <c r="P1273" s="861" t="s">
        <v>3239</v>
      </c>
      <c r="Q1273" s="861"/>
      <c r="R1273" s="861"/>
      <c r="S1273" s="861" t="s">
        <v>424</v>
      </c>
      <c r="T1273" s="866" t="s">
        <v>6688</v>
      </c>
      <c r="U1273" s="865"/>
    </row>
    <row r="1274" spans="1:21" ht="15">
      <c r="A1274" s="672"/>
      <c r="B1274" s="861" t="s">
        <v>6689</v>
      </c>
      <c r="C1274" s="861" t="s">
        <v>6690</v>
      </c>
      <c r="D1274" s="861" t="s">
        <v>371</v>
      </c>
      <c r="E1274" s="861"/>
      <c r="F1274" s="862"/>
      <c r="G1274" s="870" t="s">
        <v>6691</v>
      </c>
      <c r="H1274" s="874">
        <v>6853182.1200000001</v>
      </c>
      <c r="I1274" s="871"/>
      <c r="J1274" s="863" t="s">
        <v>6692</v>
      </c>
      <c r="K1274" s="868">
        <f t="shared" si="98"/>
        <v>316</v>
      </c>
      <c r="L1274" s="861"/>
      <c r="M1274" s="671">
        <f t="shared" si="99"/>
        <v>1272</v>
      </c>
      <c r="N1274" s="671" t="str">
        <f t="shared" si="100"/>
        <v>N/A</v>
      </c>
      <c r="O1274" s="671" t="str">
        <f t="shared" si="101"/>
        <v>N/A</v>
      </c>
      <c r="P1274" s="861" t="s">
        <v>4137</v>
      </c>
      <c r="Q1274" s="861" t="s">
        <v>6693</v>
      </c>
      <c r="R1274" s="861"/>
      <c r="S1274" s="861" t="s">
        <v>6694</v>
      </c>
      <c r="T1274" s="866" t="s">
        <v>6695</v>
      </c>
      <c r="U1274" s="865"/>
    </row>
    <row r="1275" spans="1:21" ht="15">
      <c r="A1275" s="857"/>
      <c r="B1275" s="861" t="s">
        <v>6696</v>
      </c>
      <c r="C1275" s="861" t="s">
        <v>6697</v>
      </c>
      <c r="D1275" s="861" t="s">
        <v>371</v>
      </c>
      <c r="E1275" s="861"/>
      <c r="F1275" s="862"/>
      <c r="G1275" s="870" t="s">
        <v>6698</v>
      </c>
      <c r="H1275" s="874">
        <v>6832273.0899999999</v>
      </c>
      <c r="I1275" s="871"/>
      <c r="J1275" s="863" t="s">
        <v>6699</v>
      </c>
      <c r="K1275" s="868">
        <f t="shared" si="98"/>
        <v>316</v>
      </c>
      <c r="L1275" s="861"/>
      <c r="M1275" s="671">
        <f t="shared" si="99"/>
        <v>1273</v>
      </c>
      <c r="N1275" s="671" t="str">
        <f t="shared" si="100"/>
        <v>N/A</v>
      </c>
      <c r="O1275" s="671" t="str">
        <f t="shared" si="101"/>
        <v>N/A</v>
      </c>
      <c r="P1275" s="861"/>
      <c r="Q1275" s="861"/>
      <c r="R1275" s="861"/>
      <c r="S1275" s="861" t="s">
        <v>467</v>
      </c>
      <c r="T1275" s="866" t="s">
        <v>6700</v>
      </c>
      <c r="U1275" s="865"/>
    </row>
    <row r="1276" spans="1:21" ht="15">
      <c r="A1276" s="672"/>
      <c r="B1276" s="861" t="s">
        <v>6701</v>
      </c>
      <c r="C1276" s="861" t="s">
        <v>6702</v>
      </c>
      <c r="D1276" s="861" t="s">
        <v>371</v>
      </c>
      <c r="E1276" s="861"/>
      <c r="F1276" s="862">
        <v>-1.5449999999999999</v>
      </c>
      <c r="G1276" s="870" t="s">
        <v>6703</v>
      </c>
      <c r="H1276" s="874">
        <v>6822241.4699999997</v>
      </c>
      <c r="I1276" s="871"/>
      <c r="J1276" s="863" t="s">
        <v>926</v>
      </c>
      <c r="K1276" s="868">
        <f t="shared" si="98"/>
        <v>495</v>
      </c>
      <c r="L1276" s="861"/>
      <c r="M1276" s="671">
        <f t="shared" si="99"/>
        <v>1274</v>
      </c>
      <c r="N1276" s="671" t="str">
        <f t="shared" si="100"/>
        <v>N/A</v>
      </c>
      <c r="O1276" s="671" t="str">
        <f t="shared" si="101"/>
        <v>N/A</v>
      </c>
      <c r="P1276" s="861" t="s">
        <v>6704</v>
      </c>
      <c r="Q1276" s="861" t="s">
        <v>6705</v>
      </c>
      <c r="R1276" s="861"/>
      <c r="S1276" s="861" t="s">
        <v>3047</v>
      </c>
      <c r="T1276" s="866" t="s">
        <v>6706</v>
      </c>
      <c r="U1276" s="865"/>
    </row>
    <row r="1277" spans="1:21" ht="15">
      <c r="A1277" s="857"/>
      <c r="B1277" s="861" t="s">
        <v>6707</v>
      </c>
      <c r="C1277" s="861" t="s">
        <v>6708</v>
      </c>
      <c r="D1277" s="861" t="s">
        <v>371</v>
      </c>
      <c r="E1277" s="861"/>
      <c r="F1277" s="862"/>
      <c r="G1277" s="869">
        <v>0</v>
      </c>
      <c r="H1277" s="874">
        <v>6820572.0099999998</v>
      </c>
      <c r="I1277" s="871"/>
      <c r="J1277" s="863" t="s">
        <v>1496</v>
      </c>
      <c r="K1277" s="868">
        <f t="shared" si="98"/>
        <v>316</v>
      </c>
      <c r="L1277" s="861" t="s">
        <v>526</v>
      </c>
      <c r="M1277" s="671">
        <f t="shared" si="99"/>
        <v>1275</v>
      </c>
      <c r="N1277" s="671" t="str">
        <f t="shared" si="100"/>
        <v>N/A</v>
      </c>
      <c r="O1277" s="671" t="str">
        <f t="shared" si="101"/>
        <v>N/A</v>
      </c>
      <c r="P1277" s="861" t="s">
        <v>2785</v>
      </c>
      <c r="Q1277" s="861"/>
      <c r="R1277" s="861" t="s">
        <v>718</v>
      </c>
      <c r="S1277" s="861" t="s">
        <v>6709</v>
      </c>
      <c r="T1277" s="866" t="s">
        <v>6710</v>
      </c>
      <c r="U1277" s="865"/>
    </row>
    <row r="1278" spans="1:21" ht="15">
      <c r="A1278" s="672"/>
      <c r="B1278" s="861" t="s">
        <v>6711</v>
      </c>
      <c r="C1278" s="861" t="s">
        <v>6712</v>
      </c>
      <c r="D1278" s="861" t="s">
        <v>371</v>
      </c>
      <c r="E1278" s="861"/>
      <c r="F1278" s="862"/>
      <c r="G1278" s="869">
        <v>0</v>
      </c>
      <c r="H1278" s="874">
        <v>6803410.7699999996</v>
      </c>
      <c r="I1278" s="871"/>
      <c r="J1278" s="861"/>
      <c r="K1278" s="868">
        <f t="shared" si="98"/>
        <v>316</v>
      </c>
      <c r="L1278" s="861"/>
      <c r="M1278" s="671">
        <f t="shared" si="99"/>
        <v>1276</v>
      </c>
      <c r="N1278" s="671" t="str">
        <f t="shared" si="100"/>
        <v>N/A</v>
      </c>
      <c r="O1278" s="671">
        <f t="shared" si="101"/>
        <v>708</v>
      </c>
      <c r="P1278" s="861"/>
      <c r="Q1278" s="861"/>
      <c r="R1278" s="861"/>
      <c r="S1278" s="861"/>
      <c r="T1278" s="866"/>
      <c r="U1278" s="865"/>
    </row>
    <row r="1279" spans="1:21" ht="15">
      <c r="A1279" s="857"/>
      <c r="B1279" s="861" t="s">
        <v>6713</v>
      </c>
      <c r="C1279" s="861" t="s">
        <v>6714</v>
      </c>
      <c r="D1279" s="861" t="s">
        <v>371</v>
      </c>
      <c r="E1279" s="861"/>
      <c r="F1279" s="862"/>
      <c r="G1279" s="869" t="e">
        <v>#DIV/0!</v>
      </c>
      <c r="H1279" s="874">
        <v>6765227.2199999997</v>
      </c>
      <c r="I1279" s="871"/>
      <c r="J1279" s="863" t="s">
        <v>903</v>
      </c>
      <c r="K1279" s="868">
        <f t="shared" si="98"/>
        <v>316</v>
      </c>
      <c r="L1279" s="861" t="s">
        <v>404</v>
      </c>
      <c r="M1279" s="671">
        <f t="shared" si="99"/>
        <v>1277</v>
      </c>
      <c r="N1279" s="671" t="str">
        <f t="shared" si="100"/>
        <v>N/A</v>
      </c>
      <c r="O1279" s="671" t="str">
        <f t="shared" si="101"/>
        <v>N/A</v>
      </c>
      <c r="P1279" s="861" t="s">
        <v>2497</v>
      </c>
      <c r="Q1279" s="861" t="s">
        <v>6715</v>
      </c>
      <c r="R1279" s="863" t="s">
        <v>6093</v>
      </c>
      <c r="S1279" s="861" t="s">
        <v>1789</v>
      </c>
      <c r="T1279" s="866" t="s">
        <v>6716</v>
      </c>
      <c r="U1279" s="865"/>
    </row>
    <row r="1280" spans="1:21" ht="15">
      <c r="A1280" s="672"/>
      <c r="B1280" s="861" t="s">
        <v>6717</v>
      </c>
      <c r="C1280" s="861" t="s">
        <v>6718</v>
      </c>
      <c r="D1280" s="861" t="s">
        <v>371</v>
      </c>
      <c r="E1280" s="861"/>
      <c r="F1280" s="862"/>
      <c r="G1280" s="870" t="s">
        <v>6719</v>
      </c>
      <c r="H1280" s="874">
        <v>6739904.3499999996</v>
      </c>
      <c r="I1280" s="871"/>
      <c r="J1280" s="861"/>
      <c r="K1280" s="868">
        <f t="shared" si="98"/>
        <v>316</v>
      </c>
      <c r="L1280" s="861"/>
      <c r="M1280" s="671">
        <f t="shared" si="99"/>
        <v>1278</v>
      </c>
      <c r="N1280" s="671" t="str">
        <f t="shared" si="100"/>
        <v>N/A</v>
      </c>
      <c r="O1280" s="671">
        <f t="shared" si="101"/>
        <v>708</v>
      </c>
      <c r="P1280" s="861" t="s">
        <v>6720</v>
      </c>
      <c r="Q1280" s="861" t="s">
        <v>2423</v>
      </c>
      <c r="R1280" s="861"/>
      <c r="S1280" s="861" t="s">
        <v>2971</v>
      </c>
      <c r="T1280" s="866" t="s">
        <v>6721</v>
      </c>
      <c r="U1280" s="865"/>
    </row>
    <row r="1281" spans="1:21" ht="15">
      <c r="A1281" s="857"/>
      <c r="B1281" s="861" t="s">
        <v>6722</v>
      </c>
      <c r="C1281" s="861" t="s">
        <v>6723</v>
      </c>
      <c r="D1281" s="861" t="s">
        <v>371</v>
      </c>
      <c r="E1281" s="861"/>
      <c r="F1281" s="862"/>
      <c r="G1281" s="870" t="s">
        <v>6724</v>
      </c>
      <c r="H1281" s="874">
        <v>6730376.3600000003</v>
      </c>
      <c r="I1281" s="871"/>
      <c r="J1281" s="862">
        <v>0.317</v>
      </c>
      <c r="K1281" s="868">
        <f t="shared" si="98"/>
        <v>316</v>
      </c>
      <c r="L1281" s="861"/>
      <c r="M1281" s="671">
        <f t="shared" si="99"/>
        <v>1279</v>
      </c>
      <c r="N1281" s="671" t="str">
        <f t="shared" si="100"/>
        <v>N/A</v>
      </c>
      <c r="O1281" s="671">
        <f t="shared" si="101"/>
        <v>105</v>
      </c>
      <c r="P1281" s="861" t="s">
        <v>690</v>
      </c>
      <c r="Q1281" s="861"/>
      <c r="R1281" s="861"/>
      <c r="S1281" s="861" t="s">
        <v>2515</v>
      </c>
      <c r="T1281" s="866" t="s">
        <v>6725</v>
      </c>
      <c r="U1281" s="865"/>
    </row>
    <row r="1282" spans="1:21" ht="15">
      <c r="A1282" s="672"/>
      <c r="B1282" s="861" t="s">
        <v>6726</v>
      </c>
      <c r="C1282" s="861" t="s">
        <v>6727</v>
      </c>
      <c r="D1282" s="861" t="s">
        <v>371</v>
      </c>
      <c r="E1282" s="861"/>
      <c r="F1282" s="862"/>
      <c r="G1282" s="869">
        <v>0</v>
      </c>
      <c r="H1282" s="874">
        <v>6715159.2000000002</v>
      </c>
      <c r="I1282" s="871"/>
      <c r="J1282" s="863" t="s">
        <v>6728</v>
      </c>
      <c r="K1282" s="868">
        <f t="shared" si="98"/>
        <v>316</v>
      </c>
      <c r="L1282" s="863" t="s">
        <v>1032</v>
      </c>
      <c r="M1282" s="671">
        <f t="shared" si="99"/>
        <v>1280</v>
      </c>
      <c r="N1282" s="671" t="str">
        <f t="shared" si="100"/>
        <v>N/A</v>
      </c>
      <c r="O1282" s="671" t="str">
        <f t="shared" si="101"/>
        <v>N/A</v>
      </c>
      <c r="P1282" s="861" t="s">
        <v>1552</v>
      </c>
      <c r="Q1282" s="861"/>
      <c r="R1282" s="863" t="s">
        <v>6552</v>
      </c>
      <c r="S1282" s="861" t="s">
        <v>708</v>
      </c>
      <c r="T1282" s="866" t="s">
        <v>6729</v>
      </c>
      <c r="U1282" s="865"/>
    </row>
    <row r="1283" spans="1:21" ht="15">
      <c r="A1283" s="857"/>
      <c r="B1283" s="861" t="s">
        <v>6730</v>
      </c>
      <c r="C1283" s="861" t="s">
        <v>6731</v>
      </c>
      <c r="D1283" s="861" t="s">
        <v>371</v>
      </c>
      <c r="E1283" s="861"/>
      <c r="F1283" s="862"/>
      <c r="G1283" s="870" t="s">
        <v>6732</v>
      </c>
      <c r="H1283" s="874">
        <v>6667999.0300000003</v>
      </c>
      <c r="I1283" s="871"/>
      <c r="J1283" s="863" t="s">
        <v>6733</v>
      </c>
      <c r="K1283" s="868">
        <f t="shared" si="98"/>
        <v>316</v>
      </c>
      <c r="L1283" s="861" t="s">
        <v>563</v>
      </c>
      <c r="M1283" s="671">
        <f t="shared" si="99"/>
        <v>1281</v>
      </c>
      <c r="N1283" s="671" t="str">
        <f t="shared" si="100"/>
        <v>N/A</v>
      </c>
      <c r="O1283" s="671" t="str">
        <f t="shared" si="101"/>
        <v>N/A</v>
      </c>
      <c r="P1283" s="861" t="s">
        <v>5261</v>
      </c>
      <c r="Q1283" s="861"/>
      <c r="R1283" s="861" t="s">
        <v>424</v>
      </c>
      <c r="S1283" s="861" t="s">
        <v>4248</v>
      </c>
      <c r="T1283" s="866" t="s">
        <v>6734</v>
      </c>
      <c r="U1283" s="865"/>
    </row>
    <row r="1284" spans="1:21" ht="15">
      <c r="A1284" s="672"/>
      <c r="B1284" s="861" t="s">
        <v>6735</v>
      </c>
      <c r="C1284" s="861" t="s">
        <v>6736</v>
      </c>
      <c r="D1284" s="861" t="s">
        <v>371</v>
      </c>
      <c r="E1284" s="861"/>
      <c r="F1284" s="862"/>
      <c r="G1284" s="870" t="s">
        <v>6737</v>
      </c>
      <c r="H1284" s="874">
        <v>6584813.5300000003</v>
      </c>
      <c r="I1284" s="871"/>
      <c r="J1284" s="863" t="s">
        <v>1191</v>
      </c>
      <c r="K1284" s="868">
        <f t="shared" ref="K1284:K1347" si="102">IFERROR(_xlfn.RANK.EQ(F1284,F$3:F$1770),"N/A")</f>
        <v>316</v>
      </c>
      <c r="L1284" s="861" t="s">
        <v>718</v>
      </c>
      <c r="M1284" s="671">
        <f t="shared" ref="M1284:M1347" si="103">IFERROR(_xlfn.RANK.EQ(H1284,H$3:H$1770),"N/A")</f>
        <v>1282</v>
      </c>
      <c r="N1284" s="671" t="str">
        <f t="shared" ref="N1284:N1347" si="104">IFERROR(_xlfn.RANK.EQ(I1284,I$3:I$1770),"N/A")</f>
        <v>N/A</v>
      </c>
      <c r="O1284" s="671" t="str">
        <f t="shared" ref="O1284:O1347" si="105">IFERROR(_xlfn.RANK.EQ(J1284,J$3:J$1770),"N/A")</f>
        <v>N/A</v>
      </c>
      <c r="P1284" s="861" t="s">
        <v>5294</v>
      </c>
      <c r="Q1284" s="861" t="s">
        <v>6738</v>
      </c>
      <c r="R1284" s="861"/>
      <c r="S1284" s="861" t="s">
        <v>6739</v>
      </c>
      <c r="T1284" s="866" t="s">
        <v>6740</v>
      </c>
      <c r="U1284" s="865"/>
    </row>
    <row r="1285" spans="1:21" ht="15">
      <c r="A1285" s="857"/>
      <c r="B1285" s="861" t="s">
        <v>6741</v>
      </c>
      <c r="C1285" s="861" t="s">
        <v>6742</v>
      </c>
      <c r="D1285" s="861" t="s">
        <v>371</v>
      </c>
      <c r="E1285" s="861"/>
      <c r="F1285" s="862"/>
      <c r="G1285" s="869">
        <v>0</v>
      </c>
      <c r="H1285" s="874">
        <v>6525311.8300000001</v>
      </c>
      <c r="I1285" s="871"/>
      <c r="J1285" s="861" t="s">
        <v>3441</v>
      </c>
      <c r="K1285" s="868">
        <f t="shared" si="102"/>
        <v>316</v>
      </c>
      <c r="L1285" s="861"/>
      <c r="M1285" s="671">
        <f t="shared" si="103"/>
        <v>1283</v>
      </c>
      <c r="N1285" s="671" t="str">
        <f t="shared" si="104"/>
        <v>N/A</v>
      </c>
      <c r="O1285" s="671" t="str">
        <f t="shared" si="105"/>
        <v>N/A</v>
      </c>
      <c r="P1285" s="861" t="s">
        <v>5046</v>
      </c>
      <c r="Q1285" s="861"/>
      <c r="R1285" s="861"/>
      <c r="S1285" s="861" t="s">
        <v>1816</v>
      </c>
      <c r="T1285" s="866" t="s">
        <v>6743</v>
      </c>
      <c r="U1285" s="865"/>
    </row>
    <row r="1286" spans="1:21" ht="15">
      <c r="A1286" s="672"/>
      <c r="B1286" s="861" t="s">
        <v>6744</v>
      </c>
      <c r="C1286" s="861" t="s">
        <v>6745</v>
      </c>
      <c r="D1286" s="861" t="s">
        <v>371</v>
      </c>
      <c r="E1286" s="861"/>
      <c r="F1286" s="862"/>
      <c r="G1286" s="870" t="s">
        <v>6746</v>
      </c>
      <c r="H1286" s="874">
        <v>6435417.8300000001</v>
      </c>
      <c r="I1286" s="871"/>
      <c r="J1286" s="863"/>
      <c r="K1286" s="868">
        <f t="shared" si="102"/>
        <v>316</v>
      </c>
      <c r="L1286" s="861" t="s">
        <v>424</v>
      </c>
      <c r="M1286" s="671">
        <f t="shared" si="103"/>
        <v>1284</v>
      </c>
      <c r="N1286" s="671" t="str">
        <f t="shared" si="104"/>
        <v>N/A</v>
      </c>
      <c r="O1286" s="671">
        <f t="shared" si="105"/>
        <v>708</v>
      </c>
      <c r="P1286" s="861"/>
      <c r="Q1286" s="861"/>
      <c r="R1286" s="861"/>
      <c r="S1286" s="861" t="s">
        <v>6747</v>
      </c>
      <c r="T1286" s="866" t="s">
        <v>6748</v>
      </c>
      <c r="U1286" s="865"/>
    </row>
    <row r="1287" spans="1:21" ht="15">
      <c r="A1287" s="857"/>
      <c r="B1287" s="861" t="s">
        <v>6749</v>
      </c>
      <c r="C1287" s="861" t="s">
        <v>6750</v>
      </c>
      <c r="D1287" s="861" t="s">
        <v>371</v>
      </c>
      <c r="E1287" s="861"/>
      <c r="F1287" s="862"/>
      <c r="G1287" s="869" t="e">
        <v>#DIV/0!</v>
      </c>
      <c r="H1287" s="874">
        <v>6432801.7999999998</v>
      </c>
      <c r="I1287" s="871"/>
      <c r="J1287" s="863"/>
      <c r="K1287" s="868">
        <f t="shared" si="102"/>
        <v>316</v>
      </c>
      <c r="L1287" s="861"/>
      <c r="M1287" s="671">
        <f t="shared" si="103"/>
        <v>1285</v>
      </c>
      <c r="N1287" s="671" t="str">
        <f t="shared" si="104"/>
        <v>N/A</v>
      </c>
      <c r="O1287" s="671">
        <f t="shared" si="105"/>
        <v>708</v>
      </c>
      <c r="P1287" s="861" t="s">
        <v>6494</v>
      </c>
      <c r="Q1287" s="861"/>
      <c r="R1287" s="861"/>
      <c r="S1287" s="861" t="s">
        <v>1506</v>
      </c>
      <c r="T1287" s="866" t="s">
        <v>6751</v>
      </c>
      <c r="U1287" s="865"/>
    </row>
    <row r="1288" spans="1:21" ht="15">
      <c r="A1288" s="672"/>
      <c r="B1288" s="861" t="s">
        <v>6752</v>
      </c>
      <c r="C1288" s="861" t="s">
        <v>6753</v>
      </c>
      <c r="D1288" s="861" t="s">
        <v>371</v>
      </c>
      <c r="E1288" s="861"/>
      <c r="F1288" s="862"/>
      <c r="G1288" s="870" t="s">
        <v>6754</v>
      </c>
      <c r="H1288" s="874">
        <v>6423664.7599999998</v>
      </c>
      <c r="I1288" s="871"/>
      <c r="J1288" s="863" t="s">
        <v>5228</v>
      </c>
      <c r="K1288" s="868">
        <f t="shared" si="102"/>
        <v>316</v>
      </c>
      <c r="L1288" s="861" t="s">
        <v>1665</v>
      </c>
      <c r="M1288" s="671">
        <f t="shared" si="103"/>
        <v>1286</v>
      </c>
      <c r="N1288" s="671" t="str">
        <f t="shared" si="104"/>
        <v>N/A</v>
      </c>
      <c r="O1288" s="671" t="str">
        <f t="shared" si="105"/>
        <v>N/A</v>
      </c>
      <c r="P1288" s="861" t="s">
        <v>3047</v>
      </c>
      <c r="Q1288" s="861" t="s">
        <v>2631</v>
      </c>
      <c r="R1288" s="861"/>
      <c r="S1288" s="861" t="s">
        <v>1693</v>
      </c>
      <c r="T1288" s="866" t="s">
        <v>6755</v>
      </c>
      <c r="U1288" s="865"/>
    </row>
    <row r="1289" spans="1:21" ht="15">
      <c r="A1289" s="857"/>
      <c r="B1289" s="861" t="s">
        <v>6756</v>
      </c>
      <c r="C1289" s="861" t="s">
        <v>6757</v>
      </c>
      <c r="D1289" s="861" t="s">
        <v>371</v>
      </c>
      <c r="E1289" s="861"/>
      <c r="F1289" s="862"/>
      <c r="G1289" s="870" t="s">
        <v>6758</v>
      </c>
      <c r="H1289" s="874">
        <v>6401280.96</v>
      </c>
      <c r="I1289" s="871"/>
      <c r="J1289" s="862">
        <v>0.46400000000000002</v>
      </c>
      <c r="K1289" s="868">
        <f t="shared" si="102"/>
        <v>316</v>
      </c>
      <c r="L1289" s="861"/>
      <c r="M1289" s="671">
        <f t="shared" si="103"/>
        <v>1287</v>
      </c>
      <c r="N1289" s="671" t="str">
        <f t="shared" si="104"/>
        <v>N/A</v>
      </c>
      <c r="O1289" s="671">
        <f t="shared" si="105"/>
        <v>35</v>
      </c>
      <c r="P1289" s="861" t="s">
        <v>5255</v>
      </c>
      <c r="Q1289" s="861" t="s">
        <v>6759</v>
      </c>
      <c r="R1289" s="861"/>
      <c r="S1289" s="861" t="s">
        <v>6475</v>
      </c>
      <c r="T1289" s="866" t="s">
        <v>6760</v>
      </c>
      <c r="U1289" s="865"/>
    </row>
    <row r="1290" spans="1:21" ht="15">
      <c r="A1290" s="672"/>
      <c r="B1290" s="861" t="s">
        <v>6761</v>
      </c>
      <c r="C1290" s="861" t="s">
        <v>6762</v>
      </c>
      <c r="D1290" s="861" t="s">
        <v>371</v>
      </c>
      <c r="E1290" s="861"/>
      <c r="F1290" s="862">
        <v>0.14399999999999999</v>
      </c>
      <c r="G1290" s="869">
        <v>1.2608651E-2</v>
      </c>
      <c r="H1290" s="874">
        <v>6391871.5099999998</v>
      </c>
      <c r="I1290" s="871"/>
      <c r="J1290" s="861"/>
      <c r="K1290" s="868">
        <f t="shared" si="102"/>
        <v>146</v>
      </c>
      <c r="L1290" s="861" t="s">
        <v>1020</v>
      </c>
      <c r="M1290" s="671">
        <f t="shared" si="103"/>
        <v>1288</v>
      </c>
      <c r="N1290" s="671" t="str">
        <f t="shared" si="104"/>
        <v>N/A</v>
      </c>
      <c r="O1290" s="671">
        <f t="shared" si="105"/>
        <v>708</v>
      </c>
      <c r="P1290" s="861" t="s">
        <v>972</v>
      </c>
      <c r="Q1290" s="861" t="s">
        <v>6763</v>
      </c>
      <c r="R1290" s="861" t="s">
        <v>698</v>
      </c>
      <c r="S1290" s="861" t="s">
        <v>6764</v>
      </c>
      <c r="T1290" s="866" t="s">
        <v>6765</v>
      </c>
      <c r="U1290" s="865"/>
    </row>
    <row r="1291" spans="1:21" ht="15">
      <c r="A1291" s="857"/>
      <c r="B1291" s="861" t="s">
        <v>6766</v>
      </c>
      <c r="C1291" s="861" t="s">
        <v>6767</v>
      </c>
      <c r="D1291" s="861" t="s">
        <v>371</v>
      </c>
      <c r="E1291" s="861"/>
      <c r="F1291" s="862"/>
      <c r="G1291" s="869">
        <v>9.2757197050000002</v>
      </c>
      <c r="H1291" s="874">
        <v>6385772.0899999999</v>
      </c>
      <c r="I1291" s="871"/>
      <c r="J1291" s="862">
        <v>0.126</v>
      </c>
      <c r="K1291" s="868">
        <f t="shared" si="102"/>
        <v>316</v>
      </c>
      <c r="L1291" s="863" t="s">
        <v>6768</v>
      </c>
      <c r="M1291" s="671">
        <f t="shared" si="103"/>
        <v>1289</v>
      </c>
      <c r="N1291" s="671" t="str">
        <f t="shared" si="104"/>
        <v>N/A</v>
      </c>
      <c r="O1291" s="671">
        <f t="shared" si="105"/>
        <v>410</v>
      </c>
      <c r="P1291" s="861" t="s">
        <v>931</v>
      </c>
      <c r="Q1291" s="861"/>
      <c r="R1291" s="863" t="s">
        <v>6769</v>
      </c>
      <c r="S1291" s="861" t="s">
        <v>2401</v>
      </c>
      <c r="T1291" s="866" t="s">
        <v>6770</v>
      </c>
      <c r="U1291" s="865"/>
    </row>
    <row r="1292" spans="1:21" ht="15">
      <c r="A1292" s="672"/>
      <c r="B1292" s="861" t="s">
        <v>6771</v>
      </c>
      <c r="C1292" s="861" t="s">
        <v>6772</v>
      </c>
      <c r="D1292" s="861" t="s">
        <v>371</v>
      </c>
      <c r="E1292" s="861"/>
      <c r="F1292" s="862"/>
      <c r="G1292" s="870" t="s">
        <v>6773</v>
      </c>
      <c r="H1292" s="874">
        <v>6381288.9900000002</v>
      </c>
      <c r="I1292" s="871"/>
      <c r="J1292" s="863" t="s">
        <v>6774</v>
      </c>
      <c r="K1292" s="868">
        <f t="shared" si="102"/>
        <v>316</v>
      </c>
      <c r="L1292" s="861"/>
      <c r="M1292" s="671">
        <f t="shared" si="103"/>
        <v>1290</v>
      </c>
      <c r="N1292" s="671" t="str">
        <f t="shared" si="104"/>
        <v>N/A</v>
      </c>
      <c r="O1292" s="671" t="str">
        <f t="shared" si="105"/>
        <v>N/A</v>
      </c>
      <c r="P1292" s="863" t="s">
        <v>1017</v>
      </c>
      <c r="Q1292" s="861"/>
      <c r="R1292" s="861"/>
      <c r="S1292" s="861" t="s">
        <v>557</v>
      </c>
      <c r="T1292" s="866" t="s">
        <v>6775</v>
      </c>
      <c r="U1292" s="865"/>
    </row>
    <row r="1293" spans="1:21" ht="15">
      <c r="A1293" s="857"/>
      <c r="B1293" s="861" t="s">
        <v>6776</v>
      </c>
      <c r="C1293" s="861" t="s">
        <v>6777</v>
      </c>
      <c r="D1293" s="861" t="s">
        <v>371</v>
      </c>
      <c r="E1293" s="861"/>
      <c r="F1293" s="862"/>
      <c r="G1293" s="870" t="s">
        <v>6778</v>
      </c>
      <c r="H1293" s="874">
        <v>6350146.8899999997</v>
      </c>
      <c r="I1293" s="871"/>
      <c r="J1293" s="862">
        <v>6.3E-2</v>
      </c>
      <c r="K1293" s="868">
        <f t="shared" si="102"/>
        <v>316</v>
      </c>
      <c r="L1293" s="861" t="s">
        <v>1497</v>
      </c>
      <c r="M1293" s="671">
        <f t="shared" si="103"/>
        <v>1291</v>
      </c>
      <c r="N1293" s="671" t="str">
        <f t="shared" si="104"/>
        <v>N/A</v>
      </c>
      <c r="O1293" s="671">
        <f t="shared" si="105"/>
        <v>573</v>
      </c>
      <c r="P1293" s="861" t="s">
        <v>2048</v>
      </c>
      <c r="Q1293" s="861" t="s">
        <v>6779</v>
      </c>
      <c r="R1293" s="861" t="s">
        <v>904</v>
      </c>
      <c r="S1293" s="861" t="s">
        <v>2984</v>
      </c>
      <c r="T1293" s="866" t="s">
        <v>6780</v>
      </c>
      <c r="U1293" s="865"/>
    </row>
    <row r="1294" spans="1:21" ht="15">
      <c r="A1294" s="672"/>
      <c r="B1294" s="861" t="s">
        <v>6781</v>
      </c>
      <c r="C1294" s="861" t="s">
        <v>6782</v>
      </c>
      <c r="D1294" s="861" t="s">
        <v>371</v>
      </c>
      <c r="E1294" s="861"/>
      <c r="F1294" s="862"/>
      <c r="G1294" s="870" t="s">
        <v>6783</v>
      </c>
      <c r="H1294" s="874">
        <v>6345523</v>
      </c>
      <c r="I1294" s="871"/>
      <c r="J1294" s="863" t="s">
        <v>6784</v>
      </c>
      <c r="K1294" s="868">
        <f t="shared" si="102"/>
        <v>316</v>
      </c>
      <c r="L1294" s="863" t="s">
        <v>1017</v>
      </c>
      <c r="M1294" s="671">
        <f t="shared" si="103"/>
        <v>1292</v>
      </c>
      <c r="N1294" s="671" t="str">
        <f t="shared" si="104"/>
        <v>N/A</v>
      </c>
      <c r="O1294" s="671" t="str">
        <f t="shared" si="105"/>
        <v>N/A</v>
      </c>
      <c r="P1294" s="861" t="s">
        <v>1177</v>
      </c>
      <c r="Q1294" s="861"/>
      <c r="R1294" s="863" t="s">
        <v>945</v>
      </c>
      <c r="S1294" s="861" t="s">
        <v>698</v>
      </c>
      <c r="T1294" s="866" t="s">
        <v>6785</v>
      </c>
      <c r="U1294" s="865"/>
    </row>
    <row r="1295" spans="1:21" ht="15">
      <c r="A1295" s="857"/>
      <c r="B1295" s="861" t="s">
        <v>6786</v>
      </c>
      <c r="C1295" s="861" t="s">
        <v>6787</v>
      </c>
      <c r="D1295" s="861" t="s">
        <v>371</v>
      </c>
      <c r="E1295" s="861"/>
      <c r="F1295" s="862"/>
      <c r="G1295" s="870" t="s">
        <v>6788</v>
      </c>
      <c r="H1295" s="874">
        <v>6308695.9000000004</v>
      </c>
      <c r="I1295" s="872" t="s">
        <v>6789</v>
      </c>
      <c r="J1295" s="863" t="s">
        <v>2387</v>
      </c>
      <c r="K1295" s="868">
        <f t="shared" si="102"/>
        <v>316</v>
      </c>
      <c r="L1295" s="861" t="s">
        <v>434</v>
      </c>
      <c r="M1295" s="671">
        <f t="shared" si="103"/>
        <v>1293</v>
      </c>
      <c r="N1295" s="671" t="str">
        <f t="shared" si="104"/>
        <v>N/A</v>
      </c>
      <c r="O1295" s="671" t="str">
        <f t="shared" si="105"/>
        <v>N/A</v>
      </c>
      <c r="P1295" s="861" t="s">
        <v>2135</v>
      </c>
      <c r="Q1295" s="861"/>
      <c r="R1295" s="863" t="s">
        <v>937</v>
      </c>
      <c r="S1295" s="861" t="s">
        <v>6790</v>
      </c>
      <c r="T1295" s="866" t="s">
        <v>6791</v>
      </c>
      <c r="U1295" s="865"/>
    </row>
    <row r="1296" spans="1:21" ht="15">
      <c r="A1296" s="672"/>
      <c r="B1296" s="861" t="s">
        <v>6792</v>
      </c>
      <c r="C1296" s="861" t="s">
        <v>6793</v>
      </c>
      <c r="D1296" s="861" t="s">
        <v>371</v>
      </c>
      <c r="E1296" s="861"/>
      <c r="F1296" s="862"/>
      <c r="G1296" s="870" t="s">
        <v>6794</v>
      </c>
      <c r="H1296" s="874">
        <v>6301100.5599999996</v>
      </c>
      <c r="I1296" s="871"/>
      <c r="J1296" s="862">
        <v>0.01</v>
      </c>
      <c r="K1296" s="868">
        <f t="shared" si="102"/>
        <v>316</v>
      </c>
      <c r="L1296" s="861" t="s">
        <v>1127</v>
      </c>
      <c r="M1296" s="671">
        <f t="shared" si="103"/>
        <v>1294</v>
      </c>
      <c r="N1296" s="671" t="str">
        <f t="shared" si="104"/>
        <v>N/A</v>
      </c>
      <c r="O1296" s="671">
        <f t="shared" si="105"/>
        <v>683</v>
      </c>
      <c r="P1296" s="861" t="s">
        <v>3023</v>
      </c>
      <c r="Q1296" s="861" t="s">
        <v>6795</v>
      </c>
      <c r="R1296" s="861" t="s">
        <v>487</v>
      </c>
      <c r="S1296" s="861" t="s">
        <v>6407</v>
      </c>
      <c r="T1296" s="866" t="s">
        <v>6796</v>
      </c>
      <c r="U1296" s="865"/>
    </row>
    <row r="1297" spans="1:21" ht="15">
      <c r="A1297" s="857"/>
      <c r="B1297" s="861" t="s">
        <v>6797</v>
      </c>
      <c r="C1297" s="861" t="s">
        <v>6798</v>
      </c>
      <c r="D1297" s="861" t="s">
        <v>371</v>
      </c>
      <c r="E1297" s="861"/>
      <c r="F1297" s="862"/>
      <c r="G1297" s="870" t="s">
        <v>6799</v>
      </c>
      <c r="H1297" s="874">
        <v>6242654.6799999997</v>
      </c>
      <c r="I1297" s="871"/>
      <c r="J1297" s="862">
        <v>0.13800000000000001</v>
      </c>
      <c r="K1297" s="868">
        <f t="shared" si="102"/>
        <v>316</v>
      </c>
      <c r="L1297" s="863" t="s">
        <v>6098</v>
      </c>
      <c r="M1297" s="671">
        <f t="shared" si="103"/>
        <v>1295</v>
      </c>
      <c r="N1297" s="671" t="str">
        <f t="shared" si="104"/>
        <v>N/A</v>
      </c>
      <c r="O1297" s="671">
        <f t="shared" si="105"/>
        <v>372</v>
      </c>
      <c r="P1297" s="861" t="s">
        <v>6800</v>
      </c>
      <c r="Q1297" s="861"/>
      <c r="R1297" s="863" t="s">
        <v>4377</v>
      </c>
      <c r="S1297" s="861" t="s">
        <v>6801</v>
      </c>
      <c r="T1297" s="866" t="s">
        <v>6802</v>
      </c>
      <c r="U1297" s="865"/>
    </row>
    <row r="1298" spans="1:21" ht="15">
      <c r="A1298" s="672"/>
      <c r="B1298" s="861" t="s">
        <v>6803</v>
      </c>
      <c r="C1298" s="861" t="s">
        <v>6804</v>
      </c>
      <c r="D1298" s="861" t="s">
        <v>371</v>
      </c>
      <c r="E1298" s="861"/>
      <c r="F1298" s="862"/>
      <c r="G1298" s="869">
        <v>5.227405568</v>
      </c>
      <c r="H1298" s="874">
        <v>6122212.5700000003</v>
      </c>
      <c r="I1298" s="871"/>
      <c r="J1298" s="863" t="s">
        <v>1391</v>
      </c>
      <c r="K1298" s="868">
        <f t="shared" si="102"/>
        <v>316</v>
      </c>
      <c r="L1298" s="861"/>
      <c r="M1298" s="671">
        <f t="shared" si="103"/>
        <v>1296</v>
      </c>
      <c r="N1298" s="671" t="str">
        <f t="shared" si="104"/>
        <v>N/A</v>
      </c>
      <c r="O1298" s="671" t="str">
        <f t="shared" si="105"/>
        <v>N/A</v>
      </c>
      <c r="P1298" s="861" t="s">
        <v>2492</v>
      </c>
      <c r="Q1298" s="861"/>
      <c r="R1298" s="861"/>
      <c r="S1298" s="861" t="s">
        <v>2054</v>
      </c>
      <c r="T1298" s="866" t="s">
        <v>6805</v>
      </c>
      <c r="U1298" s="865"/>
    </row>
    <row r="1299" spans="1:21" ht="15">
      <c r="A1299" s="857"/>
      <c r="B1299" s="861" t="s">
        <v>6806</v>
      </c>
      <c r="C1299" s="861" t="s">
        <v>6807</v>
      </c>
      <c r="D1299" s="861" t="s">
        <v>371</v>
      </c>
      <c r="E1299" s="861"/>
      <c r="F1299" s="862">
        <v>-0.59599999999999997</v>
      </c>
      <c r="G1299" s="870" t="s">
        <v>6808</v>
      </c>
      <c r="H1299" s="874">
        <v>6115623.5899999999</v>
      </c>
      <c r="I1299" s="871"/>
      <c r="J1299" s="863" t="s">
        <v>6809</v>
      </c>
      <c r="K1299" s="868">
        <f t="shared" si="102"/>
        <v>481</v>
      </c>
      <c r="L1299" s="861"/>
      <c r="M1299" s="671">
        <f t="shared" si="103"/>
        <v>1297</v>
      </c>
      <c r="N1299" s="671" t="str">
        <f t="shared" si="104"/>
        <v>N/A</v>
      </c>
      <c r="O1299" s="671" t="str">
        <f t="shared" si="105"/>
        <v>N/A</v>
      </c>
      <c r="P1299" s="861" t="s">
        <v>1560</v>
      </c>
      <c r="Q1299" s="861"/>
      <c r="R1299" s="861"/>
      <c r="S1299" s="861" t="s">
        <v>404</v>
      </c>
      <c r="T1299" s="866" t="s">
        <v>6810</v>
      </c>
      <c r="U1299" s="865"/>
    </row>
    <row r="1300" spans="1:21" ht="15">
      <c r="A1300" s="672"/>
      <c r="B1300" s="861" t="s">
        <v>6811</v>
      </c>
      <c r="C1300" s="861" t="s">
        <v>6812</v>
      </c>
      <c r="D1300" s="861" t="s">
        <v>371</v>
      </c>
      <c r="E1300" s="861"/>
      <c r="F1300" s="862"/>
      <c r="G1300" s="870" t="s">
        <v>6813</v>
      </c>
      <c r="H1300" s="874">
        <v>6099987.54</v>
      </c>
      <c r="I1300" s="871"/>
      <c r="J1300" s="863" t="s">
        <v>6814</v>
      </c>
      <c r="K1300" s="868">
        <f t="shared" si="102"/>
        <v>316</v>
      </c>
      <c r="L1300" s="861"/>
      <c r="M1300" s="671">
        <f t="shared" si="103"/>
        <v>1298</v>
      </c>
      <c r="N1300" s="671" t="str">
        <f t="shared" si="104"/>
        <v>N/A</v>
      </c>
      <c r="O1300" s="671" t="str">
        <f t="shared" si="105"/>
        <v>N/A</v>
      </c>
      <c r="P1300" s="861" t="s">
        <v>6815</v>
      </c>
      <c r="Q1300" s="861" t="s">
        <v>6816</v>
      </c>
      <c r="R1300" s="861"/>
      <c r="S1300" s="861" t="s">
        <v>1881</v>
      </c>
      <c r="T1300" s="866" t="s">
        <v>6817</v>
      </c>
      <c r="U1300" s="865"/>
    </row>
    <row r="1301" spans="1:21" ht="15">
      <c r="A1301" s="857"/>
      <c r="B1301" s="861" t="s">
        <v>6818</v>
      </c>
      <c r="C1301" s="861" t="s">
        <v>6819</v>
      </c>
      <c r="D1301" s="861" t="s">
        <v>371</v>
      </c>
      <c r="E1301" s="861"/>
      <c r="F1301" s="862"/>
      <c r="G1301" s="870" t="s">
        <v>6820</v>
      </c>
      <c r="H1301" s="874">
        <v>6090998.9400000004</v>
      </c>
      <c r="I1301" s="871"/>
      <c r="J1301" s="863" t="s">
        <v>6821</v>
      </c>
      <c r="K1301" s="868">
        <f t="shared" si="102"/>
        <v>316</v>
      </c>
      <c r="L1301" s="863" t="s">
        <v>448</v>
      </c>
      <c r="M1301" s="671">
        <f t="shared" si="103"/>
        <v>1299</v>
      </c>
      <c r="N1301" s="671" t="str">
        <f t="shared" si="104"/>
        <v>N/A</v>
      </c>
      <c r="O1301" s="671" t="str">
        <f t="shared" si="105"/>
        <v>N/A</v>
      </c>
      <c r="P1301" s="861" t="s">
        <v>6822</v>
      </c>
      <c r="Q1301" s="861"/>
      <c r="R1301" s="863" t="s">
        <v>1251</v>
      </c>
      <c r="S1301" s="861" t="s">
        <v>6823</v>
      </c>
      <c r="T1301" s="866" t="s">
        <v>6824</v>
      </c>
      <c r="U1301" s="865"/>
    </row>
    <row r="1302" spans="1:21" ht="15">
      <c r="A1302" s="672"/>
      <c r="B1302" s="861" t="s">
        <v>6825</v>
      </c>
      <c r="C1302" s="861" t="s">
        <v>6826</v>
      </c>
      <c r="D1302" s="861" t="s">
        <v>371</v>
      </c>
      <c r="E1302" s="861"/>
      <c r="F1302" s="862"/>
      <c r="G1302" s="870" t="s">
        <v>6827</v>
      </c>
      <c r="H1302" s="874">
        <v>6073088.5499999998</v>
      </c>
      <c r="I1302" s="871"/>
      <c r="J1302" s="862">
        <v>8.0000000000000002E-3</v>
      </c>
      <c r="K1302" s="868">
        <f t="shared" si="102"/>
        <v>316</v>
      </c>
      <c r="L1302" s="861" t="s">
        <v>454</v>
      </c>
      <c r="M1302" s="671">
        <f t="shared" si="103"/>
        <v>1300</v>
      </c>
      <c r="N1302" s="671" t="str">
        <f t="shared" si="104"/>
        <v>N/A</v>
      </c>
      <c r="O1302" s="671">
        <f t="shared" si="105"/>
        <v>688</v>
      </c>
      <c r="P1302" s="861" t="s">
        <v>3535</v>
      </c>
      <c r="Q1302" s="861" t="s">
        <v>6828</v>
      </c>
      <c r="R1302" s="863" t="s">
        <v>448</v>
      </c>
      <c r="S1302" s="861" t="s">
        <v>653</v>
      </c>
      <c r="T1302" s="866" t="s">
        <v>6829</v>
      </c>
      <c r="U1302" s="865"/>
    </row>
    <row r="1303" spans="1:21" ht="15">
      <c r="A1303" s="857"/>
      <c r="B1303" s="861" t="s">
        <v>6830</v>
      </c>
      <c r="C1303" s="861" t="s">
        <v>6831</v>
      </c>
      <c r="D1303" s="861" t="s">
        <v>371</v>
      </c>
      <c r="E1303" s="861"/>
      <c r="F1303" s="862"/>
      <c r="G1303" s="869">
        <v>0</v>
      </c>
      <c r="H1303" s="874">
        <v>6028350.7300000004</v>
      </c>
      <c r="I1303" s="871"/>
      <c r="J1303" s="863" t="s">
        <v>6832</v>
      </c>
      <c r="K1303" s="868">
        <f t="shared" si="102"/>
        <v>316</v>
      </c>
      <c r="L1303" s="861" t="s">
        <v>1425</v>
      </c>
      <c r="M1303" s="671">
        <f t="shared" si="103"/>
        <v>1301</v>
      </c>
      <c r="N1303" s="671" t="str">
        <f t="shared" si="104"/>
        <v>N/A</v>
      </c>
      <c r="O1303" s="671" t="str">
        <f t="shared" si="105"/>
        <v>N/A</v>
      </c>
      <c r="P1303" s="861" t="s">
        <v>1089</v>
      </c>
      <c r="Q1303" s="861" t="s">
        <v>6833</v>
      </c>
      <c r="R1303" s="861" t="s">
        <v>653</v>
      </c>
      <c r="S1303" s="861" t="s">
        <v>2921</v>
      </c>
      <c r="T1303" s="866" t="s">
        <v>6834</v>
      </c>
      <c r="U1303" s="865"/>
    </row>
    <row r="1304" spans="1:21" ht="15">
      <c r="A1304" s="672"/>
      <c r="B1304" s="861" t="s">
        <v>6835</v>
      </c>
      <c r="C1304" s="861" t="s">
        <v>6836</v>
      </c>
      <c r="D1304" s="861" t="s">
        <v>371</v>
      </c>
      <c r="E1304" s="861"/>
      <c r="F1304" s="862">
        <v>-1.046</v>
      </c>
      <c r="G1304" s="869">
        <v>0</v>
      </c>
      <c r="H1304" s="874">
        <v>6000951.9100000001</v>
      </c>
      <c r="I1304" s="871"/>
      <c r="J1304" s="863" t="s">
        <v>6837</v>
      </c>
      <c r="K1304" s="868">
        <f t="shared" si="102"/>
        <v>491</v>
      </c>
      <c r="L1304" s="863" t="s">
        <v>4505</v>
      </c>
      <c r="M1304" s="671">
        <f t="shared" si="103"/>
        <v>1302</v>
      </c>
      <c r="N1304" s="671" t="str">
        <f t="shared" si="104"/>
        <v>N/A</v>
      </c>
      <c r="O1304" s="671" t="str">
        <f t="shared" si="105"/>
        <v>N/A</v>
      </c>
      <c r="P1304" s="861" t="s">
        <v>6838</v>
      </c>
      <c r="Q1304" s="861" t="s">
        <v>2651</v>
      </c>
      <c r="R1304" s="863" t="s">
        <v>1251</v>
      </c>
      <c r="S1304" s="861" t="s">
        <v>6839</v>
      </c>
      <c r="T1304" s="866" t="s">
        <v>6840</v>
      </c>
      <c r="U1304" s="865"/>
    </row>
    <row r="1305" spans="1:21" ht="15">
      <c r="A1305" s="857"/>
      <c r="B1305" s="861" t="s">
        <v>6841</v>
      </c>
      <c r="C1305" s="861" t="s">
        <v>6842</v>
      </c>
      <c r="D1305" s="861" t="s">
        <v>371</v>
      </c>
      <c r="E1305" s="861"/>
      <c r="F1305" s="862"/>
      <c r="G1305" s="870" t="s">
        <v>6843</v>
      </c>
      <c r="H1305" s="874">
        <v>5875728.4199999999</v>
      </c>
      <c r="I1305" s="871"/>
      <c r="J1305" s="863"/>
      <c r="K1305" s="868">
        <f t="shared" si="102"/>
        <v>316</v>
      </c>
      <c r="L1305" s="861" t="s">
        <v>507</v>
      </c>
      <c r="M1305" s="671">
        <f t="shared" si="103"/>
        <v>1303</v>
      </c>
      <c r="N1305" s="671" t="str">
        <f t="shared" si="104"/>
        <v>N/A</v>
      </c>
      <c r="O1305" s="671">
        <f t="shared" si="105"/>
        <v>708</v>
      </c>
      <c r="P1305" s="861" t="s">
        <v>6747</v>
      </c>
      <c r="Q1305" s="861"/>
      <c r="R1305" s="861" t="s">
        <v>1252</v>
      </c>
      <c r="S1305" s="861" t="s">
        <v>5579</v>
      </c>
      <c r="T1305" s="866" t="s">
        <v>6844</v>
      </c>
      <c r="U1305" s="865"/>
    </row>
    <row r="1306" spans="1:21" ht="15">
      <c r="A1306" s="672"/>
      <c r="B1306" s="861" t="s">
        <v>6845</v>
      </c>
      <c r="C1306" s="861" t="s">
        <v>6846</v>
      </c>
      <c r="D1306" s="861" t="s">
        <v>371</v>
      </c>
      <c r="E1306" s="861"/>
      <c r="F1306" s="862"/>
      <c r="G1306" s="869" t="e">
        <v>#DIV/0!</v>
      </c>
      <c r="H1306" s="874">
        <v>5869087.5599999996</v>
      </c>
      <c r="I1306" s="871"/>
      <c r="J1306" s="863" t="s">
        <v>6847</v>
      </c>
      <c r="K1306" s="868">
        <f t="shared" si="102"/>
        <v>316</v>
      </c>
      <c r="L1306" s="861" t="s">
        <v>392</v>
      </c>
      <c r="M1306" s="671">
        <f t="shared" si="103"/>
        <v>1304</v>
      </c>
      <c r="N1306" s="671" t="str">
        <f t="shared" si="104"/>
        <v>N/A</v>
      </c>
      <c r="O1306" s="671" t="str">
        <f t="shared" si="105"/>
        <v>N/A</v>
      </c>
      <c r="P1306" s="861" t="s">
        <v>611</v>
      </c>
      <c r="Q1306" s="861" t="s">
        <v>6848</v>
      </c>
      <c r="R1306" s="861"/>
      <c r="S1306" s="861" t="s">
        <v>2003</v>
      </c>
      <c r="T1306" s="866" t="s">
        <v>6849</v>
      </c>
      <c r="U1306" s="865"/>
    </row>
    <row r="1307" spans="1:21" ht="15">
      <c r="A1307" s="857"/>
      <c r="B1307" s="861" t="s">
        <v>6850</v>
      </c>
      <c r="C1307" s="861" t="s">
        <v>6851</v>
      </c>
      <c r="D1307" s="861" t="s">
        <v>371</v>
      </c>
      <c r="E1307" s="861"/>
      <c r="F1307" s="862"/>
      <c r="G1307" s="870" t="s">
        <v>6852</v>
      </c>
      <c r="H1307" s="874">
        <v>5839418.9299999997</v>
      </c>
      <c r="I1307" s="871"/>
      <c r="J1307" s="863"/>
      <c r="K1307" s="868">
        <f t="shared" si="102"/>
        <v>316</v>
      </c>
      <c r="L1307" s="861" t="s">
        <v>748</v>
      </c>
      <c r="M1307" s="671">
        <f t="shared" si="103"/>
        <v>1305</v>
      </c>
      <c r="N1307" s="671" t="str">
        <f t="shared" si="104"/>
        <v>N/A</v>
      </c>
      <c r="O1307" s="671">
        <f t="shared" si="105"/>
        <v>708</v>
      </c>
      <c r="P1307" s="861" t="s">
        <v>6853</v>
      </c>
      <c r="Q1307" s="861" t="s">
        <v>6854</v>
      </c>
      <c r="R1307" s="861" t="s">
        <v>868</v>
      </c>
      <c r="S1307" s="861" t="s">
        <v>6855</v>
      </c>
      <c r="T1307" s="866" t="s">
        <v>6856</v>
      </c>
      <c r="U1307" s="865"/>
    </row>
    <row r="1308" spans="1:21" ht="15">
      <c r="A1308" s="672"/>
      <c r="B1308" s="861" t="s">
        <v>6857</v>
      </c>
      <c r="C1308" s="861" t="s">
        <v>6858</v>
      </c>
      <c r="D1308" s="861" t="s">
        <v>371</v>
      </c>
      <c r="E1308" s="861"/>
      <c r="F1308" s="862"/>
      <c r="G1308" s="869" t="e">
        <v>#DIV/0!</v>
      </c>
      <c r="H1308" s="874">
        <v>5784252.6100000003</v>
      </c>
      <c r="I1308" s="871"/>
      <c r="J1308" s="862">
        <v>9.5000000000000001E-2</v>
      </c>
      <c r="K1308" s="868">
        <f t="shared" si="102"/>
        <v>316</v>
      </c>
      <c r="L1308" s="861"/>
      <c r="M1308" s="671">
        <f t="shared" si="103"/>
        <v>1306</v>
      </c>
      <c r="N1308" s="671" t="str">
        <f t="shared" si="104"/>
        <v>N/A</v>
      </c>
      <c r="O1308" s="671">
        <f t="shared" si="105"/>
        <v>513</v>
      </c>
      <c r="P1308" s="861"/>
      <c r="Q1308" s="861"/>
      <c r="R1308" s="861"/>
      <c r="S1308" s="861" t="s">
        <v>1475</v>
      </c>
      <c r="T1308" s="866" t="s">
        <v>6859</v>
      </c>
      <c r="U1308" s="865"/>
    </row>
    <row r="1309" spans="1:21" ht="15">
      <c r="A1309" s="857"/>
      <c r="B1309" s="861" t="s">
        <v>6860</v>
      </c>
      <c r="C1309" s="861" t="s">
        <v>6861</v>
      </c>
      <c r="D1309" s="861" t="s">
        <v>371</v>
      </c>
      <c r="E1309" s="861"/>
      <c r="F1309" s="862"/>
      <c r="G1309" s="869">
        <v>2.394544099</v>
      </c>
      <c r="H1309" s="874">
        <v>5772491.5199999996</v>
      </c>
      <c r="I1309" s="871"/>
      <c r="J1309" s="861"/>
      <c r="K1309" s="868">
        <f t="shared" si="102"/>
        <v>316</v>
      </c>
      <c r="L1309" s="861" t="s">
        <v>467</v>
      </c>
      <c r="M1309" s="671">
        <f t="shared" si="103"/>
        <v>1307</v>
      </c>
      <c r="N1309" s="671" t="str">
        <f t="shared" si="104"/>
        <v>N/A</v>
      </c>
      <c r="O1309" s="671">
        <f t="shared" si="105"/>
        <v>708</v>
      </c>
      <c r="P1309" s="861" t="s">
        <v>2275</v>
      </c>
      <c r="Q1309" s="861" t="s">
        <v>6862</v>
      </c>
      <c r="R1309" s="861" t="s">
        <v>1020</v>
      </c>
      <c r="S1309" s="861" t="s">
        <v>1405</v>
      </c>
      <c r="T1309" s="866" t="s">
        <v>6863</v>
      </c>
      <c r="U1309" s="865"/>
    </row>
    <row r="1310" spans="1:21" ht="15">
      <c r="A1310" s="672"/>
      <c r="B1310" s="861" t="s">
        <v>6864</v>
      </c>
      <c r="C1310" s="861" t="s">
        <v>6865</v>
      </c>
      <c r="D1310" s="861" t="s">
        <v>371</v>
      </c>
      <c r="E1310" s="861"/>
      <c r="F1310" s="862"/>
      <c r="G1310" s="869" t="e">
        <v>#DIV/0!</v>
      </c>
      <c r="H1310" s="874">
        <v>5720238.9199999999</v>
      </c>
      <c r="I1310" s="871"/>
      <c r="J1310" s="861"/>
      <c r="K1310" s="868">
        <f t="shared" si="102"/>
        <v>316</v>
      </c>
      <c r="L1310" s="861" t="s">
        <v>833</v>
      </c>
      <c r="M1310" s="671">
        <f t="shared" si="103"/>
        <v>1308</v>
      </c>
      <c r="N1310" s="671" t="str">
        <f t="shared" si="104"/>
        <v>N/A</v>
      </c>
      <c r="O1310" s="671">
        <f t="shared" si="105"/>
        <v>708</v>
      </c>
      <c r="P1310" s="861" t="s">
        <v>5787</v>
      </c>
      <c r="Q1310" s="861" t="s">
        <v>6866</v>
      </c>
      <c r="R1310" s="861" t="s">
        <v>570</v>
      </c>
      <c r="S1310" s="861" t="s">
        <v>6867</v>
      </c>
      <c r="T1310" s="866" t="s">
        <v>6868</v>
      </c>
      <c r="U1310" s="865"/>
    </row>
    <row r="1311" spans="1:21" ht="15">
      <c r="A1311" s="857"/>
      <c r="B1311" s="861" t="s">
        <v>6869</v>
      </c>
      <c r="C1311" s="861" t="s">
        <v>6870</v>
      </c>
      <c r="D1311" s="861" t="s">
        <v>371</v>
      </c>
      <c r="E1311" s="861"/>
      <c r="F1311" s="862"/>
      <c r="G1311" s="870" t="s">
        <v>6871</v>
      </c>
      <c r="H1311" s="874">
        <v>5705236.7699999996</v>
      </c>
      <c r="I1311" s="871"/>
      <c r="J1311" s="863" t="s">
        <v>6872</v>
      </c>
      <c r="K1311" s="868">
        <f t="shared" si="102"/>
        <v>316</v>
      </c>
      <c r="L1311" s="861"/>
      <c r="M1311" s="671">
        <f t="shared" si="103"/>
        <v>1309</v>
      </c>
      <c r="N1311" s="671" t="str">
        <f t="shared" si="104"/>
        <v>N/A</v>
      </c>
      <c r="O1311" s="671" t="str">
        <f t="shared" si="105"/>
        <v>N/A</v>
      </c>
      <c r="P1311" s="861" t="s">
        <v>781</v>
      </c>
      <c r="Q1311" s="861" t="s">
        <v>6873</v>
      </c>
      <c r="R1311" s="861"/>
      <c r="S1311" s="861" t="s">
        <v>6874</v>
      </c>
      <c r="T1311" s="866" t="s">
        <v>6875</v>
      </c>
      <c r="U1311" s="865"/>
    </row>
    <row r="1312" spans="1:21" ht="15">
      <c r="A1312" s="672"/>
      <c r="B1312" s="861" t="s">
        <v>6876</v>
      </c>
      <c r="C1312" s="861" t="s">
        <v>6877</v>
      </c>
      <c r="D1312" s="861" t="s">
        <v>371</v>
      </c>
      <c r="E1312" s="861"/>
      <c r="F1312" s="862"/>
      <c r="G1312" s="870" t="s">
        <v>6878</v>
      </c>
      <c r="H1312" s="874">
        <v>5633009.4400000004</v>
      </c>
      <c r="I1312" s="871"/>
      <c r="J1312" s="862">
        <v>5.7000000000000002E-2</v>
      </c>
      <c r="K1312" s="868">
        <f t="shared" si="102"/>
        <v>316</v>
      </c>
      <c r="L1312" s="861"/>
      <c r="M1312" s="671">
        <f t="shared" si="103"/>
        <v>1310</v>
      </c>
      <c r="N1312" s="671" t="str">
        <f t="shared" si="104"/>
        <v>N/A</v>
      </c>
      <c r="O1312" s="671">
        <f t="shared" si="105"/>
        <v>587</v>
      </c>
      <c r="P1312" s="861" t="s">
        <v>791</v>
      </c>
      <c r="Q1312" s="861" t="s">
        <v>6879</v>
      </c>
      <c r="R1312" s="861"/>
      <c r="S1312" s="861" t="s">
        <v>3118</v>
      </c>
      <c r="T1312" s="866" t="s">
        <v>6880</v>
      </c>
      <c r="U1312" s="865"/>
    </row>
    <row r="1313" spans="1:21" ht="15">
      <c r="A1313" s="857"/>
      <c r="B1313" s="861" t="s">
        <v>6881</v>
      </c>
      <c r="C1313" s="861" t="s">
        <v>6882</v>
      </c>
      <c r="D1313" s="861" t="s">
        <v>371</v>
      </c>
      <c r="E1313" s="861"/>
      <c r="F1313" s="862"/>
      <c r="G1313" s="870" t="s">
        <v>6883</v>
      </c>
      <c r="H1313" s="874">
        <v>5613976.9100000001</v>
      </c>
      <c r="I1313" s="871"/>
      <c r="J1313" s="862">
        <v>0.20799999999999999</v>
      </c>
      <c r="K1313" s="868">
        <f t="shared" si="102"/>
        <v>316</v>
      </c>
      <c r="L1313" s="861"/>
      <c r="M1313" s="671">
        <f t="shared" si="103"/>
        <v>1311</v>
      </c>
      <c r="N1313" s="671" t="str">
        <f t="shared" si="104"/>
        <v>N/A</v>
      </c>
      <c r="O1313" s="671">
        <f t="shared" si="105"/>
        <v>243</v>
      </c>
      <c r="P1313" s="861" t="s">
        <v>1376</v>
      </c>
      <c r="Q1313" s="861"/>
      <c r="R1313" s="861"/>
      <c r="S1313" s="861" t="s">
        <v>6747</v>
      </c>
      <c r="T1313" s="866" t="s">
        <v>6884</v>
      </c>
      <c r="U1313" s="865"/>
    </row>
    <row r="1314" spans="1:21" ht="15">
      <c r="A1314" s="672"/>
      <c r="B1314" s="861" t="s">
        <v>6885</v>
      </c>
      <c r="C1314" s="861" t="s">
        <v>6886</v>
      </c>
      <c r="D1314" s="861" t="s">
        <v>371</v>
      </c>
      <c r="E1314" s="861"/>
      <c r="F1314" s="862"/>
      <c r="G1314" s="869">
        <v>23.23587552</v>
      </c>
      <c r="H1314" s="874">
        <v>5611127.4500000002</v>
      </c>
      <c r="I1314" s="871"/>
      <c r="J1314" s="863" t="s">
        <v>6887</v>
      </c>
      <c r="K1314" s="868">
        <f t="shared" si="102"/>
        <v>316</v>
      </c>
      <c r="L1314" s="861"/>
      <c r="M1314" s="671">
        <f t="shared" si="103"/>
        <v>1312</v>
      </c>
      <c r="N1314" s="671" t="str">
        <f t="shared" si="104"/>
        <v>N/A</v>
      </c>
      <c r="O1314" s="671" t="str">
        <f t="shared" si="105"/>
        <v>N/A</v>
      </c>
      <c r="P1314" s="861" t="s">
        <v>964</v>
      </c>
      <c r="Q1314" s="861"/>
      <c r="R1314" s="861"/>
      <c r="S1314" s="861" t="s">
        <v>1002</v>
      </c>
      <c r="T1314" s="866" t="s">
        <v>6888</v>
      </c>
      <c r="U1314" s="865"/>
    </row>
    <row r="1315" spans="1:21" ht="15">
      <c r="A1315" s="857"/>
      <c r="B1315" s="861" t="s">
        <v>6889</v>
      </c>
      <c r="C1315" s="861" t="s">
        <v>6890</v>
      </c>
      <c r="D1315" s="861" t="s">
        <v>371</v>
      </c>
      <c r="E1315" s="861"/>
      <c r="F1315" s="862"/>
      <c r="G1315" s="870" t="s">
        <v>6891</v>
      </c>
      <c r="H1315" s="874">
        <v>5578111.7999999998</v>
      </c>
      <c r="I1315" s="871"/>
      <c r="J1315" s="863" t="s">
        <v>6892</v>
      </c>
      <c r="K1315" s="868">
        <f t="shared" si="102"/>
        <v>316</v>
      </c>
      <c r="L1315" s="861" t="s">
        <v>611</v>
      </c>
      <c r="M1315" s="671">
        <f t="shared" si="103"/>
        <v>1313</v>
      </c>
      <c r="N1315" s="671" t="str">
        <f t="shared" si="104"/>
        <v>N/A</v>
      </c>
      <c r="O1315" s="671" t="str">
        <f t="shared" si="105"/>
        <v>N/A</v>
      </c>
      <c r="P1315" s="861" t="s">
        <v>3715</v>
      </c>
      <c r="Q1315" s="861" t="s">
        <v>6893</v>
      </c>
      <c r="R1315" s="861" t="s">
        <v>1538</v>
      </c>
      <c r="S1315" s="861" t="s">
        <v>6894</v>
      </c>
      <c r="T1315" s="866" t="s">
        <v>6895</v>
      </c>
      <c r="U1315" s="865"/>
    </row>
    <row r="1316" spans="1:21" ht="15">
      <c r="A1316" s="672"/>
      <c r="B1316" s="861" t="s">
        <v>6896</v>
      </c>
      <c r="C1316" s="861" t="s">
        <v>6897</v>
      </c>
      <c r="D1316" s="861" t="s">
        <v>371</v>
      </c>
      <c r="E1316" s="861"/>
      <c r="F1316" s="862"/>
      <c r="G1316" s="870" t="s">
        <v>6898</v>
      </c>
      <c r="H1316" s="874">
        <v>5524977.6299999999</v>
      </c>
      <c r="I1316" s="871"/>
      <c r="J1316" s="862">
        <v>2.3E-2</v>
      </c>
      <c r="K1316" s="868">
        <f t="shared" si="102"/>
        <v>316</v>
      </c>
      <c r="L1316" s="861"/>
      <c r="M1316" s="671">
        <f t="shared" si="103"/>
        <v>1314</v>
      </c>
      <c r="N1316" s="671" t="str">
        <f t="shared" si="104"/>
        <v>N/A</v>
      </c>
      <c r="O1316" s="671">
        <f t="shared" si="105"/>
        <v>663</v>
      </c>
      <c r="P1316" s="861"/>
      <c r="Q1316" s="861"/>
      <c r="R1316" s="861"/>
      <c r="S1316" s="861" t="s">
        <v>1709</v>
      </c>
      <c r="T1316" s="866" t="s">
        <v>6899</v>
      </c>
      <c r="U1316" s="865"/>
    </row>
    <row r="1317" spans="1:21" ht="15">
      <c r="A1317" s="857"/>
      <c r="B1317" s="861" t="s">
        <v>6900</v>
      </c>
      <c r="C1317" s="861" t="s">
        <v>6901</v>
      </c>
      <c r="D1317" s="861" t="s">
        <v>371</v>
      </c>
      <c r="E1317" s="861"/>
      <c r="F1317" s="862"/>
      <c r="G1317" s="869">
        <v>0.16564060899999999</v>
      </c>
      <c r="H1317" s="874">
        <v>5482046.7999999998</v>
      </c>
      <c r="I1317" s="871"/>
      <c r="J1317" s="863"/>
      <c r="K1317" s="868">
        <f t="shared" si="102"/>
        <v>316</v>
      </c>
      <c r="L1317" s="861" t="s">
        <v>2110</v>
      </c>
      <c r="M1317" s="671">
        <f t="shared" si="103"/>
        <v>1315</v>
      </c>
      <c r="N1317" s="671" t="str">
        <f t="shared" si="104"/>
        <v>N/A</v>
      </c>
      <c r="O1317" s="671">
        <f t="shared" si="105"/>
        <v>708</v>
      </c>
      <c r="P1317" s="861" t="s">
        <v>1138</v>
      </c>
      <c r="Q1317" s="861"/>
      <c r="R1317" s="861" t="s">
        <v>404</v>
      </c>
      <c r="S1317" s="861" t="s">
        <v>6902</v>
      </c>
      <c r="T1317" s="866" t="s">
        <v>6903</v>
      </c>
      <c r="U1317" s="865"/>
    </row>
    <row r="1318" spans="1:21" ht="15">
      <c r="A1318" s="672"/>
      <c r="B1318" s="861" t="s">
        <v>6904</v>
      </c>
      <c r="C1318" s="861" t="s">
        <v>6905</v>
      </c>
      <c r="D1318" s="861" t="s">
        <v>371</v>
      </c>
      <c r="E1318" s="861"/>
      <c r="F1318" s="862"/>
      <c r="G1318" s="869" t="e">
        <v>#DIV/0!</v>
      </c>
      <c r="H1318" s="874">
        <v>5466911.5800000001</v>
      </c>
      <c r="I1318" s="871"/>
      <c r="J1318" s="863" t="s">
        <v>6906</v>
      </c>
      <c r="K1318" s="868">
        <f t="shared" si="102"/>
        <v>316</v>
      </c>
      <c r="L1318" s="863" t="s">
        <v>6907</v>
      </c>
      <c r="M1318" s="671">
        <f t="shared" si="103"/>
        <v>1316</v>
      </c>
      <c r="N1318" s="671" t="str">
        <f t="shared" si="104"/>
        <v>N/A</v>
      </c>
      <c r="O1318" s="671" t="str">
        <f t="shared" si="105"/>
        <v>N/A</v>
      </c>
      <c r="P1318" s="861" t="s">
        <v>6908</v>
      </c>
      <c r="Q1318" s="861"/>
      <c r="R1318" s="863" t="s">
        <v>2639</v>
      </c>
      <c r="S1318" s="861" t="s">
        <v>6909</v>
      </c>
      <c r="T1318" s="866" t="s">
        <v>6910</v>
      </c>
      <c r="U1318" s="865"/>
    </row>
    <row r="1319" spans="1:21" ht="15">
      <c r="A1319" s="857"/>
      <c r="B1319" s="861" t="s">
        <v>6911</v>
      </c>
      <c r="C1319" s="861" t="s">
        <v>6912</v>
      </c>
      <c r="D1319" s="861" t="s">
        <v>371</v>
      </c>
      <c r="E1319" s="861"/>
      <c r="F1319" s="862"/>
      <c r="G1319" s="870" t="s">
        <v>6913</v>
      </c>
      <c r="H1319" s="874">
        <v>5434800.4500000002</v>
      </c>
      <c r="I1319" s="871"/>
      <c r="J1319" s="861"/>
      <c r="K1319" s="868">
        <f t="shared" si="102"/>
        <v>316</v>
      </c>
      <c r="L1319" s="861"/>
      <c r="M1319" s="671">
        <f t="shared" si="103"/>
        <v>1317</v>
      </c>
      <c r="N1319" s="671" t="str">
        <f t="shared" si="104"/>
        <v>N/A</v>
      </c>
      <c r="O1319" s="671">
        <f t="shared" si="105"/>
        <v>708</v>
      </c>
      <c r="P1319" s="861"/>
      <c r="Q1319" s="861"/>
      <c r="R1319" s="861"/>
      <c r="S1319" s="861" t="s">
        <v>550</v>
      </c>
      <c r="T1319" s="866" t="s">
        <v>6914</v>
      </c>
      <c r="U1319" s="865"/>
    </row>
    <row r="1320" spans="1:21" ht="15">
      <c r="A1320" s="672"/>
      <c r="B1320" s="861" t="s">
        <v>6915</v>
      </c>
      <c r="C1320" s="861" t="s">
        <v>6916</v>
      </c>
      <c r="D1320" s="861" t="s">
        <v>371</v>
      </c>
      <c r="E1320" s="861"/>
      <c r="F1320" s="862"/>
      <c r="G1320" s="869" t="e">
        <v>#DIV/0!</v>
      </c>
      <c r="H1320" s="874">
        <v>5366146.59</v>
      </c>
      <c r="I1320" s="871"/>
      <c r="J1320" s="861"/>
      <c r="K1320" s="868">
        <f t="shared" si="102"/>
        <v>316</v>
      </c>
      <c r="L1320" s="861"/>
      <c r="M1320" s="671">
        <f t="shared" si="103"/>
        <v>1318</v>
      </c>
      <c r="N1320" s="671" t="str">
        <f t="shared" si="104"/>
        <v>N/A</v>
      </c>
      <c r="O1320" s="671">
        <f t="shared" si="105"/>
        <v>708</v>
      </c>
      <c r="P1320" s="861"/>
      <c r="Q1320" s="861"/>
      <c r="R1320" s="861"/>
      <c r="S1320" s="861" t="s">
        <v>404</v>
      </c>
      <c r="T1320" s="866" t="s">
        <v>6917</v>
      </c>
      <c r="U1320" s="865"/>
    </row>
    <row r="1321" spans="1:21" ht="15">
      <c r="A1321" s="857"/>
      <c r="B1321" s="861" t="s">
        <v>6918</v>
      </c>
      <c r="C1321" s="861" t="s">
        <v>6919</v>
      </c>
      <c r="D1321" s="861" t="s">
        <v>371</v>
      </c>
      <c r="E1321" s="861"/>
      <c r="F1321" s="862"/>
      <c r="G1321" s="870" t="s">
        <v>6920</v>
      </c>
      <c r="H1321" s="874">
        <v>5358766.43</v>
      </c>
      <c r="I1321" s="871"/>
      <c r="J1321" s="861"/>
      <c r="K1321" s="868">
        <f t="shared" si="102"/>
        <v>316</v>
      </c>
      <c r="L1321" s="861"/>
      <c r="M1321" s="671">
        <f t="shared" si="103"/>
        <v>1319</v>
      </c>
      <c r="N1321" s="671" t="str">
        <f t="shared" si="104"/>
        <v>N/A</v>
      </c>
      <c r="O1321" s="671">
        <f t="shared" si="105"/>
        <v>708</v>
      </c>
      <c r="P1321" s="861" t="s">
        <v>1168</v>
      </c>
      <c r="Q1321" s="861" t="s">
        <v>6739</v>
      </c>
      <c r="R1321" s="861"/>
      <c r="S1321" s="861" t="s">
        <v>6921</v>
      </c>
      <c r="T1321" s="866" t="s">
        <v>6922</v>
      </c>
      <c r="U1321" s="865"/>
    </row>
    <row r="1322" spans="1:21" ht="15">
      <c r="A1322" s="672"/>
      <c r="B1322" s="861" t="s">
        <v>6923</v>
      </c>
      <c r="C1322" s="861" t="s">
        <v>6924</v>
      </c>
      <c r="D1322" s="861" t="s">
        <v>371</v>
      </c>
      <c r="E1322" s="861"/>
      <c r="F1322" s="862"/>
      <c r="G1322" s="869" t="e">
        <v>#DIV/0!</v>
      </c>
      <c r="H1322" s="874">
        <v>5338020.5599999996</v>
      </c>
      <c r="I1322" s="871"/>
      <c r="J1322" s="863" t="s">
        <v>6925</v>
      </c>
      <c r="K1322" s="868">
        <f t="shared" si="102"/>
        <v>316</v>
      </c>
      <c r="L1322" s="861" t="s">
        <v>1881</v>
      </c>
      <c r="M1322" s="671">
        <f t="shared" si="103"/>
        <v>1320</v>
      </c>
      <c r="N1322" s="671" t="str">
        <f t="shared" si="104"/>
        <v>N/A</v>
      </c>
      <c r="O1322" s="671" t="str">
        <f t="shared" si="105"/>
        <v>N/A</v>
      </c>
      <c r="P1322" s="861" t="s">
        <v>2190</v>
      </c>
      <c r="Q1322" s="861" t="s">
        <v>2938</v>
      </c>
      <c r="R1322" s="861"/>
      <c r="S1322" s="861" t="s">
        <v>6926</v>
      </c>
      <c r="T1322" s="866" t="s">
        <v>6927</v>
      </c>
      <c r="U1322" s="865"/>
    </row>
    <row r="1323" spans="1:21" ht="15">
      <c r="A1323" s="857"/>
      <c r="B1323" s="861" t="s">
        <v>6928</v>
      </c>
      <c r="C1323" s="861" t="s">
        <v>6929</v>
      </c>
      <c r="D1323" s="861" t="s">
        <v>371</v>
      </c>
      <c r="E1323" s="861"/>
      <c r="F1323" s="862"/>
      <c r="G1323" s="870" t="s">
        <v>6930</v>
      </c>
      <c r="H1323" s="874">
        <v>5336201.62</v>
      </c>
      <c r="I1323" s="871"/>
      <c r="J1323" s="863" t="s">
        <v>6931</v>
      </c>
      <c r="K1323" s="868">
        <f t="shared" si="102"/>
        <v>316</v>
      </c>
      <c r="L1323" s="863" t="s">
        <v>2094</v>
      </c>
      <c r="M1323" s="671">
        <f t="shared" si="103"/>
        <v>1321</v>
      </c>
      <c r="N1323" s="671" t="str">
        <f t="shared" si="104"/>
        <v>N/A</v>
      </c>
      <c r="O1323" s="671" t="str">
        <f t="shared" si="105"/>
        <v>N/A</v>
      </c>
      <c r="P1323" s="861" t="s">
        <v>6932</v>
      </c>
      <c r="Q1323" s="861" t="s">
        <v>6933</v>
      </c>
      <c r="R1323" s="861" t="s">
        <v>473</v>
      </c>
      <c r="S1323" s="861" t="s">
        <v>571</v>
      </c>
      <c r="T1323" s="866" t="s">
        <v>6934</v>
      </c>
      <c r="U1323" s="865"/>
    </row>
    <row r="1324" spans="1:21" ht="15">
      <c r="A1324" s="672"/>
      <c r="B1324" s="861" t="s">
        <v>6935</v>
      </c>
      <c r="C1324" s="861" t="s">
        <v>6936</v>
      </c>
      <c r="D1324" s="861" t="s">
        <v>371</v>
      </c>
      <c r="E1324" s="861"/>
      <c r="F1324" s="862"/>
      <c r="G1324" s="870" t="s">
        <v>6937</v>
      </c>
      <c r="H1324" s="874">
        <v>5290119.4400000004</v>
      </c>
      <c r="I1324" s="871"/>
      <c r="J1324" s="863" t="s">
        <v>4201</v>
      </c>
      <c r="K1324" s="868">
        <f t="shared" si="102"/>
        <v>316</v>
      </c>
      <c r="L1324" s="861"/>
      <c r="M1324" s="671">
        <f t="shared" si="103"/>
        <v>1322</v>
      </c>
      <c r="N1324" s="671" t="str">
        <f t="shared" si="104"/>
        <v>N/A</v>
      </c>
      <c r="O1324" s="671" t="str">
        <f t="shared" si="105"/>
        <v>N/A</v>
      </c>
      <c r="P1324" s="861" t="s">
        <v>3721</v>
      </c>
      <c r="Q1324" s="861" t="s">
        <v>2949</v>
      </c>
      <c r="R1324" s="861"/>
      <c r="S1324" s="861" t="s">
        <v>500</v>
      </c>
      <c r="T1324" s="866" t="s">
        <v>6938</v>
      </c>
      <c r="U1324" s="865"/>
    </row>
    <row r="1325" spans="1:21" ht="15">
      <c r="A1325" s="857"/>
      <c r="B1325" s="861" t="s">
        <v>6939</v>
      </c>
      <c r="C1325" s="861" t="s">
        <v>6940</v>
      </c>
      <c r="D1325" s="861" t="s">
        <v>371</v>
      </c>
      <c r="E1325" s="861"/>
      <c r="F1325" s="862"/>
      <c r="G1325" s="870" t="s">
        <v>6941</v>
      </c>
      <c r="H1325" s="874">
        <v>5287648.05</v>
      </c>
      <c r="I1325" s="871"/>
      <c r="J1325" s="863" t="s">
        <v>6942</v>
      </c>
      <c r="K1325" s="868">
        <f t="shared" si="102"/>
        <v>316</v>
      </c>
      <c r="L1325" s="861"/>
      <c r="M1325" s="671">
        <f t="shared" si="103"/>
        <v>1323</v>
      </c>
      <c r="N1325" s="671" t="str">
        <f t="shared" si="104"/>
        <v>N/A</v>
      </c>
      <c r="O1325" s="671" t="str">
        <f t="shared" si="105"/>
        <v>N/A</v>
      </c>
      <c r="P1325" s="861" t="s">
        <v>734</v>
      </c>
      <c r="Q1325" s="861" t="s">
        <v>533</v>
      </c>
      <c r="R1325" s="861"/>
      <c r="S1325" s="861" t="s">
        <v>2629</v>
      </c>
      <c r="T1325" s="866" t="s">
        <v>6943</v>
      </c>
      <c r="U1325" s="865"/>
    </row>
    <row r="1326" spans="1:21" ht="15">
      <c r="A1326" s="672"/>
      <c r="B1326" s="861" t="s">
        <v>6944</v>
      </c>
      <c r="C1326" s="861" t="s">
        <v>6945</v>
      </c>
      <c r="D1326" s="861" t="s">
        <v>371</v>
      </c>
      <c r="E1326" s="861"/>
      <c r="F1326" s="862"/>
      <c r="G1326" s="870" t="s">
        <v>6946</v>
      </c>
      <c r="H1326" s="874">
        <v>5285860.8899999997</v>
      </c>
      <c r="I1326" s="871"/>
      <c r="J1326" s="863" t="s">
        <v>6947</v>
      </c>
      <c r="K1326" s="868">
        <f t="shared" si="102"/>
        <v>316</v>
      </c>
      <c r="L1326" s="861" t="s">
        <v>904</v>
      </c>
      <c r="M1326" s="671">
        <f t="shared" si="103"/>
        <v>1324</v>
      </c>
      <c r="N1326" s="671" t="str">
        <f t="shared" si="104"/>
        <v>N/A</v>
      </c>
      <c r="O1326" s="671" t="str">
        <f t="shared" si="105"/>
        <v>N/A</v>
      </c>
      <c r="P1326" s="861" t="s">
        <v>6948</v>
      </c>
      <c r="Q1326" s="861" t="s">
        <v>6949</v>
      </c>
      <c r="R1326" s="861" t="s">
        <v>563</v>
      </c>
      <c r="S1326" s="861" t="s">
        <v>6950</v>
      </c>
      <c r="T1326" s="866" t="s">
        <v>6951</v>
      </c>
      <c r="U1326" s="865"/>
    </row>
    <row r="1327" spans="1:21" ht="15">
      <c r="A1327" s="857"/>
      <c r="B1327" s="861" t="s">
        <v>6952</v>
      </c>
      <c r="C1327" s="861" t="s">
        <v>6953</v>
      </c>
      <c r="D1327" s="861" t="s">
        <v>371</v>
      </c>
      <c r="E1327" s="861"/>
      <c r="F1327" s="862"/>
      <c r="G1327" s="870" t="s">
        <v>6954</v>
      </c>
      <c r="H1327" s="874">
        <v>5215554.6100000003</v>
      </c>
      <c r="I1327" s="871"/>
      <c r="J1327" s="862">
        <v>0.111</v>
      </c>
      <c r="K1327" s="868">
        <f t="shared" si="102"/>
        <v>316</v>
      </c>
      <c r="L1327" s="863" t="s">
        <v>4078</v>
      </c>
      <c r="M1327" s="671">
        <f t="shared" si="103"/>
        <v>1325</v>
      </c>
      <c r="N1327" s="671" t="str">
        <f t="shared" si="104"/>
        <v>N/A</v>
      </c>
      <c r="O1327" s="671">
        <f t="shared" si="105"/>
        <v>456</v>
      </c>
      <c r="P1327" s="861" t="s">
        <v>4498</v>
      </c>
      <c r="Q1327" s="861"/>
      <c r="R1327" s="863" t="s">
        <v>6955</v>
      </c>
      <c r="S1327" s="861" t="s">
        <v>2580</v>
      </c>
      <c r="T1327" s="866" t="s">
        <v>6956</v>
      </c>
      <c r="U1327" s="865"/>
    </row>
    <row r="1328" spans="1:21" ht="15">
      <c r="A1328" s="672"/>
      <c r="B1328" s="861" t="s">
        <v>6957</v>
      </c>
      <c r="C1328" s="861" t="s">
        <v>6958</v>
      </c>
      <c r="D1328" s="861" t="s">
        <v>371</v>
      </c>
      <c r="E1328" s="861"/>
      <c r="F1328" s="862"/>
      <c r="G1328" s="869">
        <v>4.3496812159999996</v>
      </c>
      <c r="H1328" s="874">
        <v>5209908.46</v>
      </c>
      <c r="I1328" s="871"/>
      <c r="J1328" s="863" t="s">
        <v>6959</v>
      </c>
      <c r="K1328" s="868">
        <f t="shared" si="102"/>
        <v>316</v>
      </c>
      <c r="L1328" s="863" t="s">
        <v>6960</v>
      </c>
      <c r="M1328" s="671">
        <f t="shared" si="103"/>
        <v>1326</v>
      </c>
      <c r="N1328" s="671" t="str">
        <f t="shared" si="104"/>
        <v>N/A</v>
      </c>
      <c r="O1328" s="671" t="str">
        <f t="shared" si="105"/>
        <v>N/A</v>
      </c>
      <c r="P1328" s="861" t="s">
        <v>3901</v>
      </c>
      <c r="Q1328" s="861" t="s">
        <v>6961</v>
      </c>
      <c r="R1328" s="861"/>
      <c r="S1328" s="861" t="s">
        <v>1558</v>
      </c>
      <c r="T1328" s="866" t="s">
        <v>6962</v>
      </c>
      <c r="U1328" s="865"/>
    </row>
    <row r="1329" spans="1:21" ht="15">
      <c r="A1329" s="857"/>
      <c r="B1329" s="861" t="s">
        <v>6963</v>
      </c>
      <c r="C1329" s="861" t="s">
        <v>6964</v>
      </c>
      <c r="D1329" s="861" t="s">
        <v>371</v>
      </c>
      <c r="E1329" s="861"/>
      <c r="F1329" s="862"/>
      <c r="G1329" s="870" t="s">
        <v>6965</v>
      </c>
      <c r="H1329" s="874">
        <v>5200450.97</v>
      </c>
      <c r="I1329" s="871"/>
      <c r="J1329" s="863" t="s">
        <v>1653</v>
      </c>
      <c r="K1329" s="868">
        <f t="shared" si="102"/>
        <v>316</v>
      </c>
      <c r="L1329" s="861"/>
      <c r="M1329" s="671">
        <f t="shared" si="103"/>
        <v>1327</v>
      </c>
      <c r="N1329" s="671" t="str">
        <f t="shared" si="104"/>
        <v>N/A</v>
      </c>
      <c r="O1329" s="671" t="str">
        <f t="shared" si="105"/>
        <v>N/A</v>
      </c>
      <c r="P1329" s="861"/>
      <c r="Q1329" s="861"/>
      <c r="R1329" s="861"/>
      <c r="S1329" s="861" t="s">
        <v>748</v>
      </c>
      <c r="T1329" s="866" t="s">
        <v>6966</v>
      </c>
      <c r="U1329" s="865"/>
    </row>
    <row r="1330" spans="1:21" ht="15">
      <c r="A1330" s="672"/>
      <c r="B1330" s="861" t="s">
        <v>6967</v>
      </c>
      <c r="C1330" s="861" t="s">
        <v>6968</v>
      </c>
      <c r="D1330" s="861" t="s">
        <v>371</v>
      </c>
      <c r="E1330" s="861"/>
      <c r="F1330" s="862"/>
      <c r="G1330" s="870" t="s">
        <v>6969</v>
      </c>
      <c r="H1330" s="874">
        <v>5124205.03</v>
      </c>
      <c r="I1330" s="871"/>
      <c r="J1330" s="863" t="s">
        <v>6970</v>
      </c>
      <c r="K1330" s="868">
        <f t="shared" si="102"/>
        <v>316</v>
      </c>
      <c r="L1330" s="861"/>
      <c r="M1330" s="671">
        <f t="shared" si="103"/>
        <v>1328</v>
      </c>
      <c r="N1330" s="671" t="str">
        <f t="shared" si="104"/>
        <v>N/A</v>
      </c>
      <c r="O1330" s="671" t="str">
        <f t="shared" si="105"/>
        <v>N/A</v>
      </c>
      <c r="P1330" s="861" t="s">
        <v>6971</v>
      </c>
      <c r="Q1330" s="861"/>
      <c r="R1330" s="861"/>
      <c r="S1330" s="861" t="s">
        <v>2080</v>
      </c>
      <c r="T1330" s="866" t="s">
        <v>6972</v>
      </c>
      <c r="U1330" s="865"/>
    </row>
    <row r="1331" spans="1:21" ht="15">
      <c r="A1331" s="857"/>
      <c r="B1331" s="861" t="s">
        <v>6973</v>
      </c>
      <c r="C1331" s="861" t="s">
        <v>6974</v>
      </c>
      <c r="D1331" s="861" t="s">
        <v>371</v>
      </c>
      <c r="E1331" s="861"/>
      <c r="F1331" s="862"/>
      <c r="G1331" s="870" t="s">
        <v>6975</v>
      </c>
      <c r="H1331" s="874">
        <v>5095200.2</v>
      </c>
      <c r="I1331" s="871"/>
      <c r="J1331" s="863" t="s">
        <v>6976</v>
      </c>
      <c r="K1331" s="868">
        <f t="shared" si="102"/>
        <v>316</v>
      </c>
      <c r="L1331" s="861"/>
      <c r="M1331" s="671">
        <f t="shared" si="103"/>
        <v>1329</v>
      </c>
      <c r="N1331" s="671" t="str">
        <f t="shared" si="104"/>
        <v>N/A</v>
      </c>
      <c r="O1331" s="671" t="str">
        <f t="shared" si="105"/>
        <v>N/A</v>
      </c>
      <c r="P1331" s="861" t="s">
        <v>1039</v>
      </c>
      <c r="Q1331" s="861" t="s">
        <v>2794</v>
      </c>
      <c r="R1331" s="861"/>
      <c r="S1331" s="861" t="s">
        <v>1640</v>
      </c>
      <c r="T1331" s="866" t="s">
        <v>6977</v>
      </c>
      <c r="U1331" s="865"/>
    </row>
    <row r="1332" spans="1:21" ht="15">
      <c r="A1332" s="672"/>
      <c r="B1332" s="861" t="s">
        <v>6978</v>
      </c>
      <c r="C1332" s="861" t="s">
        <v>6979</v>
      </c>
      <c r="D1332" s="861" t="s">
        <v>371</v>
      </c>
      <c r="E1332" s="861"/>
      <c r="F1332" s="862"/>
      <c r="G1332" s="870" t="s">
        <v>6980</v>
      </c>
      <c r="H1332" s="874">
        <v>5085795.5599999996</v>
      </c>
      <c r="I1332" s="871"/>
      <c r="J1332" s="861"/>
      <c r="K1332" s="868">
        <f t="shared" si="102"/>
        <v>316</v>
      </c>
      <c r="L1332" s="861" t="s">
        <v>2062</v>
      </c>
      <c r="M1332" s="671">
        <f t="shared" si="103"/>
        <v>1330</v>
      </c>
      <c r="N1332" s="671" t="str">
        <f t="shared" si="104"/>
        <v>N/A</v>
      </c>
      <c r="O1332" s="671">
        <f t="shared" si="105"/>
        <v>708</v>
      </c>
      <c r="P1332" s="861" t="s">
        <v>6981</v>
      </c>
      <c r="Q1332" s="861" t="s">
        <v>6982</v>
      </c>
      <c r="R1332" s="861" t="s">
        <v>819</v>
      </c>
      <c r="S1332" s="861" t="s">
        <v>1100</v>
      </c>
      <c r="T1332" s="866" t="s">
        <v>6983</v>
      </c>
      <c r="U1332" s="865"/>
    </row>
    <row r="1333" spans="1:21" ht="15">
      <c r="A1333" s="857"/>
      <c r="B1333" s="861" t="s">
        <v>6984</v>
      </c>
      <c r="C1333" s="861" t="s">
        <v>6985</v>
      </c>
      <c r="D1333" s="861" t="s">
        <v>371</v>
      </c>
      <c r="E1333" s="861"/>
      <c r="F1333" s="862"/>
      <c r="G1333" s="870" t="s">
        <v>6986</v>
      </c>
      <c r="H1333" s="874">
        <v>5066016.93</v>
      </c>
      <c r="I1333" s="871">
        <v>22.12</v>
      </c>
      <c r="J1333" s="862">
        <v>9.8000000000000004E-2</v>
      </c>
      <c r="K1333" s="868">
        <f t="shared" si="102"/>
        <v>316</v>
      </c>
      <c r="L1333" s="861"/>
      <c r="M1333" s="671">
        <f t="shared" si="103"/>
        <v>1331</v>
      </c>
      <c r="N1333" s="671">
        <f t="shared" si="104"/>
        <v>167</v>
      </c>
      <c r="O1333" s="671">
        <f t="shared" si="105"/>
        <v>504</v>
      </c>
      <c r="P1333" s="861" t="s">
        <v>881</v>
      </c>
      <c r="Q1333" s="861" t="s">
        <v>6987</v>
      </c>
      <c r="R1333" s="861"/>
      <c r="S1333" s="861" t="s">
        <v>5120</v>
      </c>
      <c r="T1333" s="866" t="s">
        <v>6988</v>
      </c>
      <c r="U1333" s="865"/>
    </row>
    <row r="1334" spans="1:21" ht="15">
      <c r="A1334" s="672"/>
      <c r="B1334" s="861" t="s">
        <v>6989</v>
      </c>
      <c r="C1334" s="861" t="s">
        <v>6990</v>
      </c>
      <c r="D1334" s="861" t="s">
        <v>371</v>
      </c>
      <c r="E1334" s="861"/>
      <c r="F1334" s="862"/>
      <c r="G1334" s="870" t="s">
        <v>6991</v>
      </c>
      <c r="H1334" s="874">
        <v>5035198.3099999996</v>
      </c>
      <c r="I1334" s="871"/>
      <c r="J1334" s="863" t="s">
        <v>6992</v>
      </c>
      <c r="K1334" s="868">
        <f t="shared" si="102"/>
        <v>316</v>
      </c>
      <c r="L1334" s="861"/>
      <c r="M1334" s="671">
        <f t="shared" si="103"/>
        <v>1332</v>
      </c>
      <c r="N1334" s="671" t="str">
        <f t="shared" si="104"/>
        <v>N/A</v>
      </c>
      <c r="O1334" s="671" t="str">
        <f t="shared" si="105"/>
        <v>N/A</v>
      </c>
      <c r="P1334" s="861" t="s">
        <v>793</v>
      </c>
      <c r="Q1334" s="861"/>
      <c r="R1334" s="863" t="s">
        <v>6993</v>
      </c>
      <c r="S1334" s="861" t="s">
        <v>1922</v>
      </c>
      <c r="T1334" s="866" t="s">
        <v>6994</v>
      </c>
      <c r="U1334" s="865"/>
    </row>
    <row r="1335" spans="1:21" ht="15">
      <c r="A1335" s="857"/>
      <c r="B1335" s="861" t="s">
        <v>6995</v>
      </c>
      <c r="C1335" s="861" t="s">
        <v>6996</v>
      </c>
      <c r="D1335" s="861" t="s">
        <v>371</v>
      </c>
      <c r="E1335" s="861"/>
      <c r="F1335" s="862"/>
      <c r="G1335" s="869">
        <v>0</v>
      </c>
      <c r="H1335" s="874">
        <v>5029545.08</v>
      </c>
      <c r="I1335" s="871"/>
      <c r="J1335" s="861"/>
      <c r="K1335" s="868">
        <f t="shared" si="102"/>
        <v>316</v>
      </c>
      <c r="L1335" s="861" t="s">
        <v>460</v>
      </c>
      <c r="M1335" s="671">
        <f t="shared" si="103"/>
        <v>1333</v>
      </c>
      <c r="N1335" s="671" t="str">
        <f t="shared" si="104"/>
        <v>N/A</v>
      </c>
      <c r="O1335" s="671">
        <f t="shared" si="105"/>
        <v>708</v>
      </c>
      <c r="P1335" s="861" t="s">
        <v>6997</v>
      </c>
      <c r="Q1335" s="861" t="s">
        <v>4870</v>
      </c>
      <c r="R1335" s="861" t="s">
        <v>2069</v>
      </c>
      <c r="S1335" s="861" t="s">
        <v>5170</v>
      </c>
      <c r="T1335" s="866" t="s">
        <v>6998</v>
      </c>
      <c r="U1335" s="865"/>
    </row>
    <row r="1336" spans="1:21" ht="15">
      <c r="A1336" s="672"/>
      <c r="B1336" s="861" t="s">
        <v>6999</v>
      </c>
      <c r="C1336" s="861" t="s">
        <v>7000</v>
      </c>
      <c r="D1336" s="861" t="s">
        <v>371</v>
      </c>
      <c r="E1336" s="861"/>
      <c r="F1336" s="862"/>
      <c r="G1336" s="869">
        <v>0</v>
      </c>
      <c r="H1336" s="874">
        <v>5016823.68</v>
      </c>
      <c r="I1336" s="871"/>
      <c r="J1336" s="861"/>
      <c r="K1336" s="868">
        <f t="shared" si="102"/>
        <v>316</v>
      </c>
      <c r="L1336" s="861"/>
      <c r="M1336" s="671">
        <f t="shared" si="103"/>
        <v>1334</v>
      </c>
      <c r="N1336" s="671" t="str">
        <f t="shared" si="104"/>
        <v>N/A</v>
      </c>
      <c r="O1336" s="671">
        <f t="shared" si="105"/>
        <v>708</v>
      </c>
      <c r="P1336" s="861" t="s">
        <v>2110</v>
      </c>
      <c r="Q1336" s="861" t="s">
        <v>7001</v>
      </c>
      <c r="R1336" s="861"/>
      <c r="S1336" s="861" t="s">
        <v>1377</v>
      </c>
      <c r="T1336" s="866" t="s">
        <v>7002</v>
      </c>
      <c r="U1336" s="865"/>
    </row>
    <row r="1337" spans="1:21" ht="15">
      <c r="A1337" s="857"/>
      <c r="B1337" s="861" t="s">
        <v>7003</v>
      </c>
      <c r="C1337" s="861" t="s">
        <v>7004</v>
      </c>
      <c r="D1337" s="861" t="s">
        <v>371</v>
      </c>
      <c r="E1337" s="861"/>
      <c r="F1337" s="862"/>
      <c r="G1337" s="869" t="e">
        <v>#DIV/0!</v>
      </c>
      <c r="H1337" s="874">
        <v>5007464.91</v>
      </c>
      <c r="I1337" s="871"/>
      <c r="J1337" s="862">
        <v>5.0000000000000001E-3</v>
      </c>
      <c r="K1337" s="868">
        <f t="shared" si="102"/>
        <v>316</v>
      </c>
      <c r="L1337" s="861" t="s">
        <v>526</v>
      </c>
      <c r="M1337" s="671">
        <f t="shared" si="103"/>
        <v>1335</v>
      </c>
      <c r="N1337" s="671" t="str">
        <f t="shared" si="104"/>
        <v>N/A</v>
      </c>
      <c r="O1337" s="671">
        <f t="shared" si="105"/>
        <v>695</v>
      </c>
      <c r="P1337" s="861" t="s">
        <v>3535</v>
      </c>
      <c r="Q1337" s="861" t="s">
        <v>7005</v>
      </c>
      <c r="R1337" s="861" t="s">
        <v>2069</v>
      </c>
      <c r="S1337" s="861" t="s">
        <v>1609</v>
      </c>
      <c r="T1337" s="866" t="s">
        <v>7006</v>
      </c>
      <c r="U1337" s="865"/>
    </row>
    <row r="1338" spans="1:21" ht="15">
      <c r="A1338" s="672"/>
      <c r="B1338" s="861" t="s">
        <v>7007</v>
      </c>
      <c r="C1338" s="861" t="s">
        <v>7008</v>
      </c>
      <c r="D1338" s="861" t="s">
        <v>371</v>
      </c>
      <c r="E1338" s="861"/>
      <c r="F1338" s="862"/>
      <c r="G1338" s="870" t="s">
        <v>7009</v>
      </c>
      <c r="H1338" s="874">
        <v>4992601.43</v>
      </c>
      <c r="I1338" s="871">
        <v>105.1</v>
      </c>
      <c r="J1338" s="863" t="s">
        <v>7010</v>
      </c>
      <c r="K1338" s="868">
        <f t="shared" si="102"/>
        <v>316</v>
      </c>
      <c r="L1338" s="863" t="s">
        <v>7011</v>
      </c>
      <c r="M1338" s="671">
        <f t="shared" si="103"/>
        <v>1336</v>
      </c>
      <c r="N1338" s="671">
        <f t="shared" si="104"/>
        <v>27</v>
      </c>
      <c r="O1338" s="671" t="str">
        <f t="shared" si="105"/>
        <v>N/A</v>
      </c>
      <c r="P1338" s="861" t="s">
        <v>2140</v>
      </c>
      <c r="Q1338" s="861"/>
      <c r="R1338" s="861"/>
      <c r="S1338" s="861" t="s">
        <v>6815</v>
      </c>
      <c r="T1338" s="866" t="s">
        <v>7012</v>
      </c>
      <c r="U1338" s="865"/>
    </row>
    <row r="1339" spans="1:21" ht="15">
      <c r="A1339" s="857"/>
      <c r="B1339" s="861" t="s">
        <v>7013</v>
      </c>
      <c r="C1339" s="861" t="s">
        <v>7014</v>
      </c>
      <c r="D1339" s="861" t="s">
        <v>371</v>
      </c>
      <c r="E1339" s="861"/>
      <c r="F1339" s="862"/>
      <c r="G1339" s="869">
        <v>0</v>
      </c>
      <c r="H1339" s="874">
        <v>4986805.75</v>
      </c>
      <c r="I1339" s="871">
        <v>16.100000000000001</v>
      </c>
      <c r="J1339" s="863"/>
      <c r="K1339" s="868">
        <f t="shared" si="102"/>
        <v>316</v>
      </c>
      <c r="L1339" s="863" t="s">
        <v>7015</v>
      </c>
      <c r="M1339" s="671">
        <f t="shared" si="103"/>
        <v>1337</v>
      </c>
      <c r="N1339" s="671">
        <f t="shared" si="104"/>
        <v>189</v>
      </c>
      <c r="O1339" s="671">
        <f t="shared" si="105"/>
        <v>708</v>
      </c>
      <c r="P1339" s="863" t="s">
        <v>4566</v>
      </c>
      <c r="Q1339" s="861"/>
      <c r="R1339" s="863" t="s">
        <v>7016</v>
      </c>
      <c r="S1339" s="861" t="s">
        <v>1848</v>
      </c>
      <c r="T1339" s="866" t="s">
        <v>7017</v>
      </c>
      <c r="U1339" s="865"/>
    </row>
    <row r="1340" spans="1:21" ht="15">
      <c r="A1340" s="672"/>
      <c r="B1340" s="861" t="s">
        <v>7018</v>
      </c>
      <c r="C1340" s="861" t="s">
        <v>7019</v>
      </c>
      <c r="D1340" s="861" t="s">
        <v>371</v>
      </c>
      <c r="E1340" s="861"/>
      <c r="F1340" s="862"/>
      <c r="G1340" s="870" t="s">
        <v>7020</v>
      </c>
      <c r="H1340" s="874">
        <v>4985195.2300000004</v>
      </c>
      <c r="I1340" s="871"/>
      <c r="J1340" s="863" t="s">
        <v>477</v>
      </c>
      <c r="K1340" s="868">
        <f t="shared" si="102"/>
        <v>316</v>
      </c>
      <c r="L1340" s="863" t="s">
        <v>1017</v>
      </c>
      <c r="M1340" s="671">
        <f t="shared" si="103"/>
        <v>1338</v>
      </c>
      <c r="N1340" s="671" t="str">
        <f t="shared" si="104"/>
        <v>N/A</v>
      </c>
      <c r="O1340" s="671" t="str">
        <f t="shared" si="105"/>
        <v>N/A</v>
      </c>
      <c r="P1340" s="861" t="s">
        <v>7021</v>
      </c>
      <c r="Q1340" s="861"/>
      <c r="R1340" s="863" t="s">
        <v>2330</v>
      </c>
      <c r="S1340" s="861" t="s">
        <v>3901</v>
      </c>
      <c r="T1340" s="866" t="s">
        <v>7022</v>
      </c>
      <c r="U1340" s="865"/>
    </row>
    <row r="1341" spans="1:21" ht="15">
      <c r="A1341" s="857"/>
      <c r="B1341" s="861" t="s">
        <v>7023</v>
      </c>
      <c r="C1341" s="861" t="s">
        <v>7024</v>
      </c>
      <c r="D1341" s="861" t="s">
        <v>371</v>
      </c>
      <c r="E1341" s="861"/>
      <c r="F1341" s="862"/>
      <c r="G1341" s="869">
        <v>0.88420998799999995</v>
      </c>
      <c r="H1341" s="874">
        <v>4954378.33</v>
      </c>
      <c r="I1341" s="871"/>
      <c r="J1341" s="862">
        <v>6.2E-2</v>
      </c>
      <c r="K1341" s="868">
        <f t="shared" si="102"/>
        <v>316</v>
      </c>
      <c r="L1341" s="861"/>
      <c r="M1341" s="671">
        <f t="shared" si="103"/>
        <v>1339</v>
      </c>
      <c r="N1341" s="671" t="str">
        <f t="shared" si="104"/>
        <v>N/A</v>
      </c>
      <c r="O1341" s="671">
        <f t="shared" si="105"/>
        <v>578</v>
      </c>
      <c r="P1341" s="861" t="s">
        <v>4127</v>
      </c>
      <c r="Q1341" s="861"/>
      <c r="R1341" s="861"/>
      <c r="S1341" s="861" t="s">
        <v>533</v>
      </c>
      <c r="T1341" s="866" t="s">
        <v>7025</v>
      </c>
      <c r="U1341" s="865"/>
    </row>
    <row r="1342" spans="1:21" ht="15">
      <c r="A1342" s="672"/>
      <c r="B1342" s="861" t="s">
        <v>7026</v>
      </c>
      <c r="C1342" s="861" t="s">
        <v>7027</v>
      </c>
      <c r="D1342" s="861" t="s">
        <v>371</v>
      </c>
      <c r="E1342" s="861"/>
      <c r="F1342" s="862"/>
      <c r="G1342" s="869">
        <v>1.59</v>
      </c>
      <c r="H1342" s="874">
        <v>4864839.0199999996</v>
      </c>
      <c r="I1342" s="871"/>
      <c r="J1342" s="863" t="s">
        <v>7028</v>
      </c>
      <c r="K1342" s="868">
        <f t="shared" si="102"/>
        <v>316</v>
      </c>
      <c r="L1342" s="861"/>
      <c r="M1342" s="671">
        <f t="shared" si="103"/>
        <v>1340</v>
      </c>
      <c r="N1342" s="671" t="str">
        <f t="shared" si="104"/>
        <v>N/A</v>
      </c>
      <c r="O1342" s="671" t="str">
        <f t="shared" si="105"/>
        <v>N/A</v>
      </c>
      <c r="P1342" s="861" t="s">
        <v>7029</v>
      </c>
      <c r="Q1342" s="861" t="s">
        <v>7030</v>
      </c>
      <c r="R1342" s="861"/>
      <c r="S1342" s="861" t="s">
        <v>473</v>
      </c>
      <c r="T1342" s="866" t="s">
        <v>7031</v>
      </c>
      <c r="U1342" s="865"/>
    </row>
    <row r="1343" spans="1:21" ht="15">
      <c r="A1343" s="857"/>
      <c r="B1343" s="861" t="s">
        <v>7032</v>
      </c>
      <c r="C1343" s="861" t="s">
        <v>7033</v>
      </c>
      <c r="D1343" s="861" t="s">
        <v>371</v>
      </c>
      <c r="E1343" s="861"/>
      <c r="F1343" s="862"/>
      <c r="G1343" s="870" t="s">
        <v>7034</v>
      </c>
      <c r="H1343" s="874">
        <v>4854060.91</v>
      </c>
      <c r="I1343" s="871"/>
      <c r="J1343" s="863"/>
      <c r="K1343" s="868">
        <f t="shared" si="102"/>
        <v>316</v>
      </c>
      <c r="L1343" s="861" t="s">
        <v>563</v>
      </c>
      <c r="M1343" s="671">
        <f t="shared" si="103"/>
        <v>1341</v>
      </c>
      <c r="N1343" s="671" t="str">
        <f t="shared" si="104"/>
        <v>N/A</v>
      </c>
      <c r="O1343" s="671">
        <f t="shared" si="105"/>
        <v>708</v>
      </c>
      <c r="P1343" s="861" t="s">
        <v>2376</v>
      </c>
      <c r="Q1343" s="861" t="s">
        <v>7035</v>
      </c>
      <c r="R1343" s="861" t="s">
        <v>690</v>
      </c>
      <c r="S1343" s="861" t="s">
        <v>2048</v>
      </c>
      <c r="T1343" s="866" t="s">
        <v>7036</v>
      </c>
      <c r="U1343" s="865"/>
    </row>
    <row r="1344" spans="1:21" ht="15">
      <c r="A1344" s="672"/>
      <c r="B1344" s="861" t="s">
        <v>7037</v>
      </c>
      <c r="C1344" s="861" t="s">
        <v>7038</v>
      </c>
      <c r="D1344" s="861" t="s">
        <v>371</v>
      </c>
      <c r="E1344" s="861"/>
      <c r="F1344" s="862"/>
      <c r="G1344" s="869" t="e">
        <v>#DIV/0!</v>
      </c>
      <c r="H1344" s="874">
        <v>4836978.57</v>
      </c>
      <c r="I1344" s="871"/>
      <c r="J1344" s="863" t="s">
        <v>7039</v>
      </c>
      <c r="K1344" s="868">
        <f t="shared" si="102"/>
        <v>316</v>
      </c>
      <c r="L1344" s="861" t="s">
        <v>1497</v>
      </c>
      <c r="M1344" s="671">
        <f t="shared" si="103"/>
        <v>1342</v>
      </c>
      <c r="N1344" s="671" t="str">
        <f t="shared" si="104"/>
        <v>N/A</v>
      </c>
      <c r="O1344" s="671" t="str">
        <f t="shared" si="105"/>
        <v>N/A</v>
      </c>
      <c r="P1344" s="861" t="s">
        <v>2110</v>
      </c>
      <c r="Q1344" s="861" t="s">
        <v>943</v>
      </c>
      <c r="R1344" s="861" t="s">
        <v>1497</v>
      </c>
      <c r="S1344" s="861" t="s">
        <v>7029</v>
      </c>
      <c r="T1344" s="866" t="s">
        <v>7040</v>
      </c>
      <c r="U1344" s="865"/>
    </row>
    <row r="1345" spans="1:21" ht="15">
      <c r="A1345" s="857"/>
      <c r="B1345" s="861" t="s">
        <v>7041</v>
      </c>
      <c r="C1345" s="861" t="s">
        <v>7042</v>
      </c>
      <c r="D1345" s="861" t="s">
        <v>371</v>
      </c>
      <c r="E1345" s="861"/>
      <c r="F1345" s="862"/>
      <c r="G1345" s="870" t="s">
        <v>7043</v>
      </c>
      <c r="H1345" s="874">
        <v>4784670.22</v>
      </c>
      <c r="I1345" s="871"/>
      <c r="J1345" s="863" t="s">
        <v>7044</v>
      </c>
      <c r="K1345" s="868">
        <f t="shared" si="102"/>
        <v>316</v>
      </c>
      <c r="L1345" s="861"/>
      <c r="M1345" s="671">
        <f t="shared" si="103"/>
        <v>1343</v>
      </c>
      <c r="N1345" s="671" t="str">
        <f t="shared" si="104"/>
        <v>N/A</v>
      </c>
      <c r="O1345" s="671" t="str">
        <f t="shared" si="105"/>
        <v>N/A</v>
      </c>
      <c r="P1345" s="863" t="s">
        <v>7045</v>
      </c>
      <c r="Q1345" s="861"/>
      <c r="R1345" s="861"/>
      <c r="S1345" s="861" t="s">
        <v>404</v>
      </c>
      <c r="T1345" s="866" t="s">
        <v>7046</v>
      </c>
      <c r="U1345" s="865"/>
    </row>
    <row r="1346" spans="1:21" ht="15">
      <c r="A1346" s="672"/>
      <c r="B1346" s="861" t="s">
        <v>7047</v>
      </c>
      <c r="C1346" s="861" t="s">
        <v>7048</v>
      </c>
      <c r="D1346" s="861" t="s">
        <v>371</v>
      </c>
      <c r="E1346" s="861"/>
      <c r="F1346" s="862"/>
      <c r="G1346" s="870" t="s">
        <v>7049</v>
      </c>
      <c r="H1346" s="874">
        <v>4779787.2</v>
      </c>
      <c r="I1346" s="871"/>
      <c r="J1346" s="863" t="s">
        <v>7050</v>
      </c>
      <c r="K1346" s="868">
        <f t="shared" si="102"/>
        <v>316</v>
      </c>
      <c r="L1346" s="861"/>
      <c r="M1346" s="671">
        <f t="shared" si="103"/>
        <v>1344</v>
      </c>
      <c r="N1346" s="671" t="str">
        <f t="shared" si="104"/>
        <v>N/A</v>
      </c>
      <c r="O1346" s="671" t="str">
        <f t="shared" si="105"/>
        <v>N/A</v>
      </c>
      <c r="P1346" s="861" t="s">
        <v>1127</v>
      </c>
      <c r="Q1346" s="861"/>
      <c r="R1346" s="861"/>
      <c r="S1346" s="861" t="s">
        <v>473</v>
      </c>
      <c r="T1346" s="866" t="s">
        <v>7051</v>
      </c>
      <c r="U1346" s="865"/>
    </row>
    <row r="1347" spans="1:21" ht="15">
      <c r="A1347" s="857"/>
      <c r="B1347" s="861" t="s">
        <v>7052</v>
      </c>
      <c r="C1347" s="861" t="s">
        <v>7053</v>
      </c>
      <c r="D1347" s="861" t="s">
        <v>371</v>
      </c>
      <c r="E1347" s="861"/>
      <c r="F1347" s="862"/>
      <c r="G1347" s="869">
        <v>0</v>
      </c>
      <c r="H1347" s="874">
        <v>4753377.07</v>
      </c>
      <c r="I1347" s="871"/>
      <c r="J1347" s="862">
        <v>3.6999999999999998E-2</v>
      </c>
      <c r="K1347" s="868">
        <f t="shared" si="102"/>
        <v>316</v>
      </c>
      <c r="L1347" s="861"/>
      <c r="M1347" s="671">
        <f t="shared" si="103"/>
        <v>1345</v>
      </c>
      <c r="N1347" s="671" t="str">
        <f t="shared" si="104"/>
        <v>N/A</v>
      </c>
      <c r="O1347" s="671">
        <f t="shared" si="105"/>
        <v>635</v>
      </c>
      <c r="P1347" s="861"/>
      <c r="Q1347" s="861"/>
      <c r="R1347" s="861"/>
      <c r="S1347" s="861" t="s">
        <v>904</v>
      </c>
      <c r="T1347" s="866" t="s">
        <v>7054</v>
      </c>
      <c r="U1347" s="865"/>
    </row>
    <row r="1348" spans="1:21" ht="15">
      <c r="A1348" s="672"/>
      <c r="B1348" s="861" t="s">
        <v>7055</v>
      </c>
      <c r="C1348" s="861" t="s">
        <v>7056</v>
      </c>
      <c r="D1348" s="861" t="s">
        <v>371</v>
      </c>
      <c r="E1348" s="861"/>
      <c r="F1348" s="862"/>
      <c r="G1348" s="869">
        <v>4.5912630810000001</v>
      </c>
      <c r="H1348" s="874">
        <v>4732035.32</v>
      </c>
      <c r="I1348" s="871"/>
      <c r="J1348" s="863" t="s">
        <v>6550</v>
      </c>
      <c r="K1348" s="868">
        <f t="shared" ref="K1348:K1411" si="106">IFERROR(_xlfn.RANK.EQ(F1348,F$3:F$1770),"N/A")</f>
        <v>316</v>
      </c>
      <c r="L1348" s="863" t="s">
        <v>4377</v>
      </c>
      <c r="M1348" s="671">
        <f t="shared" ref="M1348:M1411" si="107">IFERROR(_xlfn.RANK.EQ(H1348,H$3:H$1770),"N/A")</f>
        <v>1346</v>
      </c>
      <c r="N1348" s="671" t="str">
        <f t="shared" ref="N1348:N1411" si="108">IFERROR(_xlfn.RANK.EQ(I1348,I$3:I$1770),"N/A")</f>
        <v>N/A</v>
      </c>
      <c r="O1348" s="671" t="str">
        <f t="shared" ref="O1348:O1411" si="109">IFERROR(_xlfn.RANK.EQ(J1348,J$3:J$1770),"N/A")</f>
        <v>N/A</v>
      </c>
      <c r="P1348" s="861" t="s">
        <v>7057</v>
      </c>
      <c r="Q1348" s="861" t="s">
        <v>7058</v>
      </c>
      <c r="R1348" s="863" t="s">
        <v>7059</v>
      </c>
      <c r="S1348" s="861" t="s">
        <v>7060</v>
      </c>
      <c r="T1348" s="866" t="s">
        <v>7061</v>
      </c>
      <c r="U1348" s="865"/>
    </row>
    <row r="1349" spans="1:21" ht="15">
      <c r="A1349" s="857"/>
      <c r="B1349" s="861" t="s">
        <v>7062</v>
      </c>
      <c r="C1349" s="861" t="s">
        <v>7063</v>
      </c>
      <c r="D1349" s="861" t="s">
        <v>371</v>
      </c>
      <c r="E1349" s="861"/>
      <c r="F1349" s="862"/>
      <c r="G1349" s="870" t="s">
        <v>7064</v>
      </c>
      <c r="H1349" s="874">
        <v>4721534.63</v>
      </c>
      <c r="I1349" s="871"/>
      <c r="J1349" s="863" t="s">
        <v>5833</v>
      </c>
      <c r="K1349" s="868">
        <f t="shared" si="106"/>
        <v>316</v>
      </c>
      <c r="L1349" s="861" t="s">
        <v>904</v>
      </c>
      <c r="M1349" s="671">
        <f t="shared" si="107"/>
        <v>1347</v>
      </c>
      <c r="N1349" s="671" t="str">
        <f t="shared" si="108"/>
        <v>N/A</v>
      </c>
      <c r="O1349" s="671" t="str">
        <f t="shared" si="109"/>
        <v>N/A</v>
      </c>
      <c r="P1349" s="861" t="s">
        <v>1341</v>
      </c>
      <c r="Q1349" s="861" t="s">
        <v>7065</v>
      </c>
      <c r="R1349" s="861" t="s">
        <v>460</v>
      </c>
      <c r="S1349" s="861" t="s">
        <v>7066</v>
      </c>
      <c r="T1349" s="866" t="s">
        <v>7067</v>
      </c>
      <c r="U1349" s="865"/>
    </row>
    <row r="1350" spans="1:21" ht="15">
      <c r="A1350" s="672"/>
      <c r="B1350" s="861" t="s">
        <v>7068</v>
      </c>
      <c r="C1350" s="861" t="s">
        <v>7069</v>
      </c>
      <c r="D1350" s="861" t="s">
        <v>371</v>
      </c>
      <c r="E1350" s="861"/>
      <c r="F1350" s="862"/>
      <c r="G1350" s="870" t="s">
        <v>7070</v>
      </c>
      <c r="H1350" s="874">
        <v>4655157.1900000004</v>
      </c>
      <c r="I1350" s="871"/>
      <c r="J1350" s="861"/>
      <c r="K1350" s="868">
        <f t="shared" si="106"/>
        <v>316</v>
      </c>
      <c r="L1350" s="861" t="s">
        <v>473</v>
      </c>
      <c r="M1350" s="671">
        <f t="shared" si="107"/>
        <v>1348</v>
      </c>
      <c r="N1350" s="671" t="str">
        <f t="shared" si="108"/>
        <v>N/A</v>
      </c>
      <c r="O1350" s="671">
        <f t="shared" si="109"/>
        <v>708</v>
      </c>
      <c r="P1350" s="861" t="s">
        <v>7071</v>
      </c>
      <c r="Q1350" s="861" t="s">
        <v>7072</v>
      </c>
      <c r="R1350" s="861" t="s">
        <v>2459</v>
      </c>
      <c r="S1350" s="861" t="s">
        <v>7073</v>
      </c>
      <c r="T1350" s="866" t="s">
        <v>7074</v>
      </c>
      <c r="U1350" s="865"/>
    </row>
    <row r="1351" spans="1:21" ht="15">
      <c r="A1351" s="857"/>
      <c r="B1351" s="861" t="s">
        <v>7075</v>
      </c>
      <c r="C1351" s="861" t="s">
        <v>7076</v>
      </c>
      <c r="D1351" s="861" t="s">
        <v>371</v>
      </c>
      <c r="E1351" s="861"/>
      <c r="F1351" s="862">
        <v>-0.60899999999999999</v>
      </c>
      <c r="G1351" s="869">
        <v>0</v>
      </c>
      <c r="H1351" s="874">
        <v>4593256.38</v>
      </c>
      <c r="I1351" s="871"/>
      <c r="J1351" s="863" t="s">
        <v>7077</v>
      </c>
      <c r="K1351" s="868">
        <f t="shared" si="106"/>
        <v>482</v>
      </c>
      <c r="L1351" s="861"/>
      <c r="M1351" s="671">
        <f t="shared" si="107"/>
        <v>1349</v>
      </c>
      <c r="N1351" s="671" t="str">
        <f t="shared" si="108"/>
        <v>N/A</v>
      </c>
      <c r="O1351" s="671" t="str">
        <f t="shared" si="109"/>
        <v>N/A</v>
      </c>
      <c r="P1351" s="861" t="s">
        <v>2140</v>
      </c>
      <c r="Q1351" s="861" t="s">
        <v>1991</v>
      </c>
      <c r="R1351" s="861"/>
      <c r="S1351" s="861" t="s">
        <v>1709</v>
      </c>
      <c r="T1351" s="866" t="s">
        <v>7078</v>
      </c>
      <c r="U1351" s="865"/>
    </row>
    <row r="1352" spans="1:21" ht="15">
      <c r="A1352" s="672"/>
      <c r="B1352" s="861" t="s">
        <v>7079</v>
      </c>
      <c r="C1352" s="861" t="s">
        <v>7080</v>
      </c>
      <c r="D1352" s="861" t="s">
        <v>371</v>
      </c>
      <c r="E1352" s="861"/>
      <c r="F1352" s="862"/>
      <c r="G1352" s="870" t="s">
        <v>7081</v>
      </c>
      <c r="H1352" s="874">
        <v>4565655.38</v>
      </c>
      <c r="I1352" s="871"/>
      <c r="J1352" s="863" t="s">
        <v>7082</v>
      </c>
      <c r="K1352" s="868">
        <f t="shared" si="106"/>
        <v>316</v>
      </c>
      <c r="L1352" s="861"/>
      <c r="M1352" s="671">
        <f t="shared" si="107"/>
        <v>1350</v>
      </c>
      <c r="N1352" s="671" t="str">
        <f t="shared" si="108"/>
        <v>N/A</v>
      </c>
      <c r="O1352" s="671" t="str">
        <f t="shared" si="109"/>
        <v>N/A</v>
      </c>
      <c r="P1352" s="861" t="s">
        <v>3085</v>
      </c>
      <c r="Q1352" s="861" t="s">
        <v>7083</v>
      </c>
      <c r="R1352" s="861"/>
      <c r="S1352" s="861" t="s">
        <v>392</v>
      </c>
      <c r="T1352" s="866" t="s">
        <v>7084</v>
      </c>
      <c r="U1352" s="865"/>
    </row>
    <row r="1353" spans="1:21" ht="15">
      <c r="A1353" s="857"/>
      <c r="B1353" s="861" t="s">
        <v>7085</v>
      </c>
      <c r="C1353" s="861" t="s">
        <v>7086</v>
      </c>
      <c r="D1353" s="861" t="s">
        <v>371</v>
      </c>
      <c r="E1353" s="861"/>
      <c r="F1353" s="862"/>
      <c r="G1353" s="870" t="s">
        <v>7087</v>
      </c>
      <c r="H1353" s="874">
        <v>4565313.79</v>
      </c>
      <c r="I1353" s="871"/>
      <c r="J1353" s="863" t="s">
        <v>3254</v>
      </c>
      <c r="K1353" s="868">
        <f t="shared" si="106"/>
        <v>316</v>
      </c>
      <c r="L1353" s="861"/>
      <c r="M1353" s="671">
        <f t="shared" si="107"/>
        <v>1351</v>
      </c>
      <c r="N1353" s="671" t="str">
        <f t="shared" si="108"/>
        <v>N/A</v>
      </c>
      <c r="O1353" s="671" t="str">
        <f t="shared" si="109"/>
        <v>N/A</v>
      </c>
      <c r="P1353" s="861" t="s">
        <v>2190</v>
      </c>
      <c r="Q1353" s="861" t="s">
        <v>6240</v>
      </c>
      <c r="R1353" s="861"/>
      <c r="S1353" s="861" t="s">
        <v>5281</v>
      </c>
      <c r="T1353" s="866" t="s">
        <v>7088</v>
      </c>
      <c r="U1353" s="865"/>
    </row>
    <row r="1354" spans="1:21" ht="15">
      <c r="A1354" s="672"/>
      <c r="B1354" s="861" t="s">
        <v>7089</v>
      </c>
      <c r="C1354" s="861" t="s">
        <v>7090</v>
      </c>
      <c r="D1354" s="861" t="s">
        <v>371</v>
      </c>
      <c r="E1354" s="861"/>
      <c r="F1354" s="862"/>
      <c r="G1354" s="870" t="s">
        <v>7091</v>
      </c>
      <c r="H1354" s="874">
        <v>4542777.71</v>
      </c>
      <c r="I1354" s="871"/>
      <c r="J1354" s="863" t="s">
        <v>7092</v>
      </c>
      <c r="K1354" s="868">
        <f t="shared" si="106"/>
        <v>316</v>
      </c>
      <c r="L1354" s="861"/>
      <c r="M1354" s="671">
        <f t="shared" si="107"/>
        <v>1352</v>
      </c>
      <c r="N1354" s="671" t="str">
        <f t="shared" si="108"/>
        <v>N/A</v>
      </c>
      <c r="O1354" s="671" t="str">
        <f t="shared" si="109"/>
        <v>N/A</v>
      </c>
      <c r="P1354" s="861" t="s">
        <v>2613</v>
      </c>
      <c r="Q1354" s="861" t="s">
        <v>2291</v>
      </c>
      <c r="R1354" s="861"/>
      <c r="S1354" s="861" t="s">
        <v>1236</v>
      </c>
      <c r="T1354" s="866" t="s">
        <v>7093</v>
      </c>
      <c r="U1354" s="865"/>
    </row>
    <row r="1355" spans="1:21" ht="15">
      <c r="A1355" s="857"/>
      <c r="B1355" s="861" t="s">
        <v>7094</v>
      </c>
      <c r="C1355" s="861" t="s">
        <v>7095</v>
      </c>
      <c r="D1355" s="861" t="s">
        <v>371</v>
      </c>
      <c r="E1355" s="861"/>
      <c r="F1355" s="862"/>
      <c r="G1355" s="869">
        <v>0</v>
      </c>
      <c r="H1355" s="874">
        <v>4492808.6500000004</v>
      </c>
      <c r="I1355" s="871"/>
      <c r="J1355" s="863" t="s">
        <v>7096</v>
      </c>
      <c r="K1355" s="868">
        <f t="shared" si="106"/>
        <v>316</v>
      </c>
      <c r="L1355" s="861" t="s">
        <v>734</v>
      </c>
      <c r="M1355" s="671">
        <f t="shared" si="107"/>
        <v>1353</v>
      </c>
      <c r="N1355" s="671" t="str">
        <f t="shared" si="108"/>
        <v>N/A</v>
      </c>
      <c r="O1355" s="671" t="str">
        <f t="shared" si="109"/>
        <v>N/A</v>
      </c>
      <c r="P1355" s="861" t="s">
        <v>1789</v>
      </c>
      <c r="Q1355" s="861" t="s">
        <v>7097</v>
      </c>
      <c r="R1355" s="861" t="s">
        <v>1866</v>
      </c>
      <c r="S1355" s="861" t="s">
        <v>7098</v>
      </c>
      <c r="T1355" s="866" t="s">
        <v>7099</v>
      </c>
      <c r="U1355" s="865"/>
    </row>
    <row r="1356" spans="1:21" ht="15">
      <c r="A1356" s="672"/>
      <c r="B1356" s="861" t="s">
        <v>7100</v>
      </c>
      <c r="C1356" s="861" t="s">
        <v>7101</v>
      </c>
      <c r="D1356" s="861" t="s">
        <v>371</v>
      </c>
      <c r="E1356" s="861"/>
      <c r="F1356" s="862"/>
      <c r="G1356" s="870" t="s">
        <v>7102</v>
      </c>
      <c r="H1356" s="874">
        <v>4476175.5</v>
      </c>
      <c r="I1356" s="871"/>
      <c r="J1356" s="862">
        <v>0.90700000000000003</v>
      </c>
      <c r="K1356" s="868">
        <f t="shared" si="106"/>
        <v>316</v>
      </c>
      <c r="L1356" s="863" t="s">
        <v>7103</v>
      </c>
      <c r="M1356" s="671">
        <f t="shared" si="107"/>
        <v>1354</v>
      </c>
      <c r="N1356" s="671" t="str">
        <f t="shared" si="108"/>
        <v>N/A</v>
      </c>
      <c r="O1356" s="671">
        <f t="shared" si="109"/>
        <v>3</v>
      </c>
      <c r="P1356" s="861" t="s">
        <v>4288</v>
      </c>
      <c r="Q1356" s="861"/>
      <c r="R1356" s="863" t="s">
        <v>4377</v>
      </c>
      <c r="S1356" s="861" t="s">
        <v>7104</v>
      </c>
      <c r="T1356" s="866" t="s">
        <v>7105</v>
      </c>
      <c r="U1356" s="865"/>
    </row>
    <row r="1357" spans="1:21" ht="15">
      <c r="A1357" s="857"/>
      <c r="B1357" s="861" t="s">
        <v>7106</v>
      </c>
      <c r="C1357" s="861" t="s">
        <v>7107</v>
      </c>
      <c r="D1357" s="861" t="s">
        <v>371</v>
      </c>
      <c r="E1357" s="861"/>
      <c r="F1357" s="862"/>
      <c r="G1357" s="869">
        <v>0.110007799</v>
      </c>
      <c r="H1357" s="874">
        <v>4471573.83</v>
      </c>
      <c r="I1357" s="871"/>
      <c r="J1357" s="862">
        <v>0.10100000000000001</v>
      </c>
      <c r="K1357" s="868">
        <f t="shared" si="106"/>
        <v>316</v>
      </c>
      <c r="L1357" s="861"/>
      <c r="M1357" s="671">
        <f t="shared" si="107"/>
        <v>1355</v>
      </c>
      <c r="N1357" s="671" t="str">
        <f t="shared" si="108"/>
        <v>N/A</v>
      </c>
      <c r="O1357" s="671">
        <f t="shared" si="109"/>
        <v>492</v>
      </c>
      <c r="P1357" s="861" t="s">
        <v>540</v>
      </c>
      <c r="Q1357" s="861"/>
      <c r="R1357" s="861"/>
      <c r="S1357" s="861" t="s">
        <v>718</v>
      </c>
      <c r="T1357" s="866" t="s">
        <v>7108</v>
      </c>
      <c r="U1357" s="865"/>
    </row>
    <row r="1358" spans="1:21" ht="15">
      <c r="A1358" s="672"/>
      <c r="B1358" s="861" t="s">
        <v>7109</v>
      </c>
      <c r="C1358" s="861" t="s">
        <v>7110</v>
      </c>
      <c r="D1358" s="861" t="s">
        <v>371</v>
      </c>
      <c r="E1358" s="861"/>
      <c r="F1358" s="862"/>
      <c r="G1358" s="870" t="s">
        <v>7111</v>
      </c>
      <c r="H1358" s="874">
        <v>4449379.75</v>
      </c>
      <c r="I1358" s="871"/>
      <c r="J1358" s="863"/>
      <c r="K1358" s="868">
        <f t="shared" si="106"/>
        <v>316</v>
      </c>
      <c r="L1358" s="861" t="s">
        <v>3239</v>
      </c>
      <c r="M1358" s="671">
        <f t="shared" si="107"/>
        <v>1356</v>
      </c>
      <c r="N1358" s="671" t="str">
        <f t="shared" si="108"/>
        <v>N/A</v>
      </c>
      <c r="O1358" s="671">
        <f t="shared" si="109"/>
        <v>708</v>
      </c>
      <c r="P1358" s="861" t="s">
        <v>3168</v>
      </c>
      <c r="Q1358" s="861" t="s">
        <v>7112</v>
      </c>
      <c r="R1358" s="861" t="s">
        <v>563</v>
      </c>
      <c r="S1358" s="861" t="s">
        <v>4710</v>
      </c>
      <c r="T1358" s="866" t="s">
        <v>7113</v>
      </c>
      <c r="U1358" s="865"/>
    </row>
    <row r="1359" spans="1:21" ht="15">
      <c r="A1359" s="857"/>
      <c r="B1359" s="861" t="s">
        <v>7114</v>
      </c>
      <c r="C1359" s="861" t="s">
        <v>7115</v>
      </c>
      <c r="D1359" s="861" t="s">
        <v>371</v>
      </c>
      <c r="E1359" s="861"/>
      <c r="F1359" s="862"/>
      <c r="G1359" s="869" t="e">
        <v>#DIV/0!</v>
      </c>
      <c r="H1359" s="874">
        <v>4445031.6399999997</v>
      </c>
      <c r="I1359" s="871"/>
      <c r="J1359" s="863" t="s">
        <v>7116</v>
      </c>
      <c r="K1359" s="868">
        <f t="shared" si="106"/>
        <v>316</v>
      </c>
      <c r="L1359" s="863" t="s">
        <v>5963</v>
      </c>
      <c r="M1359" s="671">
        <f t="shared" si="107"/>
        <v>1357</v>
      </c>
      <c r="N1359" s="671" t="str">
        <f t="shared" si="108"/>
        <v>N/A</v>
      </c>
      <c r="O1359" s="671" t="str">
        <f t="shared" si="109"/>
        <v>N/A</v>
      </c>
      <c r="P1359" s="861" t="s">
        <v>1469</v>
      </c>
      <c r="Q1359" s="861"/>
      <c r="R1359" s="861"/>
      <c r="S1359" s="861" t="s">
        <v>3248</v>
      </c>
      <c r="T1359" s="866" t="s">
        <v>7117</v>
      </c>
      <c r="U1359" s="865"/>
    </row>
    <row r="1360" spans="1:21" ht="15">
      <c r="A1360" s="672"/>
      <c r="B1360" s="861" t="s">
        <v>7118</v>
      </c>
      <c r="C1360" s="861" t="s">
        <v>7119</v>
      </c>
      <c r="D1360" s="861" t="s">
        <v>371</v>
      </c>
      <c r="E1360" s="861"/>
      <c r="F1360" s="862"/>
      <c r="G1360" s="870" t="s">
        <v>7120</v>
      </c>
      <c r="H1360" s="874">
        <v>4434585.4400000004</v>
      </c>
      <c r="I1360" s="871"/>
      <c r="J1360" s="863"/>
      <c r="K1360" s="868">
        <f t="shared" si="106"/>
        <v>316</v>
      </c>
      <c r="L1360" s="861"/>
      <c r="M1360" s="671">
        <f t="shared" si="107"/>
        <v>1358</v>
      </c>
      <c r="N1360" s="671" t="str">
        <f t="shared" si="108"/>
        <v>N/A</v>
      </c>
      <c r="O1360" s="671">
        <f t="shared" si="109"/>
        <v>708</v>
      </c>
      <c r="P1360" s="861" t="s">
        <v>3159</v>
      </c>
      <c r="Q1360" s="861" t="s">
        <v>7121</v>
      </c>
      <c r="R1360" s="861"/>
      <c r="S1360" s="861" t="s">
        <v>623</v>
      </c>
      <c r="T1360" s="866" t="s">
        <v>7122</v>
      </c>
      <c r="U1360" s="865"/>
    </row>
    <row r="1361" spans="1:21" ht="15">
      <c r="A1361" s="857"/>
      <c r="B1361" s="861" t="s">
        <v>7123</v>
      </c>
      <c r="C1361" s="861" t="s">
        <v>7124</v>
      </c>
      <c r="D1361" s="861" t="s">
        <v>371</v>
      </c>
      <c r="E1361" s="861"/>
      <c r="F1361" s="862"/>
      <c r="G1361" s="869" t="e">
        <v>#DIV/0!</v>
      </c>
      <c r="H1361" s="874">
        <v>4404802.72</v>
      </c>
      <c r="I1361" s="871"/>
      <c r="J1361" s="863" t="s">
        <v>7125</v>
      </c>
      <c r="K1361" s="868">
        <f t="shared" si="106"/>
        <v>316</v>
      </c>
      <c r="L1361" s="863" t="s">
        <v>7126</v>
      </c>
      <c r="M1361" s="671">
        <f t="shared" si="107"/>
        <v>1359</v>
      </c>
      <c r="N1361" s="671" t="str">
        <f t="shared" si="108"/>
        <v>N/A</v>
      </c>
      <c r="O1361" s="671" t="str">
        <f t="shared" si="109"/>
        <v>N/A</v>
      </c>
      <c r="P1361" s="861" t="s">
        <v>498</v>
      </c>
      <c r="Q1361" s="861"/>
      <c r="R1361" s="863" t="s">
        <v>7127</v>
      </c>
      <c r="S1361" s="861" t="s">
        <v>7128</v>
      </c>
      <c r="T1361" s="866" t="s">
        <v>7129</v>
      </c>
      <c r="U1361" s="865"/>
    </row>
    <row r="1362" spans="1:21" ht="15">
      <c r="A1362" s="672"/>
      <c r="B1362" s="861" t="s">
        <v>7130</v>
      </c>
      <c r="C1362" s="861" t="s">
        <v>7131</v>
      </c>
      <c r="D1362" s="861" t="s">
        <v>371</v>
      </c>
      <c r="E1362" s="861"/>
      <c r="F1362" s="862"/>
      <c r="G1362" s="870" t="s">
        <v>7132</v>
      </c>
      <c r="H1362" s="874">
        <v>4371275.96</v>
      </c>
      <c r="I1362" s="871"/>
      <c r="J1362" s="861"/>
      <c r="K1362" s="868">
        <f t="shared" si="106"/>
        <v>316</v>
      </c>
      <c r="L1362" s="861"/>
      <c r="M1362" s="671">
        <f t="shared" si="107"/>
        <v>1360</v>
      </c>
      <c r="N1362" s="671" t="str">
        <f t="shared" si="108"/>
        <v>N/A</v>
      </c>
      <c r="O1362" s="671">
        <f t="shared" si="109"/>
        <v>708</v>
      </c>
      <c r="P1362" s="861" t="s">
        <v>2134</v>
      </c>
      <c r="Q1362" s="861" t="s">
        <v>7133</v>
      </c>
      <c r="R1362" s="861"/>
      <c r="S1362" s="861" t="s">
        <v>6879</v>
      </c>
      <c r="T1362" s="866" t="s">
        <v>7134</v>
      </c>
      <c r="U1362" s="865"/>
    </row>
    <row r="1363" spans="1:21" ht="15">
      <c r="A1363" s="857"/>
      <c r="B1363" s="861" t="s">
        <v>7135</v>
      </c>
      <c r="C1363" s="861" t="s">
        <v>7136</v>
      </c>
      <c r="D1363" s="861" t="s">
        <v>371</v>
      </c>
      <c r="E1363" s="861"/>
      <c r="F1363" s="862"/>
      <c r="G1363" s="870" t="s">
        <v>7137</v>
      </c>
      <c r="H1363" s="874">
        <v>4361734.82</v>
      </c>
      <c r="I1363" s="871"/>
      <c r="J1363" s="861"/>
      <c r="K1363" s="868">
        <f t="shared" si="106"/>
        <v>316</v>
      </c>
      <c r="L1363" s="861"/>
      <c r="M1363" s="671">
        <f t="shared" si="107"/>
        <v>1361</v>
      </c>
      <c r="N1363" s="671" t="str">
        <f t="shared" si="108"/>
        <v>N/A</v>
      </c>
      <c r="O1363" s="671">
        <f t="shared" si="109"/>
        <v>708</v>
      </c>
      <c r="P1363" s="861" t="s">
        <v>615</v>
      </c>
      <c r="Q1363" s="861" t="s">
        <v>7138</v>
      </c>
      <c r="R1363" s="861"/>
      <c r="S1363" s="861" t="s">
        <v>2407</v>
      </c>
      <c r="T1363" s="866" t="s">
        <v>7139</v>
      </c>
      <c r="U1363" s="865"/>
    </row>
    <row r="1364" spans="1:21" ht="15">
      <c r="A1364" s="672"/>
      <c r="B1364" s="861" t="s">
        <v>7140</v>
      </c>
      <c r="C1364" s="861" t="s">
        <v>7141</v>
      </c>
      <c r="D1364" s="861" t="s">
        <v>371</v>
      </c>
      <c r="E1364" s="861"/>
      <c r="F1364" s="862"/>
      <c r="G1364" s="870" t="s">
        <v>7142</v>
      </c>
      <c r="H1364" s="874">
        <v>4325462.82</v>
      </c>
      <c r="I1364" s="871"/>
      <c r="J1364" s="863" t="s">
        <v>7143</v>
      </c>
      <c r="K1364" s="868">
        <f t="shared" si="106"/>
        <v>316</v>
      </c>
      <c r="L1364" s="861"/>
      <c r="M1364" s="671">
        <f t="shared" si="107"/>
        <v>1362</v>
      </c>
      <c r="N1364" s="671" t="str">
        <f t="shared" si="108"/>
        <v>N/A</v>
      </c>
      <c r="O1364" s="671" t="str">
        <f t="shared" si="109"/>
        <v>N/A</v>
      </c>
      <c r="P1364" s="861"/>
      <c r="Q1364" s="861"/>
      <c r="R1364" s="861"/>
      <c r="S1364" s="861" t="s">
        <v>4192</v>
      </c>
      <c r="T1364" s="866" t="s">
        <v>7144</v>
      </c>
      <c r="U1364" s="865"/>
    </row>
    <row r="1365" spans="1:21" ht="15">
      <c r="A1365" s="857"/>
      <c r="B1365" s="861" t="s">
        <v>7145</v>
      </c>
      <c r="C1365" s="861" t="s">
        <v>7146</v>
      </c>
      <c r="D1365" s="861" t="s">
        <v>371</v>
      </c>
      <c r="E1365" s="861"/>
      <c r="F1365" s="862"/>
      <c r="G1365" s="869">
        <v>0</v>
      </c>
      <c r="H1365" s="874">
        <v>4311964.3099999996</v>
      </c>
      <c r="I1365" s="871"/>
      <c r="J1365" s="863" t="s">
        <v>7147</v>
      </c>
      <c r="K1365" s="868">
        <f t="shared" si="106"/>
        <v>316</v>
      </c>
      <c r="L1365" s="863" t="s">
        <v>5786</v>
      </c>
      <c r="M1365" s="671">
        <f t="shared" si="107"/>
        <v>1363</v>
      </c>
      <c r="N1365" s="671" t="str">
        <f t="shared" si="108"/>
        <v>N/A</v>
      </c>
      <c r="O1365" s="671" t="str">
        <f t="shared" si="109"/>
        <v>N/A</v>
      </c>
      <c r="P1365" s="861" t="s">
        <v>1098</v>
      </c>
      <c r="Q1365" s="861"/>
      <c r="R1365" s="863" t="s">
        <v>7148</v>
      </c>
      <c r="S1365" s="861" t="s">
        <v>1081</v>
      </c>
      <c r="T1365" s="866" t="s">
        <v>7149</v>
      </c>
      <c r="U1365" s="865"/>
    </row>
    <row r="1366" spans="1:21" ht="15">
      <c r="A1366" s="672"/>
      <c r="B1366" s="861" t="s">
        <v>7150</v>
      </c>
      <c r="C1366" s="861" t="s">
        <v>7151</v>
      </c>
      <c r="D1366" s="861" t="s">
        <v>371</v>
      </c>
      <c r="E1366" s="861"/>
      <c r="F1366" s="862"/>
      <c r="G1366" s="870" t="s">
        <v>7152</v>
      </c>
      <c r="H1366" s="874">
        <v>4246478.8899999997</v>
      </c>
      <c r="I1366" s="871"/>
      <c r="J1366" s="863" t="s">
        <v>5521</v>
      </c>
      <c r="K1366" s="868">
        <f t="shared" si="106"/>
        <v>316</v>
      </c>
      <c r="L1366" s="861" t="s">
        <v>2851</v>
      </c>
      <c r="M1366" s="671">
        <f t="shared" si="107"/>
        <v>1364</v>
      </c>
      <c r="N1366" s="671" t="str">
        <f t="shared" si="108"/>
        <v>N/A</v>
      </c>
      <c r="O1366" s="671" t="str">
        <f t="shared" si="109"/>
        <v>N/A</v>
      </c>
      <c r="P1366" s="861" t="s">
        <v>7153</v>
      </c>
      <c r="Q1366" s="861" t="s">
        <v>7154</v>
      </c>
      <c r="R1366" s="861" t="s">
        <v>718</v>
      </c>
      <c r="S1366" s="861" t="s">
        <v>6107</v>
      </c>
      <c r="T1366" s="866" t="s">
        <v>7155</v>
      </c>
      <c r="U1366" s="865"/>
    </row>
    <row r="1367" spans="1:21" ht="15">
      <c r="A1367" s="857"/>
      <c r="B1367" s="861" t="s">
        <v>7156</v>
      </c>
      <c r="C1367" s="861" t="s">
        <v>7157</v>
      </c>
      <c r="D1367" s="861" t="s">
        <v>371</v>
      </c>
      <c r="E1367" s="861"/>
      <c r="F1367" s="862"/>
      <c r="G1367" s="870" t="s">
        <v>7158</v>
      </c>
      <c r="H1367" s="874">
        <v>4239895.49</v>
      </c>
      <c r="I1367" s="871"/>
      <c r="J1367" s="863" t="s">
        <v>7159</v>
      </c>
      <c r="K1367" s="868">
        <f t="shared" si="106"/>
        <v>316</v>
      </c>
      <c r="L1367" s="863" t="s">
        <v>2094</v>
      </c>
      <c r="M1367" s="671">
        <f t="shared" si="107"/>
        <v>1365</v>
      </c>
      <c r="N1367" s="671" t="str">
        <f t="shared" si="108"/>
        <v>N/A</v>
      </c>
      <c r="O1367" s="671" t="str">
        <f t="shared" si="109"/>
        <v>N/A</v>
      </c>
      <c r="P1367" s="861" t="s">
        <v>1732</v>
      </c>
      <c r="Q1367" s="861"/>
      <c r="R1367" s="863" t="s">
        <v>7160</v>
      </c>
      <c r="S1367" s="861" t="s">
        <v>4721</v>
      </c>
      <c r="T1367" s="866" t="s">
        <v>7161</v>
      </c>
      <c r="U1367" s="865"/>
    </row>
    <row r="1368" spans="1:21" ht="15">
      <c r="A1368" s="672"/>
      <c r="B1368" s="861" t="s">
        <v>7162</v>
      </c>
      <c r="C1368" s="861" t="s">
        <v>7163</v>
      </c>
      <c r="D1368" s="861" t="s">
        <v>371</v>
      </c>
      <c r="E1368" s="861"/>
      <c r="F1368" s="862"/>
      <c r="G1368" s="870" t="s">
        <v>7164</v>
      </c>
      <c r="H1368" s="874">
        <v>4214553.2</v>
      </c>
      <c r="I1368" s="871"/>
      <c r="J1368" s="863"/>
      <c r="K1368" s="868">
        <f t="shared" si="106"/>
        <v>316</v>
      </c>
      <c r="L1368" s="861"/>
      <c r="M1368" s="671">
        <f t="shared" si="107"/>
        <v>1366</v>
      </c>
      <c r="N1368" s="671" t="str">
        <f t="shared" si="108"/>
        <v>N/A</v>
      </c>
      <c r="O1368" s="671">
        <f t="shared" si="109"/>
        <v>708</v>
      </c>
      <c r="P1368" s="861" t="s">
        <v>2062</v>
      </c>
      <c r="Q1368" s="861"/>
      <c r="R1368" s="861"/>
      <c r="S1368" s="861" t="s">
        <v>454</v>
      </c>
      <c r="T1368" s="866" t="s">
        <v>7165</v>
      </c>
      <c r="U1368" s="865"/>
    </row>
    <row r="1369" spans="1:21" ht="15">
      <c r="A1369" s="857"/>
      <c r="B1369" s="861" t="s">
        <v>7166</v>
      </c>
      <c r="C1369" s="861" t="s">
        <v>7167</v>
      </c>
      <c r="D1369" s="861" t="s">
        <v>371</v>
      </c>
      <c r="E1369" s="861"/>
      <c r="F1369" s="862"/>
      <c r="G1369" s="869" t="e">
        <v>#DIV/0!</v>
      </c>
      <c r="H1369" s="874">
        <v>4103649.3</v>
      </c>
      <c r="I1369" s="871"/>
      <c r="J1369" s="862">
        <v>0.247</v>
      </c>
      <c r="K1369" s="868">
        <f t="shared" si="106"/>
        <v>316</v>
      </c>
      <c r="L1369" s="861"/>
      <c r="M1369" s="671">
        <f t="shared" si="107"/>
        <v>1367</v>
      </c>
      <c r="N1369" s="671" t="str">
        <f t="shared" si="108"/>
        <v>N/A</v>
      </c>
      <c r="O1369" s="671">
        <f t="shared" si="109"/>
        <v>184</v>
      </c>
      <c r="P1369" s="861" t="s">
        <v>1676</v>
      </c>
      <c r="Q1369" s="861"/>
      <c r="R1369" s="861"/>
      <c r="S1369" s="861" t="s">
        <v>557</v>
      </c>
      <c r="T1369" s="866" t="s">
        <v>7168</v>
      </c>
      <c r="U1369" s="865"/>
    </row>
    <row r="1370" spans="1:21" ht="15">
      <c r="A1370" s="672"/>
      <c r="B1370" s="861" t="s">
        <v>7169</v>
      </c>
      <c r="C1370" s="861" t="s">
        <v>7170</v>
      </c>
      <c r="D1370" s="861" t="s">
        <v>371</v>
      </c>
      <c r="E1370" s="861"/>
      <c r="F1370" s="862"/>
      <c r="G1370" s="869">
        <v>14.792951540000001</v>
      </c>
      <c r="H1370" s="874">
        <v>4095245.22</v>
      </c>
      <c r="I1370" s="871"/>
      <c r="J1370" s="863" t="s">
        <v>7171</v>
      </c>
      <c r="K1370" s="868">
        <f t="shared" si="106"/>
        <v>316</v>
      </c>
      <c r="L1370" s="861"/>
      <c r="M1370" s="671">
        <f t="shared" si="107"/>
        <v>1368</v>
      </c>
      <c r="N1370" s="671" t="str">
        <f t="shared" si="108"/>
        <v>N/A</v>
      </c>
      <c r="O1370" s="671" t="str">
        <f t="shared" si="109"/>
        <v>N/A</v>
      </c>
      <c r="P1370" s="861" t="s">
        <v>2631</v>
      </c>
      <c r="Q1370" s="861"/>
      <c r="R1370" s="861"/>
      <c r="S1370" s="861" t="s">
        <v>392</v>
      </c>
      <c r="T1370" s="866" t="s">
        <v>7172</v>
      </c>
      <c r="U1370" s="865"/>
    </row>
    <row r="1371" spans="1:21" ht="15">
      <c r="A1371" s="857"/>
      <c r="B1371" s="861" t="s">
        <v>7173</v>
      </c>
      <c r="C1371" s="861" t="s">
        <v>7174</v>
      </c>
      <c r="D1371" s="861" t="s">
        <v>371</v>
      </c>
      <c r="E1371" s="861"/>
      <c r="F1371" s="862">
        <v>-0.96199999999999997</v>
      </c>
      <c r="G1371" s="869">
        <v>0</v>
      </c>
      <c r="H1371" s="874">
        <v>4090514.15</v>
      </c>
      <c r="I1371" s="871"/>
      <c r="J1371" s="863" t="s">
        <v>7175</v>
      </c>
      <c r="K1371" s="868">
        <f t="shared" si="106"/>
        <v>489</v>
      </c>
      <c r="L1371" s="861" t="s">
        <v>424</v>
      </c>
      <c r="M1371" s="671">
        <f t="shared" si="107"/>
        <v>1369</v>
      </c>
      <c r="N1371" s="671" t="str">
        <f t="shared" si="108"/>
        <v>N/A</v>
      </c>
      <c r="O1371" s="671" t="str">
        <f t="shared" si="109"/>
        <v>N/A</v>
      </c>
      <c r="P1371" s="861" t="s">
        <v>3239</v>
      </c>
      <c r="Q1371" s="861" t="s">
        <v>7176</v>
      </c>
      <c r="R1371" s="861" t="s">
        <v>424</v>
      </c>
      <c r="S1371" s="861" t="s">
        <v>473</v>
      </c>
      <c r="T1371" s="866" t="s">
        <v>7177</v>
      </c>
      <c r="U1371" s="865"/>
    </row>
    <row r="1372" spans="1:21" ht="15">
      <c r="A1372" s="672"/>
      <c r="B1372" s="861" t="s">
        <v>7178</v>
      </c>
      <c r="C1372" s="861" t="s">
        <v>7179</v>
      </c>
      <c r="D1372" s="861" t="s">
        <v>371</v>
      </c>
      <c r="E1372" s="861"/>
      <c r="F1372" s="862"/>
      <c r="G1372" s="870" t="s">
        <v>7180</v>
      </c>
      <c r="H1372" s="874">
        <v>4089539.39</v>
      </c>
      <c r="I1372" s="871"/>
      <c r="J1372" s="861"/>
      <c r="K1372" s="868">
        <f t="shared" si="106"/>
        <v>316</v>
      </c>
      <c r="L1372" s="861" t="s">
        <v>994</v>
      </c>
      <c r="M1372" s="671">
        <f t="shared" si="107"/>
        <v>1370</v>
      </c>
      <c r="N1372" s="671" t="str">
        <f t="shared" si="108"/>
        <v>N/A</v>
      </c>
      <c r="O1372" s="671">
        <f t="shared" si="109"/>
        <v>708</v>
      </c>
      <c r="P1372" s="861" t="s">
        <v>3929</v>
      </c>
      <c r="Q1372" s="861" t="s">
        <v>7181</v>
      </c>
      <c r="R1372" s="861" t="s">
        <v>2110</v>
      </c>
      <c r="S1372" s="861" t="s">
        <v>7182</v>
      </c>
      <c r="T1372" s="866" t="s">
        <v>7183</v>
      </c>
      <c r="U1372" s="865"/>
    </row>
    <row r="1373" spans="1:21" ht="15">
      <c r="A1373" s="857"/>
      <c r="B1373" s="861" t="s">
        <v>7184</v>
      </c>
      <c r="C1373" s="861" t="s">
        <v>7185</v>
      </c>
      <c r="D1373" s="861" t="s">
        <v>371</v>
      </c>
      <c r="E1373" s="861"/>
      <c r="F1373" s="862"/>
      <c r="G1373" s="869">
        <v>6.286561882</v>
      </c>
      <c r="H1373" s="874">
        <v>4008539.45</v>
      </c>
      <c r="I1373" s="871"/>
      <c r="J1373" s="863"/>
      <c r="K1373" s="868">
        <f t="shared" si="106"/>
        <v>316</v>
      </c>
      <c r="L1373" s="861"/>
      <c r="M1373" s="671">
        <f t="shared" si="107"/>
        <v>1371</v>
      </c>
      <c r="N1373" s="671" t="str">
        <f t="shared" si="108"/>
        <v>N/A</v>
      </c>
      <c r="O1373" s="671">
        <f t="shared" si="109"/>
        <v>708</v>
      </c>
      <c r="P1373" s="861" t="s">
        <v>4172</v>
      </c>
      <c r="Q1373" s="861"/>
      <c r="R1373" s="863" t="s">
        <v>7186</v>
      </c>
      <c r="S1373" s="861" t="s">
        <v>996</v>
      </c>
      <c r="T1373" s="866" t="s">
        <v>7187</v>
      </c>
      <c r="U1373" s="865"/>
    </row>
    <row r="1374" spans="1:21" ht="15">
      <c r="A1374" s="672"/>
      <c r="B1374" s="861" t="s">
        <v>7188</v>
      </c>
      <c r="C1374" s="861" t="s">
        <v>7189</v>
      </c>
      <c r="D1374" s="861" t="s">
        <v>371</v>
      </c>
      <c r="E1374" s="861"/>
      <c r="F1374" s="862"/>
      <c r="G1374" s="869" t="e">
        <v>#DIV/0!</v>
      </c>
      <c r="H1374" s="874">
        <v>4008354.01</v>
      </c>
      <c r="I1374" s="871"/>
      <c r="J1374" s="863"/>
      <c r="K1374" s="868">
        <f t="shared" si="106"/>
        <v>316</v>
      </c>
      <c r="L1374" s="863" t="s">
        <v>1017</v>
      </c>
      <c r="M1374" s="671">
        <f t="shared" si="107"/>
        <v>1372</v>
      </c>
      <c r="N1374" s="671" t="str">
        <f t="shared" si="108"/>
        <v>N/A</v>
      </c>
      <c r="O1374" s="671">
        <f t="shared" si="109"/>
        <v>708</v>
      </c>
      <c r="P1374" s="861" t="s">
        <v>1425</v>
      </c>
      <c r="Q1374" s="861" t="s">
        <v>5382</v>
      </c>
      <c r="R1374" s="863" t="s">
        <v>1768</v>
      </c>
      <c r="S1374" s="861" t="s">
        <v>1246</v>
      </c>
      <c r="T1374" s="866" t="s">
        <v>7190</v>
      </c>
      <c r="U1374" s="865"/>
    </row>
    <row r="1375" spans="1:21" ht="15">
      <c r="A1375" s="857"/>
      <c r="B1375" s="861" t="s">
        <v>7191</v>
      </c>
      <c r="C1375" s="861" t="s">
        <v>7192</v>
      </c>
      <c r="D1375" s="861" t="s">
        <v>371</v>
      </c>
      <c r="E1375" s="861"/>
      <c r="F1375" s="862"/>
      <c r="G1375" s="870" t="s">
        <v>7193</v>
      </c>
      <c r="H1375" s="874">
        <v>3980472.31</v>
      </c>
      <c r="I1375" s="872" t="s">
        <v>7194</v>
      </c>
      <c r="J1375" s="863" t="s">
        <v>7195</v>
      </c>
      <c r="K1375" s="868">
        <f t="shared" si="106"/>
        <v>316</v>
      </c>
      <c r="L1375" s="861"/>
      <c r="M1375" s="671">
        <f t="shared" si="107"/>
        <v>1373</v>
      </c>
      <c r="N1375" s="671" t="str">
        <f t="shared" si="108"/>
        <v>N/A</v>
      </c>
      <c r="O1375" s="671" t="str">
        <f t="shared" si="109"/>
        <v>N/A</v>
      </c>
      <c r="P1375" s="861" t="s">
        <v>569</v>
      </c>
      <c r="Q1375" s="861"/>
      <c r="R1375" s="861"/>
      <c r="S1375" s="861" t="s">
        <v>3535</v>
      </c>
      <c r="T1375" s="866" t="s">
        <v>7196</v>
      </c>
      <c r="U1375" s="865"/>
    </row>
    <row r="1376" spans="1:21" ht="15">
      <c r="A1376" s="672"/>
      <c r="B1376" s="861" t="s">
        <v>7197</v>
      </c>
      <c r="C1376" s="861" t="s">
        <v>7198</v>
      </c>
      <c r="D1376" s="861" t="s">
        <v>371</v>
      </c>
      <c r="E1376" s="861"/>
      <c r="F1376" s="862"/>
      <c r="G1376" s="870" t="s">
        <v>7199</v>
      </c>
      <c r="H1376" s="874">
        <v>3967232.95</v>
      </c>
      <c r="I1376" s="871"/>
      <c r="J1376" s="863" t="s">
        <v>7200</v>
      </c>
      <c r="K1376" s="868">
        <f t="shared" si="106"/>
        <v>316</v>
      </c>
      <c r="L1376" s="861"/>
      <c r="M1376" s="671">
        <f t="shared" si="107"/>
        <v>1374</v>
      </c>
      <c r="N1376" s="671" t="str">
        <f t="shared" si="108"/>
        <v>N/A</v>
      </c>
      <c r="O1376" s="671" t="str">
        <f t="shared" si="109"/>
        <v>N/A</v>
      </c>
      <c r="P1376" s="861" t="s">
        <v>587</v>
      </c>
      <c r="Q1376" s="861"/>
      <c r="R1376" s="861"/>
      <c r="S1376" s="861" t="s">
        <v>7201</v>
      </c>
      <c r="T1376" s="866" t="s">
        <v>7202</v>
      </c>
      <c r="U1376" s="865"/>
    </row>
    <row r="1377" spans="1:21" ht="15">
      <c r="A1377" s="857"/>
      <c r="B1377" s="861" t="s">
        <v>7203</v>
      </c>
      <c r="C1377" s="861" t="s">
        <v>7204</v>
      </c>
      <c r="D1377" s="861" t="s">
        <v>371</v>
      </c>
      <c r="E1377" s="861"/>
      <c r="F1377" s="862"/>
      <c r="G1377" s="870" t="s">
        <v>7205</v>
      </c>
      <c r="H1377" s="874">
        <v>3946898.65</v>
      </c>
      <c r="I1377" s="871"/>
      <c r="J1377" s="863" t="s">
        <v>7206</v>
      </c>
      <c r="K1377" s="868">
        <f t="shared" si="106"/>
        <v>316</v>
      </c>
      <c r="L1377" s="861"/>
      <c r="M1377" s="671">
        <f t="shared" si="107"/>
        <v>1375</v>
      </c>
      <c r="N1377" s="671" t="str">
        <f t="shared" si="108"/>
        <v>N/A</v>
      </c>
      <c r="O1377" s="671" t="str">
        <f t="shared" si="109"/>
        <v>N/A</v>
      </c>
      <c r="P1377" s="861"/>
      <c r="Q1377" s="861"/>
      <c r="R1377" s="861"/>
      <c r="S1377" s="861" t="s">
        <v>1881</v>
      </c>
      <c r="T1377" s="866" t="s">
        <v>7207</v>
      </c>
      <c r="U1377" s="865"/>
    </row>
    <row r="1378" spans="1:21" ht="15">
      <c r="A1378" s="672"/>
      <c r="B1378" s="861" t="s">
        <v>7208</v>
      </c>
      <c r="C1378" s="861" t="s">
        <v>7209</v>
      </c>
      <c r="D1378" s="861" t="s">
        <v>371</v>
      </c>
      <c r="E1378" s="861"/>
      <c r="F1378" s="862"/>
      <c r="G1378" s="870" t="s">
        <v>7210</v>
      </c>
      <c r="H1378" s="874">
        <v>3932864.77</v>
      </c>
      <c r="I1378" s="871"/>
      <c r="J1378" s="863" t="s">
        <v>7211</v>
      </c>
      <c r="K1378" s="868">
        <f t="shared" si="106"/>
        <v>316</v>
      </c>
      <c r="L1378" s="861" t="s">
        <v>424</v>
      </c>
      <c r="M1378" s="671">
        <f t="shared" si="107"/>
        <v>1376</v>
      </c>
      <c r="N1378" s="671" t="str">
        <f t="shared" si="108"/>
        <v>N/A</v>
      </c>
      <c r="O1378" s="671" t="str">
        <f t="shared" si="109"/>
        <v>N/A</v>
      </c>
      <c r="P1378" s="861" t="s">
        <v>2478</v>
      </c>
      <c r="Q1378" s="861"/>
      <c r="R1378" s="863" t="s">
        <v>1017</v>
      </c>
      <c r="S1378" s="861" t="s">
        <v>1640</v>
      </c>
      <c r="T1378" s="866" t="s">
        <v>7212</v>
      </c>
      <c r="U1378" s="865"/>
    </row>
    <row r="1379" spans="1:21" ht="15">
      <c r="A1379" s="857"/>
      <c r="B1379" s="861" t="s">
        <v>7213</v>
      </c>
      <c r="C1379" s="861" t="s">
        <v>7214</v>
      </c>
      <c r="D1379" s="861" t="s">
        <v>371</v>
      </c>
      <c r="E1379" s="861"/>
      <c r="F1379" s="862"/>
      <c r="G1379" s="870" t="s">
        <v>7215</v>
      </c>
      <c r="H1379" s="874">
        <v>3906174.82</v>
      </c>
      <c r="I1379" s="871"/>
      <c r="J1379" s="863"/>
      <c r="K1379" s="868">
        <f t="shared" si="106"/>
        <v>316</v>
      </c>
      <c r="L1379" s="861"/>
      <c r="M1379" s="671">
        <f t="shared" si="107"/>
        <v>1377</v>
      </c>
      <c r="N1379" s="671" t="str">
        <f t="shared" si="108"/>
        <v>N/A</v>
      </c>
      <c r="O1379" s="671">
        <f t="shared" si="109"/>
        <v>708</v>
      </c>
      <c r="P1379" s="861" t="s">
        <v>994</v>
      </c>
      <c r="Q1379" s="861"/>
      <c r="R1379" s="861"/>
      <c r="S1379" s="861" t="s">
        <v>734</v>
      </c>
      <c r="T1379" s="866" t="s">
        <v>7216</v>
      </c>
      <c r="U1379" s="865"/>
    </row>
    <row r="1380" spans="1:21" ht="15">
      <c r="A1380" s="672"/>
      <c r="B1380" s="861" t="s">
        <v>7217</v>
      </c>
      <c r="C1380" s="861" t="s">
        <v>7218</v>
      </c>
      <c r="D1380" s="861" t="s">
        <v>371</v>
      </c>
      <c r="E1380" s="861"/>
      <c r="F1380" s="862"/>
      <c r="G1380" s="870" t="s">
        <v>7219</v>
      </c>
      <c r="H1380" s="874">
        <v>3902027.91</v>
      </c>
      <c r="I1380" s="871"/>
      <c r="J1380" s="862">
        <v>0.376</v>
      </c>
      <c r="K1380" s="868">
        <f t="shared" si="106"/>
        <v>316</v>
      </c>
      <c r="L1380" s="861"/>
      <c r="M1380" s="671">
        <f t="shared" si="107"/>
        <v>1378</v>
      </c>
      <c r="N1380" s="671" t="str">
        <f t="shared" si="108"/>
        <v>N/A</v>
      </c>
      <c r="O1380" s="671">
        <f t="shared" si="109"/>
        <v>68</v>
      </c>
      <c r="P1380" s="861"/>
      <c r="Q1380" s="861"/>
      <c r="R1380" s="861"/>
      <c r="S1380" s="861" t="s">
        <v>1168</v>
      </c>
      <c r="T1380" s="866" t="s">
        <v>7220</v>
      </c>
      <c r="U1380" s="865"/>
    </row>
    <row r="1381" spans="1:21" ht="15">
      <c r="A1381" s="857"/>
      <c r="B1381" s="861" t="s">
        <v>7221</v>
      </c>
      <c r="C1381" s="861" t="s">
        <v>7222</v>
      </c>
      <c r="D1381" s="861" t="s">
        <v>371</v>
      </c>
      <c r="E1381" s="861"/>
      <c r="F1381" s="862"/>
      <c r="G1381" s="869">
        <v>0.91626794300000003</v>
      </c>
      <c r="H1381" s="874">
        <v>3843997.23</v>
      </c>
      <c r="I1381" s="871"/>
      <c r="J1381" s="861"/>
      <c r="K1381" s="868">
        <f t="shared" si="106"/>
        <v>316</v>
      </c>
      <c r="L1381" s="861"/>
      <c r="M1381" s="671">
        <f t="shared" si="107"/>
        <v>1379</v>
      </c>
      <c r="N1381" s="671" t="str">
        <f t="shared" si="108"/>
        <v>N/A</v>
      </c>
      <c r="O1381" s="671">
        <f t="shared" si="109"/>
        <v>708</v>
      </c>
      <c r="P1381" s="861" t="s">
        <v>1081</v>
      </c>
      <c r="Q1381" s="861" t="s">
        <v>1265</v>
      </c>
      <c r="R1381" s="861"/>
      <c r="S1381" s="861" t="s">
        <v>3476</v>
      </c>
      <c r="T1381" s="866" t="s">
        <v>7223</v>
      </c>
      <c r="U1381" s="865"/>
    </row>
    <row r="1382" spans="1:21" ht="15">
      <c r="A1382" s="672"/>
      <c r="B1382" s="861" t="s">
        <v>7224</v>
      </c>
      <c r="C1382" s="861" t="s">
        <v>7225</v>
      </c>
      <c r="D1382" s="861" t="s">
        <v>371</v>
      </c>
      <c r="E1382" s="861"/>
      <c r="F1382" s="862"/>
      <c r="G1382" s="869" t="e">
        <v>#DIV/0!</v>
      </c>
      <c r="H1382" s="874">
        <v>3838862.69</v>
      </c>
      <c r="I1382" s="871"/>
      <c r="J1382" s="861" t="s">
        <v>3441</v>
      </c>
      <c r="K1382" s="868">
        <f t="shared" si="106"/>
        <v>316</v>
      </c>
      <c r="L1382" s="863" t="s">
        <v>4085</v>
      </c>
      <c r="M1382" s="671">
        <f t="shared" si="107"/>
        <v>1380</v>
      </c>
      <c r="N1382" s="671" t="str">
        <f t="shared" si="108"/>
        <v>N/A</v>
      </c>
      <c r="O1382" s="671" t="str">
        <f t="shared" si="109"/>
        <v>N/A</v>
      </c>
      <c r="P1382" s="861" t="s">
        <v>2026</v>
      </c>
      <c r="Q1382" s="861" t="s">
        <v>7226</v>
      </c>
      <c r="R1382" s="863" t="s">
        <v>2639</v>
      </c>
      <c r="S1382" s="861" t="s">
        <v>534</v>
      </c>
      <c r="T1382" s="866" t="s">
        <v>7227</v>
      </c>
      <c r="U1382" s="865"/>
    </row>
    <row r="1383" spans="1:21" ht="15">
      <c r="A1383" s="857"/>
      <c r="B1383" s="861" t="s">
        <v>7228</v>
      </c>
      <c r="C1383" s="861" t="s">
        <v>7229</v>
      </c>
      <c r="D1383" s="861" t="s">
        <v>371</v>
      </c>
      <c r="E1383" s="861"/>
      <c r="F1383" s="862"/>
      <c r="G1383" s="870" t="s">
        <v>7230</v>
      </c>
      <c r="H1383" s="874">
        <v>3833679.5</v>
      </c>
      <c r="I1383" s="871"/>
      <c r="J1383" s="863"/>
      <c r="K1383" s="868">
        <f t="shared" si="106"/>
        <v>316</v>
      </c>
      <c r="L1383" s="863" t="s">
        <v>937</v>
      </c>
      <c r="M1383" s="671">
        <f t="shared" si="107"/>
        <v>1381</v>
      </c>
      <c r="N1383" s="671" t="str">
        <f t="shared" si="108"/>
        <v>N/A</v>
      </c>
      <c r="O1383" s="671">
        <f t="shared" si="109"/>
        <v>708</v>
      </c>
      <c r="P1383" s="861" t="s">
        <v>4489</v>
      </c>
      <c r="Q1383" s="861"/>
      <c r="R1383" s="863" t="s">
        <v>1032</v>
      </c>
      <c r="S1383" s="861" t="s">
        <v>881</v>
      </c>
      <c r="T1383" s="866" t="s">
        <v>7231</v>
      </c>
      <c r="U1383" s="865"/>
    </row>
    <row r="1384" spans="1:21" ht="15">
      <c r="A1384" s="672"/>
      <c r="B1384" s="861" t="s">
        <v>7232</v>
      </c>
      <c r="C1384" s="861" t="s">
        <v>7233</v>
      </c>
      <c r="D1384" s="861" t="s">
        <v>371</v>
      </c>
      <c r="E1384" s="861"/>
      <c r="F1384" s="862"/>
      <c r="G1384" s="870" t="s">
        <v>7234</v>
      </c>
      <c r="H1384" s="874">
        <v>3802804.62</v>
      </c>
      <c r="I1384" s="871"/>
      <c r="J1384" s="863" t="s">
        <v>7235</v>
      </c>
      <c r="K1384" s="868">
        <f t="shared" si="106"/>
        <v>316</v>
      </c>
      <c r="L1384" s="861"/>
      <c r="M1384" s="671">
        <f t="shared" si="107"/>
        <v>1382</v>
      </c>
      <c r="N1384" s="671" t="str">
        <f t="shared" si="108"/>
        <v>N/A</v>
      </c>
      <c r="O1384" s="671" t="str">
        <f t="shared" si="109"/>
        <v>N/A</v>
      </c>
      <c r="P1384" s="861"/>
      <c r="Q1384" s="861"/>
      <c r="R1384" s="861"/>
      <c r="S1384" s="861" t="s">
        <v>7236</v>
      </c>
      <c r="T1384" s="866" t="s">
        <v>7237</v>
      </c>
      <c r="U1384" s="865"/>
    </row>
    <row r="1385" spans="1:21" ht="15">
      <c r="A1385" s="857"/>
      <c r="B1385" s="861" t="s">
        <v>7238</v>
      </c>
      <c r="C1385" s="861" t="s">
        <v>7239</v>
      </c>
      <c r="D1385" s="861" t="s">
        <v>371</v>
      </c>
      <c r="E1385" s="861"/>
      <c r="F1385" s="862">
        <v>-0.65200000000000002</v>
      </c>
      <c r="G1385" s="870" t="s">
        <v>7240</v>
      </c>
      <c r="H1385" s="874">
        <v>3776284.91</v>
      </c>
      <c r="I1385" s="871"/>
      <c r="J1385" s="863"/>
      <c r="K1385" s="868">
        <f t="shared" si="106"/>
        <v>484</v>
      </c>
      <c r="L1385" s="861" t="s">
        <v>2069</v>
      </c>
      <c r="M1385" s="671">
        <f t="shared" si="107"/>
        <v>1383</v>
      </c>
      <c r="N1385" s="671" t="str">
        <f t="shared" si="108"/>
        <v>N/A</v>
      </c>
      <c r="O1385" s="671">
        <f t="shared" si="109"/>
        <v>708</v>
      </c>
      <c r="P1385" s="861" t="s">
        <v>1406</v>
      </c>
      <c r="Q1385" s="861"/>
      <c r="R1385" s="863" t="s">
        <v>7241</v>
      </c>
      <c r="S1385" s="861" t="s">
        <v>7242</v>
      </c>
      <c r="T1385" s="866" t="s">
        <v>7243</v>
      </c>
      <c r="U1385" s="865"/>
    </row>
    <row r="1386" spans="1:21" ht="15">
      <c r="A1386" s="672"/>
      <c r="B1386" s="861" t="s">
        <v>7244</v>
      </c>
      <c r="C1386" s="861" t="s">
        <v>7245</v>
      </c>
      <c r="D1386" s="861" t="s">
        <v>371</v>
      </c>
      <c r="E1386" s="861"/>
      <c r="F1386" s="862"/>
      <c r="G1386" s="870" t="s">
        <v>7246</v>
      </c>
      <c r="H1386" s="874">
        <v>3772262.09</v>
      </c>
      <c r="I1386" s="872" t="s">
        <v>7247</v>
      </c>
      <c r="J1386" s="863" t="s">
        <v>5094</v>
      </c>
      <c r="K1386" s="868">
        <f t="shared" si="106"/>
        <v>316</v>
      </c>
      <c r="L1386" s="861"/>
      <c r="M1386" s="671">
        <f t="shared" si="107"/>
        <v>1384</v>
      </c>
      <c r="N1386" s="671" t="str">
        <f t="shared" si="108"/>
        <v>N/A</v>
      </c>
      <c r="O1386" s="671" t="str">
        <f t="shared" si="109"/>
        <v>N/A</v>
      </c>
      <c r="P1386" s="861" t="s">
        <v>1313</v>
      </c>
      <c r="Q1386" s="861" t="s">
        <v>7248</v>
      </c>
      <c r="R1386" s="861"/>
      <c r="S1386" s="861" t="s">
        <v>7249</v>
      </c>
      <c r="T1386" s="866" t="s">
        <v>7250</v>
      </c>
      <c r="U1386" s="865"/>
    </row>
    <row r="1387" spans="1:21" ht="15">
      <c r="A1387" s="857"/>
      <c r="B1387" s="861" t="s">
        <v>7251</v>
      </c>
      <c r="C1387" s="861" t="s">
        <v>7252</v>
      </c>
      <c r="D1387" s="861" t="s">
        <v>371</v>
      </c>
      <c r="E1387" s="861"/>
      <c r="F1387" s="862"/>
      <c r="G1387" s="870" t="s">
        <v>7253</v>
      </c>
      <c r="H1387" s="874">
        <v>3732925.24</v>
      </c>
      <c r="I1387" s="871"/>
      <c r="J1387" s="863"/>
      <c r="K1387" s="868">
        <f t="shared" si="106"/>
        <v>316</v>
      </c>
      <c r="L1387" s="861"/>
      <c r="M1387" s="671">
        <f t="shared" si="107"/>
        <v>1385</v>
      </c>
      <c r="N1387" s="671" t="str">
        <f t="shared" si="108"/>
        <v>N/A</v>
      </c>
      <c r="O1387" s="671">
        <f t="shared" si="109"/>
        <v>708</v>
      </c>
      <c r="P1387" s="861"/>
      <c r="Q1387" s="861"/>
      <c r="R1387" s="861"/>
      <c r="S1387" s="861" t="s">
        <v>424</v>
      </c>
      <c r="T1387" s="866" t="s">
        <v>7254</v>
      </c>
      <c r="U1387" s="865"/>
    </row>
    <row r="1388" spans="1:21" ht="15">
      <c r="A1388" s="672"/>
      <c r="B1388" s="861" t="s">
        <v>7255</v>
      </c>
      <c r="C1388" s="861" t="s">
        <v>7256</v>
      </c>
      <c r="D1388" s="861" t="s">
        <v>371</v>
      </c>
      <c r="E1388" s="861"/>
      <c r="F1388" s="862"/>
      <c r="G1388" s="869" t="e">
        <v>#DIV/0!</v>
      </c>
      <c r="H1388" s="874">
        <v>3727082.44</v>
      </c>
      <c r="I1388" s="871"/>
      <c r="J1388" s="861"/>
      <c r="K1388" s="868">
        <f t="shared" si="106"/>
        <v>316</v>
      </c>
      <c r="L1388" s="861"/>
      <c r="M1388" s="671">
        <f t="shared" si="107"/>
        <v>1386</v>
      </c>
      <c r="N1388" s="671" t="str">
        <f t="shared" si="108"/>
        <v>N/A</v>
      </c>
      <c r="O1388" s="671">
        <f t="shared" si="109"/>
        <v>708</v>
      </c>
      <c r="P1388" s="861"/>
      <c r="Q1388" s="861"/>
      <c r="R1388" s="861"/>
      <c r="S1388" s="861" t="s">
        <v>563</v>
      </c>
      <c r="T1388" s="866" t="s">
        <v>7257</v>
      </c>
      <c r="U1388" s="865"/>
    </row>
    <row r="1389" spans="1:21" ht="15">
      <c r="A1389" s="857"/>
      <c r="B1389" s="861" t="s">
        <v>7258</v>
      </c>
      <c r="C1389" s="861" t="s">
        <v>7259</v>
      </c>
      <c r="D1389" s="861" t="s">
        <v>371</v>
      </c>
      <c r="E1389" s="861"/>
      <c r="F1389" s="862"/>
      <c r="G1389" s="869" t="e">
        <v>#DIV/0!</v>
      </c>
      <c r="H1389" s="874">
        <v>3675140.53</v>
      </c>
      <c r="I1389" s="872" t="s">
        <v>7260</v>
      </c>
      <c r="J1389" s="863" t="s">
        <v>7261</v>
      </c>
      <c r="K1389" s="868">
        <f t="shared" si="106"/>
        <v>316</v>
      </c>
      <c r="L1389" s="861" t="s">
        <v>1406</v>
      </c>
      <c r="M1389" s="671">
        <f t="shared" si="107"/>
        <v>1387</v>
      </c>
      <c r="N1389" s="671" t="str">
        <f t="shared" si="108"/>
        <v>N/A</v>
      </c>
      <c r="O1389" s="671" t="str">
        <f t="shared" si="109"/>
        <v>N/A</v>
      </c>
      <c r="P1389" s="861" t="s">
        <v>1550</v>
      </c>
      <c r="Q1389" s="861" t="s">
        <v>7262</v>
      </c>
      <c r="R1389" s="861" t="s">
        <v>2459</v>
      </c>
      <c r="S1389" s="861" t="s">
        <v>7263</v>
      </c>
      <c r="T1389" s="866" t="s">
        <v>7264</v>
      </c>
      <c r="U1389" s="865"/>
    </row>
    <row r="1390" spans="1:21" ht="15">
      <c r="A1390" s="672"/>
      <c r="B1390" s="861" t="s">
        <v>7265</v>
      </c>
      <c r="C1390" s="861" t="s">
        <v>7266</v>
      </c>
      <c r="D1390" s="861" t="s">
        <v>371</v>
      </c>
      <c r="E1390" s="861"/>
      <c r="F1390" s="862"/>
      <c r="G1390" s="870" t="s">
        <v>7267</v>
      </c>
      <c r="H1390" s="874">
        <v>3672199.41</v>
      </c>
      <c r="I1390" s="871"/>
      <c r="J1390" s="863"/>
      <c r="K1390" s="868">
        <f t="shared" si="106"/>
        <v>316</v>
      </c>
      <c r="L1390" s="861"/>
      <c r="M1390" s="671">
        <f t="shared" si="107"/>
        <v>1388</v>
      </c>
      <c r="N1390" s="671" t="str">
        <f t="shared" si="108"/>
        <v>N/A</v>
      </c>
      <c r="O1390" s="671">
        <f t="shared" si="109"/>
        <v>708</v>
      </c>
      <c r="P1390" s="861" t="s">
        <v>1001</v>
      </c>
      <c r="Q1390" s="861"/>
      <c r="R1390" s="861"/>
      <c r="S1390" s="861" t="s">
        <v>563</v>
      </c>
      <c r="T1390" s="866" t="s">
        <v>7268</v>
      </c>
      <c r="U1390" s="865"/>
    </row>
    <row r="1391" spans="1:21" ht="15">
      <c r="A1391" s="857"/>
      <c r="B1391" s="861" t="s">
        <v>7269</v>
      </c>
      <c r="C1391" s="861" t="s">
        <v>7270</v>
      </c>
      <c r="D1391" s="861" t="s">
        <v>371</v>
      </c>
      <c r="E1391" s="861"/>
      <c r="F1391" s="862"/>
      <c r="G1391" s="869" t="e">
        <v>#DIV/0!</v>
      </c>
      <c r="H1391" s="874">
        <v>3638476.17</v>
      </c>
      <c r="I1391" s="871"/>
      <c r="J1391" s="863" t="s">
        <v>7271</v>
      </c>
      <c r="K1391" s="868">
        <f t="shared" si="106"/>
        <v>316</v>
      </c>
      <c r="L1391" s="863" t="s">
        <v>4078</v>
      </c>
      <c r="M1391" s="671">
        <f t="shared" si="107"/>
        <v>1389</v>
      </c>
      <c r="N1391" s="671" t="str">
        <f t="shared" si="108"/>
        <v>N/A</v>
      </c>
      <c r="O1391" s="671" t="str">
        <f t="shared" si="109"/>
        <v>N/A</v>
      </c>
      <c r="P1391" s="861" t="s">
        <v>4591</v>
      </c>
      <c r="Q1391" s="861"/>
      <c r="R1391" s="863" t="s">
        <v>6541</v>
      </c>
      <c r="S1391" s="861" t="s">
        <v>7272</v>
      </c>
      <c r="T1391" s="866" t="s">
        <v>7273</v>
      </c>
      <c r="U1391" s="865"/>
    </row>
    <row r="1392" spans="1:21" ht="15">
      <c r="A1392" s="672"/>
      <c r="B1392" s="861" t="s">
        <v>7274</v>
      </c>
      <c r="C1392" s="861" t="s">
        <v>7275</v>
      </c>
      <c r="D1392" s="861" t="s">
        <v>371</v>
      </c>
      <c r="E1392" s="861"/>
      <c r="F1392" s="862"/>
      <c r="G1392" s="870" t="s">
        <v>7276</v>
      </c>
      <c r="H1392" s="874">
        <v>3609062.71</v>
      </c>
      <c r="I1392" s="871"/>
      <c r="J1392" s="863" t="s">
        <v>2907</v>
      </c>
      <c r="K1392" s="868">
        <f t="shared" si="106"/>
        <v>316</v>
      </c>
      <c r="L1392" s="861"/>
      <c r="M1392" s="671">
        <f t="shared" si="107"/>
        <v>1390</v>
      </c>
      <c r="N1392" s="671" t="str">
        <f t="shared" si="108"/>
        <v>N/A</v>
      </c>
      <c r="O1392" s="671" t="str">
        <f t="shared" si="109"/>
        <v>N/A</v>
      </c>
      <c r="P1392" s="861" t="s">
        <v>6027</v>
      </c>
      <c r="Q1392" s="861"/>
      <c r="R1392" s="861"/>
      <c r="S1392" s="861" t="s">
        <v>1128</v>
      </c>
      <c r="T1392" s="866" t="s">
        <v>7277</v>
      </c>
      <c r="U1392" s="865"/>
    </row>
    <row r="1393" spans="1:21" ht="15">
      <c r="A1393" s="857"/>
      <c r="B1393" s="861" t="s">
        <v>7278</v>
      </c>
      <c r="C1393" s="861" t="s">
        <v>7279</v>
      </c>
      <c r="D1393" s="861" t="s">
        <v>371</v>
      </c>
      <c r="E1393" s="861"/>
      <c r="F1393" s="862"/>
      <c r="G1393" s="870" t="s">
        <v>7280</v>
      </c>
      <c r="H1393" s="874">
        <v>3590432.05</v>
      </c>
      <c r="I1393" s="871"/>
      <c r="J1393" s="863" t="s">
        <v>808</v>
      </c>
      <c r="K1393" s="868">
        <f t="shared" si="106"/>
        <v>316</v>
      </c>
      <c r="L1393" s="863" t="s">
        <v>1984</v>
      </c>
      <c r="M1393" s="671">
        <f t="shared" si="107"/>
        <v>1391</v>
      </c>
      <c r="N1393" s="671" t="str">
        <f t="shared" si="108"/>
        <v>N/A</v>
      </c>
      <c r="O1393" s="671" t="str">
        <f t="shared" si="109"/>
        <v>N/A</v>
      </c>
      <c r="P1393" s="861" t="s">
        <v>793</v>
      </c>
      <c r="Q1393" s="861"/>
      <c r="R1393" s="863" t="s">
        <v>7281</v>
      </c>
      <c r="S1393" s="861" t="s">
        <v>2776</v>
      </c>
      <c r="T1393" s="866" t="s">
        <v>7282</v>
      </c>
      <c r="U1393" s="865"/>
    </row>
    <row r="1394" spans="1:21" ht="15">
      <c r="A1394" s="672"/>
      <c r="B1394" s="861" t="s">
        <v>7283</v>
      </c>
      <c r="C1394" s="861" t="s">
        <v>7284</v>
      </c>
      <c r="D1394" s="861" t="s">
        <v>371</v>
      </c>
      <c r="E1394" s="861"/>
      <c r="F1394" s="862"/>
      <c r="G1394" s="869">
        <v>0</v>
      </c>
      <c r="H1394" s="874">
        <v>3589072.5</v>
      </c>
      <c r="I1394" s="871"/>
      <c r="J1394" s="863" t="s">
        <v>7285</v>
      </c>
      <c r="K1394" s="868">
        <f t="shared" si="106"/>
        <v>316</v>
      </c>
      <c r="L1394" s="861"/>
      <c r="M1394" s="671">
        <f t="shared" si="107"/>
        <v>1392</v>
      </c>
      <c r="N1394" s="671" t="str">
        <f t="shared" si="108"/>
        <v>N/A</v>
      </c>
      <c r="O1394" s="671" t="str">
        <f t="shared" si="109"/>
        <v>N/A</v>
      </c>
      <c r="P1394" s="863" t="s">
        <v>7286</v>
      </c>
      <c r="Q1394" s="861"/>
      <c r="R1394" s="861"/>
      <c r="S1394" s="861" t="s">
        <v>1866</v>
      </c>
      <c r="T1394" s="866" t="s">
        <v>7287</v>
      </c>
      <c r="U1394" s="865"/>
    </row>
    <row r="1395" spans="1:21" ht="15">
      <c r="A1395" s="857"/>
      <c r="B1395" s="861" t="s">
        <v>7288</v>
      </c>
      <c r="C1395" s="861" t="s">
        <v>7289</v>
      </c>
      <c r="D1395" s="861" t="s">
        <v>371</v>
      </c>
      <c r="E1395" s="861"/>
      <c r="F1395" s="862"/>
      <c r="G1395" s="870" t="s">
        <v>7290</v>
      </c>
      <c r="H1395" s="874">
        <v>3565651.86</v>
      </c>
      <c r="I1395" s="872" t="s">
        <v>7291</v>
      </c>
      <c r="J1395" s="863" t="s">
        <v>7292</v>
      </c>
      <c r="K1395" s="868">
        <f t="shared" si="106"/>
        <v>316</v>
      </c>
      <c r="L1395" s="861" t="s">
        <v>1128</v>
      </c>
      <c r="M1395" s="671">
        <f t="shared" si="107"/>
        <v>1393</v>
      </c>
      <c r="N1395" s="671" t="str">
        <f t="shared" si="108"/>
        <v>N/A</v>
      </c>
      <c r="O1395" s="671" t="str">
        <f t="shared" si="109"/>
        <v>N/A</v>
      </c>
      <c r="P1395" s="861" t="s">
        <v>7293</v>
      </c>
      <c r="Q1395" s="861" t="s">
        <v>7294</v>
      </c>
      <c r="R1395" s="861"/>
      <c r="S1395" s="861" t="s">
        <v>7295</v>
      </c>
      <c r="T1395" s="866" t="s">
        <v>7296</v>
      </c>
      <c r="U1395" s="865"/>
    </row>
    <row r="1396" spans="1:21" ht="15">
      <c r="A1396" s="672"/>
      <c r="B1396" s="861" t="s">
        <v>7297</v>
      </c>
      <c r="C1396" s="861" t="s">
        <v>7298</v>
      </c>
      <c r="D1396" s="861" t="s">
        <v>371</v>
      </c>
      <c r="E1396" s="861"/>
      <c r="F1396" s="862"/>
      <c r="G1396" s="870" t="s">
        <v>7299</v>
      </c>
      <c r="H1396" s="874">
        <v>3535009.33</v>
      </c>
      <c r="I1396" s="871"/>
      <c r="J1396" s="863"/>
      <c r="K1396" s="868">
        <f t="shared" si="106"/>
        <v>316</v>
      </c>
      <c r="L1396" s="863" t="s">
        <v>4076</v>
      </c>
      <c r="M1396" s="671">
        <f t="shared" si="107"/>
        <v>1394</v>
      </c>
      <c r="N1396" s="671" t="str">
        <f t="shared" si="108"/>
        <v>N/A</v>
      </c>
      <c r="O1396" s="671">
        <f t="shared" si="109"/>
        <v>708</v>
      </c>
      <c r="P1396" s="861" t="s">
        <v>1860</v>
      </c>
      <c r="Q1396" s="861"/>
      <c r="R1396" s="863" t="s">
        <v>2611</v>
      </c>
      <c r="S1396" s="861" t="s">
        <v>1789</v>
      </c>
      <c r="T1396" s="866" t="s">
        <v>7300</v>
      </c>
      <c r="U1396" s="865"/>
    </row>
    <row r="1397" spans="1:21" ht="15">
      <c r="A1397" s="857"/>
      <c r="B1397" s="861" t="s">
        <v>7301</v>
      </c>
      <c r="C1397" s="861" t="s">
        <v>7302</v>
      </c>
      <c r="D1397" s="861" t="s">
        <v>371</v>
      </c>
      <c r="E1397" s="861"/>
      <c r="F1397" s="862"/>
      <c r="G1397" s="869">
        <v>0</v>
      </c>
      <c r="H1397" s="874">
        <v>3528601.82</v>
      </c>
      <c r="I1397" s="871"/>
      <c r="J1397" s="863"/>
      <c r="K1397" s="868">
        <f t="shared" si="106"/>
        <v>316</v>
      </c>
      <c r="L1397" s="861" t="s">
        <v>533</v>
      </c>
      <c r="M1397" s="671">
        <f t="shared" si="107"/>
        <v>1395</v>
      </c>
      <c r="N1397" s="671" t="str">
        <f t="shared" si="108"/>
        <v>N/A</v>
      </c>
      <c r="O1397" s="671">
        <f t="shared" si="109"/>
        <v>708</v>
      </c>
      <c r="P1397" s="861" t="s">
        <v>2134</v>
      </c>
      <c r="Q1397" s="861"/>
      <c r="R1397" s="861" t="s">
        <v>506</v>
      </c>
      <c r="S1397" s="861" t="s">
        <v>2269</v>
      </c>
      <c r="T1397" s="866" t="s">
        <v>7303</v>
      </c>
      <c r="U1397" s="865"/>
    </row>
    <row r="1398" spans="1:21" ht="15">
      <c r="A1398" s="672"/>
      <c r="B1398" s="861" t="s">
        <v>7304</v>
      </c>
      <c r="C1398" s="861" t="s">
        <v>7305</v>
      </c>
      <c r="D1398" s="861" t="s">
        <v>371</v>
      </c>
      <c r="E1398" s="861"/>
      <c r="F1398" s="862"/>
      <c r="G1398" s="869" t="e">
        <v>#DIV/0!</v>
      </c>
      <c r="H1398" s="874">
        <v>3508550.71</v>
      </c>
      <c r="I1398" s="871"/>
      <c r="J1398" s="863" t="s">
        <v>7306</v>
      </c>
      <c r="K1398" s="868">
        <f t="shared" si="106"/>
        <v>316</v>
      </c>
      <c r="L1398" s="863" t="s">
        <v>7307</v>
      </c>
      <c r="M1398" s="671">
        <f t="shared" si="107"/>
        <v>1396</v>
      </c>
      <c r="N1398" s="671" t="str">
        <f t="shared" si="108"/>
        <v>N/A</v>
      </c>
      <c r="O1398" s="671" t="str">
        <f t="shared" si="109"/>
        <v>N/A</v>
      </c>
      <c r="P1398" s="861" t="s">
        <v>2105</v>
      </c>
      <c r="Q1398" s="861"/>
      <c r="R1398" s="861"/>
      <c r="S1398" s="861" t="s">
        <v>519</v>
      </c>
      <c r="T1398" s="866" t="s">
        <v>7308</v>
      </c>
      <c r="U1398" s="865"/>
    </row>
    <row r="1399" spans="1:21" ht="15">
      <c r="A1399" s="857"/>
      <c r="B1399" s="861" t="s">
        <v>7309</v>
      </c>
      <c r="C1399" s="861" t="s">
        <v>7310</v>
      </c>
      <c r="D1399" s="861" t="s">
        <v>371</v>
      </c>
      <c r="E1399" s="861"/>
      <c r="F1399" s="862"/>
      <c r="G1399" s="869">
        <v>0</v>
      </c>
      <c r="H1399" s="874">
        <v>3486421.11</v>
      </c>
      <c r="I1399" s="871"/>
      <c r="J1399" s="863"/>
      <c r="K1399" s="868">
        <f t="shared" si="106"/>
        <v>316</v>
      </c>
      <c r="L1399" s="861"/>
      <c r="M1399" s="671">
        <f t="shared" si="107"/>
        <v>1397</v>
      </c>
      <c r="N1399" s="671" t="str">
        <f t="shared" si="108"/>
        <v>N/A</v>
      </c>
      <c r="O1399" s="671">
        <f t="shared" si="109"/>
        <v>708</v>
      </c>
      <c r="P1399" s="861" t="s">
        <v>7311</v>
      </c>
      <c r="Q1399" s="861"/>
      <c r="R1399" s="861"/>
      <c r="S1399" s="861" t="s">
        <v>7312</v>
      </c>
      <c r="T1399" s="866" t="s">
        <v>7313</v>
      </c>
      <c r="U1399" s="865"/>
    </row>
    <row r="1400" spans="1:21" ht="15">
      <c r="A1400" s="672"/>
      <c r="B1400" s="861" t="s">
        <v>7314</v>
      </c>
      <c r="C1400" s="861" t="s">
        <v>7315</v>
      </c>
      <c r="D1400" s="861" t="s">
        <v>371</v>
      </c>
      <c r="E1400" s="861"/>
      <c r="F1400" s="862"/>
      <c r="G1400" s="870" t="s">
        <v>7316</v>
      </c>
      <c r="H1400" s="874">
        <v>3480942.75</v>
      </c>
      <c r="I1400" s="871"/>
      <c r="J1400" s="863"/>
      <c r="K1400" s="868">
        <f t="shared" si="106"/>
        <v>316</v>
      </c>
      <c r="L1400" s="863" t="s">
        <v>1017</v>
      </c>
      <c r="M1400" s="671">
        <f t="shared" si="107"/>
        <v>1398</v>
      </c>
      <c r="N1400" s="671" t="str">
        <f t="shared" si="108"/>
        <v>N/A</v>
      </c>
      <c r="O1400" s="671">
        <f t="shared" si="109"/>
        <v>708</v>
      </c>
      <c r="P1400" s="861" t="s">
        <v>3041</v>
      </c>
      <c r="Q1400" s="861"/>
      <c r="R1400" s="863" t="s">
        <v>1017</v>
      </c>
      <c r="S1400" s="861" t="s">
        <v>533</v>
      </c>
      <c r="T1400" s="866" t="s">
        <v>7317</v>
      </c>
      <c r="U1400" s="865"/>
    </row>
    <row r="1401" spans="1:21" ht="15">
      <c r="A1401" s="857"/>
      <c r="B1401" s="861" t="s">
        <v>7318</v>
      </c>
      <c r="C1401" s="861" t="s">
        <v>7319</v>
      </c>
      <c r="D1401" s="861" t="s">
        <v>371</v>
      </c>
      <c r="E1401" s="861"/>
      <c r="F1401" s="862"/>
      <c r="G1401" s="869" t="e">
        <v>#DIV/0!</v>
      </c>
      <c r="H1401" s="874">
        <v>3453312.84</v>
      </c>
      <c r="I1401" s="872" t="s">
        <v>7320</v>
      </c>
      <c r="J1401" s="863" t="s">
        <v>4609</v>
      </c>
      <c r="K1401" s="868">
        <f t="shared" si="106"/>
        <v>316</v>
      </c>
      <c r="L1401" s="861"/>
      <c r="M1401" s="671">
        <f t="shared" si="107"/>
        <v>1399</v>
      </c>
      <c r="N1401" s="671" t="str">
        <f t="shared" si="108"/>
        <v>N/A</v>
      </c>
      <c r="O1401" s="671" t="str">
        <f t="shared" si="109"/>
        <v>N/A</v>
      </c>
      <c r="P1401" s="861" t="s">
        <v>1177</v>
      </c>
      <c r="Q1401" s="861"/>
      <c r="R1401" s="861"/>
      <c r="S1401" s="861" t="s">
        <v>404</v>
      </c>
      <c r="T1401" s="866" t="s">
        <v>7321</v>
      </c>
      <c r="U1401" s="865"/>
    </row>
    <row r="1402" spans="1:21" ht="15">
      <c r="A1402" s="672"/>
      <c r="B1402" s="861" t="s">
        <v>7322</v>
      </c>
      <c r="C1402" s="861" t="s">
        <v>7323</v>
      </c>
      <c r="D1402" s="861" t="s">
        <v>371</v>
      </c>
      <c r="E1402" s="861"/>
      <c r="F1402" s="862"/>
      <c r="G1402" s="870" t="s">
        <v>7324</v>
      </c>
      <c r="H1402" s="874">
        <v>3450249.26</v>
      </c>
      <c r="I1402" s="871"/>
      <c r="J1402" s="863"/>
      <c r="K1402" s="868">
        <f t="shared" si="106"/>
        <v>316</v>
      </c>
      <c r="L1402" s="861"/>
      <c r="M1402" s="671">
        <f t="shared" si="107"/>
        <v>1400</v>
      </c>
      <c r="N1402" s="671" t="str">
        <f t="shared" si="108"/>
        <v>N/A</v>
      </c>
      <c r="O1402" s="671">
        <f t="shared" si="109"/>
        <v>708</v>
      </c>
      <c r="P1402" s="861" t="s">
        <v>768</v>
      </c>
      <c r="Q1402" s="861"/>
      <c r="R1402" s="861"/>
      <c r="S1402" s="861" t="s">
        <v>557</v>
      </c>
      <c r="T1402" s="866" t="s">
        <v>7325</v>
      </c>
      <c r="U1402" s="865"/>
    </row>
    <row r="1403" spans="1:21" ht="15">
      <c r="A1403" s="857"/>
      <c r="B1403" s="861" t="s">
        <v>7326</v>
      </c>
      <c r="C1403" s="861" t="s">
        <v>7327</v>
      </c>
      <c r="D1403" s="861" t="s">
        <v>371</v>
      </c>
      <c r="E1403" s="861"/>
      <c r="F1403" s="862"/>
      <c r="G1403" s="870" t="s">
        <v>7328</v>
      </c>
      <c r="H1403" s="874">
        <v>3436674.73</v>
      </c>
      <c r="I1403" s="871"/>
      <c r="J1403" s="861"/>
      <c r="K1403" s="868">
        <f t="shared" si="106"/>
        <v>316</v>
      </c>
      <c r="L1403" s="861"/>
      <c r="M1403" s="671">
        <f t="shared" si="107"/>
        <v>1401</v>
      </c>
      <c r="N1403" s="671" t="str">
        <f t="shared" si="108"/>
        <v>N/A</v>
      </c>
      <c r="O1403" s="671">
        <f t="shared" si="109"/>
        <v>708</v>
      </c>
      <c r="P1403" s="861" t="s">
        <v>4615</v>
      </c>
      <c r="Q1403" s="861" t="s">
        <v>7329</v>
      </c>
      <c r="R1403" s="861"/>
      <c r="S1403" s="861" t="s">
        <v>7330</v>
      </c>
      <c r="T1403" s="866" t="s">
        <v>7331</v>
      </c>
      <c r="U1403" s="865"/>
    </row>
    <row r="1404" spans="1:21" ht="15">
      <c r="A1404" s="672"/>
      <c r="B1404" s="861" t="s">
        <v>7332</v>
      </c>
      <c r="C1404" s="861" t="s">
        <v>7333</v>
      </c>
      <c r="D1404" s="861" t="s">
        <v>371</v>
      </c>
      <c r="E1404" s="861"/>
      <c r="F1404" s="862"/>
      <c r="G1404" s="870" t="s">
        <v>7334</v>
      </c>
      <c r="H1404" s="874">
        <v>3433236.79</v>
      </c>
      <c r="I1404" s="871"/>
      <c r="J1404" s="863"/>
      <c r="K1404" s="868">
        <f t="shared" si="106"/>
        <v>316</v>
      </c>
      <c r="L1404" s="861"/>
      <c r="M1404" s="671">
        <f t="shared" si="107"/>
        <v>1402</v>
      </c>
      <c r="N1404" s="671" t="str">
        <f t="shared" si="108"/>
        <v>N/A</v>
      </c>
      <c r="O1404" s="671">
        <f t="shared" si="109"/>
        <v>708</v>
      </c>
      <c r="P1404" s="861"/>
      <c r="Q1404" s="861"/>
      <c r="R1404" s="861"/>
      <c r="S1404" s="861" t="s">
        <v>1252</v>
      </c>
      <c r="T1404" s="866" t="s">
        <v>7335</v>
      </c>
      <c r="U1404" s="865"/>
    </row>
    <row r="1405" spans="1:21" ht="15">
      <c r="A1405" s="857"/>
      <c r="B1405" s="861" t="s">
        <v>7336</v>
      </c>
      <c r="C1405" s="861" t="s">
        <v>7337</v>
      </c>
      <c r="D1405" s="861" t="s">
        <v>371</v>
      </c>
      <c r="E1405" s="861"/>
      <c r="F1405" s="862"/>
      <c r="G1405" s="869" t="e">
        <v>#DIV/0!</v>
      </c>
      <c r="H1405" s="874">
        <v>3428800.86</v>
      </c>
      <c r="I1405" s="871"/>
      <c r="J1405" s="863"/>
      <c r="K1405" s="868">
        <f t="shared" si="106"/>
        <v>316</v>
      </c>
      <c r="L1405" s="861"/>
      <c r="M1405" s="671">
        <f t="shared" si="107"/>
        <v>1403</v>
      </c>
      <c r="N1405" s="671" t="str">
        <f t="shared" si="108"/>
        <v>N/A</v>
      </c>
      <c r="O1405" s="671">
        <f t="shared" si="109"/>
        <v>708</v>
      </c>
      <c r="P1405" s="861" t="s">
        <v>5928</v>
      </c>
      <c r="Q1405" s="861"/>
      <c r="R1405" s="861"/>
      <c r="S1405" s="861" t="s">
        <v>5030</v>
      </c>
      <c r="T1405" s="866" t="s">
        <v>7338</v>
      </c>
      <c r="U1405" s="865"/>
    </row>
    <row r="1406" spans="1:21" ht="15">
      <c r="A1406" s="672"/>
      <c r="B1406" s="861" t="s">
        <v>7339</v>
      </c>
      <c r="C1406" s="861" t="s">
        <v>7340</v>
      </c>
      <c r="D1406" s="861" t="s">
        <v>371</v>
      </c>
      <c r="E1406" s="861"/>
      <c r="F1406" s="862"/>
      <c r="G1406" s="869">
        <v>1.9890894109999999</v>
      </c>
      <c r="H1406" s="874">
        <v>3413162.76</v>
      </c>
      <c r="I1406" s="871"/>
      <c r="J1406" s="863"/>
      <c r="K1406" s="868">
        <f t="shared" si="106"/>
        <v>316</v>
      </c>
      <c r="L1406" s="861"/>
      <c r="M1406" s="671">
        <f t="shared" si="107"/>
        <v>1404</v>
      </c>
      <c r="N1406" s="671" t="str">
        <f t="shared" si="108"/>
        <v>N/A</v>
      </c>
      <c r="O1406" s="671">
        <f t="shared" si="109"/>
        <v>708</v>
      </c>
      <c r="P1406" s="861" t="s">
        <v>7341</v>
      </c>
      <c r="Q1406" s="861"/>
      <c r="R1406" s="861"/>
      <c r="S1406" s="861" t="s">
        <v>2618</v>
      </c>
      <c r="T1406" s="866" t="s">
        <v>7342</v>
      </c>
      <c r="U1406" s="865"/>
    </row>
    <row r="1407" spans="1:21" ht="15">
      <c r="A1407" s="857"/>
      <c r="B1407" s="861" t="s">
        <v>7343</v>
      </c>
      <c r="C1407" s="861" t="s">
        <v>7344</v>
      </c>
      <c r="D1407" s="861" t="s">
        <v>371</v>
      </c>
      <c r="E1407" s="861"/>
      <c r="F1407" s="862"/>
      <c r="G1407" s="870" t="s">
        <v>7345</v>
      </c>
      <c r="H1407" s="874">
        <v>3403013.54</v>
      </c>
      <c r="I1407" s="871"/>
      <c r="J1407" s="863" t="s">
        <v>505</v>
      </c>
      <c r="K1407" s="868">
        <f t="shared" si="106"/>
        <v>316</v>
      </c>
      <c r="L1407" s="861"/>
      <c r="M1407" s="671">
        <f t="shared" si="107"/>
        <v>1405</v>
      </c>
      <c r="N1407" s="671" t="str">
        <f t="shared" si="108"/>
        <v>N/A</v>
      </c>
      <c r="O1407" s="671" t="str">
        <f t="shared" si="109"/>
        <v>N/A</v>
      </c>
      <c r="P1407" s="861"/>
      <c r="Q1407" s="861"/>
      <c r="R1407" s="861"/>
      <c r="S1407" s="861" t="s">
        <v>424</v>
      </c>
      <c r="T1407" s="866" t="s">
        <v>7346</v>
      </c>
      <c r="U1407" s="865"/>
    </row>
    <row r="1408" spans="1:21" ht="15">
      <c r="A1408" s="672"/>
      <c r="B1408" s="861" t="s">
        <v>7347</v>
      </c>
      <c r="C1408" s="861" t="s">
        <v>7348</v>
      </c>
      <c r="D1408" s="861" t="s">
        <v>371</v>
      </c>
      <c r="E1408" s="861"/>
      <c r="F1408" s="862"/>
      <c r="G1408" s="869">
        <v>5.7532938429999998</v>
      </c>
      <c r="H1408" s="874">
        <v>3302377.83</v>
      </c>
      <c r="I1408" s="871"/>
      <c r="J1408" s="863" t="s">
        <v>7349</v>
      </c>
      <c r="K1408" s="868">
        <f t="shared" si="106"/>
        <v>316</v>
      </c>
      <c r="L1408" s="861" t="s">
        <v>1369</v>
      </c>
      <c r="M1408" s="671">
        <f t="shared" si="107"/>
        <v>1406</v>
      </c>
      <c r="N1408" s="671" t="str">
        <f t="shared" si="108"/>
        <v>N/A</v>
      </c>
      <c r="O1408" s="671" t="str">
        <f t="shared" si="109"/>
        <v>N/A</v>
      </c>
      <c r="P1408" s="861" t="s">
        <v>2553</v>
      </c>
      <c r="Q1408" s="861"/>
      <c r="R1408" s="861" t="s">
        <v>460</v>
      </c>
      <c r="S1408" s="861" t="s">
        <v>7350</v>
      </c>
      <c r="T1408" s="866" t="s">
        <v>7351</v>
      </c>
      <c r="U1408" s="865"/>
    </row>
    <row r="1409" spans="1:21" ht="15">
      <c r="A1409" s="857"/>
      <c r="B1409" s="861" t="s">
        <v>7352</v>
      </c>
      <c r="C1409" s="861" t="s">
        <v>7353</v>
      </c>
      <c r="D1409" s="861" t="s">
        <v>371</v>
      </c>
      <c r="E1409" s="861"/>
      <c r="F1409" s="862"/>
      <c r="G1409" s="870" t="s">
        <v>7354</v>
      </c>
      <c r="H1409" s="874">
        <v>3299713.78</v>
      </c>
      <c r="I1409" s="871"/>
      <c r="J1409" s="863"/>
      <c r="K1409" s="868">
        <f t="shared" si="106"/>
        <v>316</v>
      </c>
      <c r="L1409" s="861"/>
      <c r="M1409" s="671">
        <f t="shared" si="107"/>
        <v>1407</v>
      </c>
      <c r="N1409" s="671" t="str">
        <f t="shared" si="108"/>
        <v>N/A</v>
      </c>
      <c r="O1409" s="671">
        <f t="shared" si="109"/>
        <v>708</v>
      </c>
      <c r="P1409" s="861" t="s">
        <v>7355</v>
      </c>
      <c r="Q1409" s="861"/>
      <c r="R1409" s="863" t="s">
        <v>4076</v>
      </c>
      <c r="S1409" s="861" t="s">
        <v>6542</v>
      </c>
      <c r="T1409" s="866" t="s">
        <v>7356</v>
      </c>
      <c r="U1409" s="865"/>
    </row>
    <row r="1410" spans="1:21" ht="15">
      <c r="A1410" s="672"/>
      <c r="B1410" s="861" t="s">
        <v>7357</v>
      </c>
      <c r="C1410" s="861" t="s">
        <v>7358</v>
      </c>
      <c r="D1410" s="861" t="s">
        <v>371</v>
      </c>
      <c r="E1410" s="861"/>
      <c r="F1410" s="862"/>
      <c r="G1410" s="869" t="e">
        <v>#DIV/0!</v>
      </c>
      <c r="H1410" s="874">
        <v>3299249.67</v>
      </c>
      <c r="I1410" s="871"/>
      <c r="J1410" s="863" t="s">
        <v>7359</v>
      </c>
      <c r="K1410" s="868">
        <f t="shared" si="106"/>
        <v>316</v>
      </c>
      <c r="L1410" s="861"/>
      <c r="M1410" s="671">
        <f t="shared" si="107"/>
        <v>1408</v>
      </c>
      <c r="N1410" s="671" t="str">
        <f t="shared" si="108"/>
        <v>N/A</v>
      </c>
      <c r="O1410" s="671" t="str">
        <f t="shared" si="109"/>
        <v>N/A</v>
      </c>
      <c r="P1410" s="861"/>
      <c r="Q1410" s="861"/>
      <c r="R1410" s="861"/>
      <c r="S1410" s="861" t="s">
        <v>1363</v>
      </c>
      <c r="T1410" s="866" t="s">
        <v>7360</v>
      </c>
      <c r="U1410" s="865"/>
    </row>
    <row r="1411" spans="1:21" ht="15">
      <c r="A1411" s="857"/>
      <c r="B1411" s="861" t="s">
        <v>7361</v>
      </c>
      <c r="C1411" s="861" t="s">
        <v>7362</v>
      </c>
      <c r="D1411" s="861" t="s">
        <v>371</v>
      </c>
      <c r="E1411" s="861"/>
      <c r="F1411" s="862"/>
      <c r="G1411" s="870" t="s">
        <v>7363</v>
      </c>
      <c r="H1411" s="874">
        <v>3298150.11</v>
      </c>
      <c r="I1411" s="871"/>
      <c r="J1411" s="863" t="s">
        <v>7364</v>
      </c>
      <c r="K1411" s="868">
        <f t="shared" si="106"/>
        <v>316</v>
      </c>
      <c r="L1411" s="861" t="s">
        <v>734</v>
      </c>
      <c r="M1411" s="671">
        <f t="shared" si="107"/>
        <v>1409</v>
      </c>
      <c r="N1411" s="671" t="str">
        <f t="shared" si="108"/>
        <v>N/A</v>
      </c>
      <c r="O1411" s="671" t="str">
        <f t="shared" si="109"/>
        <v>N/A</v>
      </c>
      <c r="P1411" s="861" t="s">
        <v>2944</v>
      </c>
      <c r="Q1411" s="861"/>
      <c r="R1411" s="861" t="s">
        <v>2069</v>
      </c>
      <c r="S1411" s="861" t="s">
        <v>3639</v>
      </c>
      <c r="T1411" s="866" t="s">
        <v>7365</v>
      </c>
      <c r="U1411" s="865"/>
    </row>
    <row r="1412" spans="1:21" ht="15">
      <c r="A1412" s="672"/>
      <c r="B1412" s="861" t="s">
        <v>7366</v>
      </c>
      <c r="C1412" s="861" t="s">
        <v>7367</v>
      </c>
      <c r="D1412" s="861" t="s">
        <v>371</v>
      </c>
      <c r="E1412" s="861"/>
      <c r="F1412" s="862"/>
      <c r="G1412" s="870" t="s">
        <v>7368</v>
      </c>
      <c r="H1412" s="874">
        <v>3172213.32</v>
      </c>
      <c r="I1412" s="871"/>
      <c r="J1412" s="862">
        <v>7.0999999999999994E-2</v>
      </c>
      <c r="K1412" s="868">
        <f t="shared" ref="K1412:K1475" si="110">IFERROR(_xlfn.RANK.EQ(F1412,F$3:F$1770),"N/A")</f>
        <v>316</v>
      </c>
      <c r="L1412" s="861"/>
      <c r="M1412" s="671">
        <f t="shared" ref="M1412:M1475" si="111">IFERROR(_xlfn.RANK.EQ(H1412,H$3:H$1770),"N/A")</f>
        <v>1410</v>
      </c>
      <c r="N1412" s="671" t="str">
        <f t="shared" ref="N1412:N1475" si="112">IFERROR(_xlfn.RANK.EQ(I1412,I$3:I$1770),"N/A")</f>
        <v>N/A</v>
      </c>
      <c r="O1412" s="671">
        <f t="shared" ref="O1412:O1475" si="113">IFERROR(_xlfn.RANK.EQ(J1412,J$3:J$1770),"N/A")</f>
        <v>562</v>
      </c>
      <c r="P1412" s="861" t="s">
        <v>1000</v>
      </c>
      <c r="Q1412" s="861"/>
      <c r="R1412" s="861"/>
      <c r="S1412" s="861" t="s">
        <v>1369</v>
      </c>
      <c r="T1412" s="866" t="s">
        <v>7369</v>
      </c>
      <c r="U1412" s="865"/>
    </row>
    <row r="1413" spans="1:21" ht="15">
      <c r="A1413" s="857"/>
      <c r="B1413" s="861" t="s">
        <v>7370</v>
      </c>
      <c r="C1413" s="861" t="s">
        <v>7371</v>
      </c>
      <c r="D1413" s="861" t="s">
        <v>371</v>
      </c>
      <c r="E1413" s="861"/>
      <c r="F1413" s="862"/>
      <c r="G1413" s="869">
        <v>0</v>
      </c>
      <c r="H1413" s="874">
        <v>3150279.23</v>
      </c>
      <c r="I1413" s="871"/>
      <c r="J1413" s="861"/>
      <c r="K1413" s="868">
        <f t="shared" si="110"/>
        <v>316</v>
      </c>
      <c r="L1413" s="861"/>
      <c r="M1413" s="671">
        <f t="shared" si="111"/>
        <v>1411</v>
      </c>
      <c r="N1413" s="671" t="str">
        <f t="shared" si="112"/>
        <v>N/A</v>
      </c>
      <c r="O1413" s="671">
        <f t="shared" si="113"/>
        <v>708</v>
      </c>
      <c r="P1413" s="861"/>
      <c r="Q1413" s="861"/>
      <c r="R1413" s="861"/>
      <c r="S1413" s="861" t="s">
        <v>1326</v>
      </c>
      <c r="T1413" s="866" t="s">
        <v>7372</v>
      </c>
      <c r="U1413" s="865"/>
    </row>
    <row r="1414" spans="1:21" ht="15">
      <c r="A1414" s="672"/>
      <c r="B1414" s="861" t="s">
        <v>7373</v>
      </c>
      <c r="C1414" s="861" t="s">
        <v>7374</v>
      </c>
      <c r="D1414" s="861" t="s">
        <v>371</v>
      </c>
      <c r="E1414" s="861"/>
      <c r="F1414" s="862"/>
      <c r="G1414" s="869" t="e">
        <v>#DIV/0!</v>
      </c>
      <c r="H1414" s="874">
        <v>3135759.98</v>
      </c>
      <c r="I1414" s="871"/>
      <c r="J1414" s="863"/>
      <c r="K1414" s="868">
        <f t="shared" si="110"/>
        <v>316</v>
      </c>
      <c r="L1414" s="861"/>
      <c r="M1414" s="671">
        <f t="shared" si="111"/>
        <v>1412</v>
      </c>
      <c r="N1414" s="671" t="str">
        <f t="shared" si="112"/>
        <v>N/A</v>
      </c>
      <c r="O1414" s="671">
        <f t="shared" si="113"/>
        <v>708</v>
      </c>
      <c r="P1414" s="861" t="s">
        <v>793</v>
      </c>
      <c r="Q1414" s="861"/>
      <c r="R1414" s="861"/>
      <c r="S1414" s="861" t="s">
        <v>570</v>
      </c>
      <c r="T1414" s="866" t="s">
        <v>7375</v>
      </c>
      <c r="U1414" s="865"/>
    </row>
    <row r="1415" spans="1:21" ht="15">
      <c r="A1415" s="857"/>
      <c r="B1415" s="861" t="s">
        <v>7376</v>
      </c>
      <c r="C1415" s="861" t="s">
        <v>7377</v>
      </c>
      <c r="D1415" s="861" t="s">
        <v>371</v>
      </c>
      <c r="E1415" s="861"/>
      <c r="F1415" s="862"/>
      <c r="G1415" s="869" t="e">
        <v>#DIV/0!</v>
      </c>
      <c r="H1415" s="874">
        <v>3118867.73</v>
      </c>
      <c r="I1415" s="871"/>
      <c r="J1415" s="863"/>
      <c r="K1415" s="868">
        <f t="shared" si="110"/>
        <v>316</v>
      </c>
      <c r="L1415" s="861" t="s">
        <v>454</v>
      </c>
      <c r="M1415" s="671">
        <f t="shared" si="111"/>
        <v>1413</v>
      </c>
      <c r="N1415" s="671" t="str">
        <f t="shared" si="112"/>
        <v>N/A</v>
      </c>
      <c r="O1415" s="671">
        <f t="shared" si="113"/>
        <v>708</v>
      </c>
      <c r="P1415" s="861" t="s">
        <v>492</v>
      </c>
      <c r="Q1415" s="861"/>
      <c r="R1415" s="863" t="s">
        <v>1520</v>
      </c>
      <c r="S1415" s="861" t="s">
        <v>7378</v>
      </c>
      <c r="T1415" s="866" t="s">
        <v>7379</v>
      </c>
      <c r="U1415" s="865"/>
    </row>
    <row r="1416" spans="1:21" ht="15">
      <c r="A1416" s="672"/>
      <c r="B1416" s="861" t="s">
        <v>7380</v>
      </c>
      <c r="C1416" s="861" t="s">
        <v>7381</v>
      </c>
      <c r="D1416" s="861" t="s">
        <v>371</v>
      </c>
      <c r="E1416" s="861"/>
      <c r="F1416" s="862"/>
      <c r="G1416" s="870" t="s">
        <v>7382</v>
      </c>
      <c r="H1416" s="874">
        <v>3118734.17</v>
      </c>
      <c r="I1416" s="871"/>
      <c r="J1416" s="863"/>
      <c r="K1416" s="868">
        <f t="shared" si="110"/>
        <v>316</v>
      </c>
      <c r="L1416" s="861"/>
      <c r="M1416" s="671">
        <f t="shared" si="111"/>
        <v>1414</v>
      </c>
      <c r="N1416" s="671" t="str">
        <f t="shared" si="112"/>
        <v>N/A</v>
      </c>
      <c r="O1416" s="671">
        <f t="shared" si="113"/>
        <v>708</v>
      </c>
      <c r="P1416" s="861" t="s">
        <v>7383</v>
      </c>
      <c r="Q1416" s="861"/>
      <c r="R1416" s="861"/>
      <c r="S1416" s="861" t="s">
        <v>424</v>
      </c>
      <c r="T1416" s="866" t="s">
        <v>7384</v>
      </c>
      <c r="U1416" s="865"/>
    </row>
    <row r="1417" spans="1:21" ht="15">
      <c r="A1417" s="857"/>
      <c r="B1417" s="861" t="s">
        <v>7385</v>
      </c>
      <c r="C1417" s="861" t="s">
        <v>7386</v>
      </c>
      <c r="D1417" s="861" t="s">
        <v>371</v>
      </c>
      <c r="E1417" s="861"/>
      <c r="F1417" s="862"/>
      <c r="G1417" s="869" t="e">
        <v>#DIV/0!</v>
      </c>
      <c r="H1417" s="874">
        <v>3114408.99</v>
      </c>
      <c r="I1417" s="871"/>
      <c r="J1417" s="863" t="s">
        <v>5349</v>
      </c>
      <c r="K1417" s="868">
        <f t="shared" si="110"/>
        <v>316</v>
      </c>
      <c r="L1417" s="861" t="s">
        <v>392</v>
      </c>
      <c r="M1417" s="671">
        <f t="shared" si="111"/>
        <v>1415</v>
      </c>
      <c r="N1417" s="671" t="str">
        <f t="shared" si="112"/>
        <v>N/A</v>
      </c>
      <c r="O1417" s="671" t="str">
        <f t="shared" si="113"/>
        <v>N/A</v>
      </c>
      <c r="P1417" s="861" t="s">
        <v>6475</v>
      </c>
      <c r="Q1417" s="861"/>
      <c r="R1417" s="863" t="s">
        <v>1995</v>
      </c>
      <c r="S1417" s="861" t="s">
        <v>7387</v>
      </c>
      <c r="T1417" s="866" t="s">
        <v>7388</v>
      </c>
      <c r="U1417" s="865"/>
    </row>
    <row r="1418" spans="1:21" ht="15">
      <c r="A1418" s="672"/>
      <c r="B1418" s="861" t="s">
        <v>7389</v>
      </c>
      <c r="C1418" s="861" t="s">
        <v>7390</v>
      </c>
      <c r="D1418" s="861" t="s">
        <v>371</v>
      </c>
      <c r="E1418" s="861"/>
      <c r="F1418" s="862"/>
      <c r="G1418" s="870" t="s">
        <v>7391</v>
      </c>
      <c r="H1418" s="874">
        <v>3106320.38</v>
      </c>
      <c r="I1418" s="871"/>
      <c r="J1418" s="863" t="s">
        <v>7392</v>
      </c>
      <c r="K1418" s="868">
        <f t="shared" si="110"/>
        <v>316</v>
      </c>
      <c r="L1418" s="863" t="s">
        <v>1032</v>
      </c>
      <c r="M1418" s="671">
        <f t="shared" si="111"/>
        <v>1416</v>
      </c>
      <c r="N1418" s="671" t="str">
        <f t="shared" si="112"/>
        <v>N/A</v>
      </c>
      <c r="O1418" s="671" t="str">
        <f t="shared" si="113"/>
        <v>N/A</v>
      </c>
      <c r="P1418" s="861" t="s">
        <v>1217</v>
      </c>
      <c r="Q1418" s="861"/>
      <c r="R1418" s="863" t="s">
        <v>6098</v>
      </c>
      <c r="S1418" s="861" t="s">
        <v>1647</v>
      </c>
      <c r="T1418" s="866" t="s">
        <v>7393</v>
      </c>
      <c r="U1418" s="865"/>
    </row>
    <row r="1419" spans="1:21" ht="15">
      <c r="A1419" s="857"/>
      <c r="B1419" s="861" t="s">
        <v>7394</v>
      </c>
      <c r="C1419" s="861" t="s">
        <v>7395</v>
      </c>
      <c r="D1419" s="861" t="s">
        <v>371</v>
      </c>
      <c r="E1419" s="861"/>
      <c r="F1419" s="862"/>
      <c r="G1419" s="870" t="s">
        <v>7396</v>
      </c>
      <c r="H1419" s="874">
        <v>3097354.71</v>
      </c>
      <c r="I1419" s="871"/>
      <c r="J1419" s="863" t="s">
        <v>6887</v>
      </c>
      <c r="K1419" s="868">
        <f t="shared" si="110"/>
        <v>316</v>
      </c>
      <c r="L1419" s="863" t="s">
        <v>6552</v>
      </c>
      <c r="M1419" s="671">
        <f t="shared" si="111"/>
        <v>1417</v>
      </c>
      <c r="N1419" s="671" t="str">
        <f t="shared" si="112"/>
        <v>N/A</v>
      </c>
      <c r="O1419" s="671" t="str">
        <f t="shared" si="113"/>
        <v>N/A</v>
      </c>
      <c r="P1419" s="861" t="s">
        <v>3255</v>
      </c>
      <c r="Q1419" s="861" t="s">
        <v>4381</v>
      </c>
      <c r="R1419" s="863" t="s">
        <v>1032</v>
      </c>
      <c r="S1419" s="861" t="s">
        <v>690</v>
      </c>
      <c r="T1419" s="866" t="s">
        <v>7397</v>
      </c>
      <c r="U1419" s="865"/>
    </row>
    <row r="1420" spans="1:21" ht="15">
      <c r="A1420" s="672"/>
      <c r="B1420" s="861" t="s">
        <v>7398</v>
      </c>
      <c r="C1420" s="861" t="s">
        <v>7399</v>
      </c>
      <c r="D1420" s="861" t="s">
        <v>371</v>
      </c>
      <c r="E1420" s="861"/>
      <c r="F1420" s="862"/>
      <c r="G1420" s="870" t="s">
        <v>7400</v>
      </c>
      <c r="H1420" s="874">
        <v>3091732.99</v>
      </c>
      <c r="I1420" s="871"/>
      <c r="J1420" s="863"/>
      <c r="K1420" s="868">
        <f t="shared" si="110"/>
        <v>316</v>
      </c>
      <c r="L1420" s="861"/>
      <c r="M1420" s="671">
        <f t="shared" si="111"/>
        <v>1418</v>
      </c>
      <c r="N1420" s="671" t="str">
        <f t="shared" si="112"/>
        <v>N/A</v>
      </c>
      <c r="O1420" s="671">
        <f t="shared" si="113"/>
        <v>708</v>
      </c>
      <c r="P1420" s="861" t="s">
        <v>526</v>
      </c>
      <c r="Q1420" s="861"/>
      <c r="R1420" s="861"/>
      <c r="S1420" s="861" t="s">
        <v>390</v>
      </c>
      <c r="T1420" s="866" t="s">
        <v>7401</v>
      </c>
      <c r="U1420" s="865"/>
    </row>
    <row r="1421" spans="1:21" ht="15">
      <c r="A1421" s="857"/>
      <c r="B1421" s="861" t="s">
        <v>7402</v>
      </c>
      <c r="C1421" s="861" t="s">
        <v>7403</v>
      </c>
      <c r="D1421" s="861" t="s">
        <v>371</v>
      </c>
      <c r="E1421" s="861"/>
      <c r="F1421" s="862"/>
      <c r="G1421" s="869">
        <v>0</v>
      </c>
      <c r="H1421" s="874">
        <v>3088556.9</v>
      </c>
      <c r="I1421" s="871"/>
      <c r="J1421" s="863" t="s">
        <v>7404</v>
      </c>
      <c r="K1421" s="868">
        <f t="shared" si="110"/>
        <v>316</v>
      </c>
      <c r="L1421" s="861"/>
      <c r="M1421" s="671">
        <f t="shared" si="111"/>
        <v>1419</v>
      </c>
      <c r="N1421" s="671" t="str">
        <f t="shared" si="112"/>
        <v>N/A</v>
      </c>
      <c r="O1421" s="671" t="str">
        <f t="shared" si="113"/>
        <v>N/A</v>
      </c>
      <c r="P1421" s="861" t="s">
        <v>5133</v>
      </c>
      <c r="Q1421" s="861" t="s">
        <v>7405</v>
      </c>
      <c r="R1421" s="861"/>
      <c r="S1421" s="861" t="s">
        <v>404</v>
      </c>
      <c r="T1421" s="866" t="s">
        <v>7406</v>
      </c>
      <c r="U1421" s="865"/>
    </row>
    <row r="1422" spans="1:21" ht="15">
      <c r="A1422" s="672"/>
      <c r="B1422" s="861" t="s">
        <v>7407</v>
      </c>
      <c r="C1422" s="861" t="s">
        <v>7408</v>
      </c>
      <c r="D1422" s="861" t="s">
        <v>371</v>
      </c>
      <c r="E1422" s="861"/>
      <c r="F1422" s="862"/>
      <c r="G1422" s="870" t="s">
        <v>7409</v>
      </c>
      <c r="H1422" s="874">
        <v>3087640.19</v>
      </c>
      <c r="I1422" s="871"/>
      <c r="J1422" s="862">
        <v>0.20200000000000001</v>
      </c>
      <c r="K1422" s="868">
        <f t="shared" si="110"/>
        <v>316</v>
      </c>
      <c r="L1422" s="861" t="s">
        <v>734</v>
      </c>
      <c r="M1422" s="671">
        <f t="shared" si="111"/>
        <v>1420</v>
      </c>
      <c r="N1422" s="671" t="str">
        <f t="shared" si="112"/>
        <v>N/A</v>
      </c>
      <c r="O1422" s="671">
        <f t="shared" si="113"/>
        <v>249</v>
      </c>
      <c r="P1422" s="863" t="s">
        <v>3148</v>
      </c>
      <c r="Q1422" s="863" t="s">
        <v>6093</v>
      </c>
      <c r="R1422" s="861" t="s">
        <v>526</v>
      </c>
      <c r="S1422" s="861" t="s">
        <v>454</v>
      </c>
      <c r="T1422" s="866" t="s">
        <v>7410</v>
      </c>
      <c r="U1422" s="865"/>
    </row>
    <row r="1423" spans="1:21" ht="15">
      <c r="A1423" s="857"/>
      <c r="B1423" s="861" t="s">
        <v>7411</v>
      </c>
      <c r="C1423" s="861" t="s">
        <v>7412</v>
      </c>
      <c r="D1423" s="861" t="s">
        <v>371</v>
      </c>
      <c r="E1423" s="861"/>
      <c r="F1423" s="862"/>
      <c r="G1423" s="870" t="s">
        <v>7413</v>
      </c>
      <c r="H1423" s="874">
        <v>3083233.65</v>
      </c>
      <c r="I1423" s="871"/>
      <c r="J1423" s="862">
        <v>0.30199999999999999</v>
      </c>
      <c r="K1423" s="868">
        <f t="shared" si="110"/>
        <v>316</v>
      </c>
      <c r="L1423" s="861" t="s">
        <v>1061</v>
      </c>
      <c r="M1423" s="671">
        <f t="shared" si="111"/>
        <v>1421</v>
      </c>
      <c r="N1423" s="671" t="str">
        <f t="shared" si="112"/>
        <v>N/A</v>
      </c>
      <c r="O1423" s="671">
        <f t="shared" si="113"/>
        <v>128</v>
      </c>
      <c r="P1423" s="861" t="s">
        <v>5299</v>
      </c>
      <c r="Q1423" s="861" t="s">
        <v>7414</v>
      </c>
      <c r="R1423" s="863" t="s">
        <v>7415</v>
      </c>
      <c r="S1423" s="861" t="s">
        <v>7416</v>
      </c>
      <c r="T1423" s="866" t="s">
        <v>7417</v>
      </c>
      <c r="U1423" s="865"/>
    </row>
    <row r="1424" spans="1:21" ht="15">
      <c r="A1424" s="672"/>
      <c r="B1424" s="861" t="s">
        <v>7418</v>
      </c>
      <c r="C1424" s="861" t="s">
        <v>7419</v>
      </c>
      <c r="D1424" s="861" t="s">
        <v>371</v>
      </c>
      <c r="E1424" s="861"/>
      <c r="F1424" s="862"/>
      <c r="G1424" s="869">
        <v>1.286976839</v>
      </c>
      <c r="H1424" s="874">
        <v>3083159.63</v>
      </c>
      <c r="I1424" s="871"/>
      <c r="J1424" s="861"/>
      <c r="K1424" s="868">
        <f t="shared" si="110"/>
        <v>316</v>
      </c>
      <c r="L1424" s="861" t="s">
        <v>2915</v>
      </c>
      <c r="M1424" s="671">
        <f t="shared" si="111"/>
        <v>1422</v>
      </c>
      <c r="N1424" s="671" t="str">
        <f t="shared" si="112"/>
        <v>N/A</v>
      </c>
      <c r="O1424" s="671">
        <f t="shared" si="113"/>
        <v>708</v>
      </c>
      <c r="P1424" s="861" t="s">
        <v>2269</v>
      </c>
      <c r="Q1424" s="861" t="s">
        <v>7420</v>
      </c>
      <c r="R1424" s="861"/>
      <c r="S1424" s="861" t="s">
        <v>7421</v>
      </c>
      <c r="T1424" s="866" t="s">
        <v>7422</v>
      </c>
      <c r="U1424" s="865"/>
    </row>
    <row r="1425" spans="1:21" ht="15">
      <c r="A1425" s="857"/>
      <c r="B1425" s="861" t="s">
        <v>7423</v>
      </c>
      <c r="C1425" s="861" t="s">
        <v>7424</v>
      </c>
      <c r="D1425" s="861" t="s">
        <v>371</v>
      </c>
      <c r="E1425" s="861"/>
      <c r="F1425" s="862"/>
      <c r="G1425" s="869" t="e">
        <v>#DIV/0!</v>
      </c>
      <c r="H1425" s="874">
        <v>2996618.39</v>
      </c>
      <c r="I1425" s="871"/>
      <c r="J1425" s="863"/>
      <c r="K1425" s="868">
        <f t="shared" si="110"/>
        <v>316</v>
      </c>
      <c r="L1425" s="861"/>
      <c r="M1425" s="671">
        <f t="shared" si="111"/>
        <v>1423</v>
      </c>
      <c r="N1425" s="671" t="str">
        <f t="shared" si="112"/>
        <v>N/A</v>
      </c>
      <c r="O1425" s="671">
        <f t="shared" si="113"/>
        <v>708</v>
      </c>
      <c r="P1425" s="863" t="s">
        <v>448</v>
      </c>
      <c r="Q1425" s="863" t="s">
        <v>4632</v>
      </c>
      <c r="R1425" s="861"/>
      <c r="S1425" s="861" t="s">
        <v>5299</v>
      </c>
      <c r="T1425" s="866" t="s">
        <v>7425</v>
      </c>
      <c r="U1425" s="865"/>
    </row>
    <row r="1426" spans="1:21" ht="15">
      <c r="A1426" s="672"/>
      <c r="B1426" s="861" t="s">
        <v>7426</v>
      </c>
      <c r="C1426" s="861" t="s">
        <v>7427</v>
      </c>
      <c r="D1426" s="861" t="s">
        <v>371</v>
      </c>
      <c r="E1426" s="861"/>
      <c r="F1426" s="862"/>
      <c r="G1426" s="869" t="e">
        <v>#DIV/0!</v>
      </c>
      <c r="H1426" s="874">
        <v>2980766.46</v>
      </c>
      <c r="I1426" s="871"/>
      <c r="J1426" s="863" t="s">
        <v>7428</v>
      </c>
      <c r="K1426" s="868">
        <f t="shared" si="110"/>
        <v>316</v>
      </c>
      <c r="L1426" s="861"/>
      <c r="M1426" s="671">
        <f t="shared" si="111"/>
        <v>1424</v>
      </c>
      <c r="N1426" s="671" t="str">
        <f t="shared" si="112"/>
        <v>N/A</v>
      </c>
      <c r="O1426" s="671" t="str">
        <f t="shared" si="113"/>
        <v>N/A</v>
      </c>
      <c r="P1426" s="861" t="s">
        <v>1064</v>
      </c>
      <c r="Q1426" s="861"/>
      <c r="R1426" s="861"/>
      <c r="S1426" s="861" t="s">
        <v>404</v>
      </c>
      <c r="T1426" s="866" t="s">
        <v>7429</v>
      </c>
      <c r="U1426" s="865"/>
    </row>
    <row r="1427" spans="1:21" ht="15">
      <c r="A1427" s="857"/>
      <c r="B1427" s="861" t="s">
        <v>7430</v>
      </c>
      <c r="C1427" s="861" t="s">
        <v>7431</v>
      </c>
      <c r="D1427" s="861" t="s">
        <v>371</v>
      </c>
      <c r="E1427" s="861"/>
      <c r="F1427" s="862"/>
      <c r="G1427" s="870" t="s">
        <v>7432</v>
      </c>
      <c r="H1427" s="874">
        <v>2964307.7</v>
      </c>
      <c r="I1427" s="871"/>
      <c r="J1427" s="863" t="s">
        <v>5475</v>
      </c>
      <c r="K1427" s="868">
        <f t="shared" si="110"/>
        <v>316</v>
      </c>
      <c r="L1427" s="861"/>
      <c r="M1427" s="671">
        <f t="shared" si="111"/>
        <v>1425</v>
      </c>
      <c r="N1427" s="671" t="str">
        <f t="shared" si="112"/>
        <v>N/A</v>
      </c>
      <c r="O1427" s="671" t="str">
        <f t="shared" si="113"/>
        <v>N/A</v>
      </c>
      <c r="P1427" s="861" t="s">
        <v>2559</v>
      </c>
      <c r="Q1427" s="861"/>
      <c r="R1427" s="861"/>
      <c r="S1427" s="861" t="s">
        <v>734</v>
      </c>
      <c r="T1427" s="866" t="s">
        <v>7433</v>
      </c>
      <c r="U1427" s="865"/>
    </row>
    <row r="1428" spans="1:21" ht="15">
      <c r="A1428" s="672"/>
      <c r="B1428" s="861" t="s">
        <v>7434</v>
      </c>
      <c r="C1428" s="861" t="s">
        <v>7435</v>
      </c>
      <c r="D1428" s="861" t="s">
        <v>371</v>
      </c>
      <c r="E1428" s="861"/>
      <c r="F1428" s="862"/>
      <c r="G1428" s="870" t="s">
        <v>7436</v>
      </c>
      <c r="H1428" s="874">
        <v>2921439.78</v>
      </c>
      <c r="I1428" s="871"/>
      <c r="J1428" s="863" t="s">
        <v>7437</v>
      </c>
      <c r="K1428" s="868">
        <f t="shared" si="110"/>
        <v>316</v>
      </c>
      <c r="L1428" s="863" t="s">
        <v>7011</v>
      </c>
      <c r="M1428" s="671">
        <f t="shared" si="111"/>
        <v>1426</v>
      </c>
      <c r="N1428" s="671" t="str">
        <f t="shared" si="112"/>
        <v>N/A</v>
      </c>
      <c r="O1428" s="671" t="str">
        <f t="shared" si="113"/>
        <v>N/A</v>
      </c>
      <c r="P1428" s="861" t="s">
        <v>4834</v>
      </c>
      <c r="Q1428" s="861"/>
      <c r="R1428" s="863" t="s">
        <v>2639</v>
      </c>
      <c r="S1428" s="861" t="s">
        <v>2003</v>
      </c>
      <c r="T1428" s="866" t="s">
        <v>7438</v>
      </c>
      <c r="U1428" s="865"/>
    </row>
    <row r="1429" spans="1:21" ht="15">
      <c r="A1429" s="857"/>
      <c r="B1429" s="861" t="s">
        <v>7439</v>
      </c>
      <c r="C1429" s="861" t="s">
        <v>7440</v>
      </c>
      <c r="D1429" s="861" t="s">
        <v>371</v>
      </c>
      <c r="E1429" s="861"/>
      <c r="F1429" s="862"/>
      <c r="G1429" s="869">
        <v>21.29669256</v>
      </c>
      <c r="H1429" s="874">
        <v>2890004.93</v>
      </c>
      <c r="I1429" s="871"/>
      <c r="J1429" s="863"/>
      <c r="K1429" s="868">
        <f t="shared" si="110"/>
        <v>316</v>
      </c>
      <c r="L1429" s="861" t="s">
        <v>487</v>
      </c>
      <c r="M1429" s="671">
        <f t="shared" si="111"/>
        <v>1427</v>
      </c>
      <c r="N1429" s="671" t="str">
        <f t="shared" si="112"/>
        <v>N/A</v>
      </c>
      <c r="O1429" s="671">
        <f t="shared" si="113"/>
        <v>708</v>
      </c>
      <c r="P1429" s="861" t="s">
        <v>1039</v>
      </c>
      <c r="Q1429" s="861" t="s">
        <v>7073</v>
      </c>
      <c r="R1429" s="861" t="s">
        <v>424</v>
      </c>
      <c r="S1429" s="861" t="s">
        <v>1597</v>
      </c>
      <c r="T1429" s="866" t="s">
        <v>7441</v>
      </c>
      <c r="U1429" s="865"/>
    </row>
    <row r="1430" spans="1:21" ht="15">
      <c r="A1430" s="672"/>
      <c r="B1430" s="861" t="s">
        <v>7442</v>
      </c>
      <c r="C1430" s="861" t="s">
        <v>7443</v>
      </c>
      <c r="D1430" s="861" t="s">
        <v>371</v>
      </c>
      <c r="E1430" s="861"/>
      <c r="F1430" s="862"/>
      <c r="G1430" s="869">
        <v>0</v>
      </c>
      <c r="H1430" s="874">
        <v>2883183.15</v>
      </c>
      <c r="I1430" s="871"/>
      <c r="J1430" s="863" t="s">
        <v>7444</v>
      </c>
      <c r="K1430" s="868">
        <f t="shared" si="110"/>
        <v>316</v>
      </c>
      <c r="L1430" s="861"/>
      <c r="M1430" s="671">
        <f t="shared" si="111"/>
        <v>1428</v>
      </c>
      <c r="N1430" s="671" t="str">
        <f t="shared" si="112"/>
        <v>N/A</v>
      </c>
      <c r="O1430" s="671" t="str">
        <f t="shared" si="113"/>
        <v>N/A</v>
      </c>
      <c r="P1430" s="861" t="s">
        <v>1089</v>
      </c>
      <c r="Q1430" s="861" t="s">
        <v>7445</v>
      </c>
      <c r="R1430" s="861"/>
      <c r="S1430" s="861" t="s">
        <v>2915</v>
      </c>
      <c r="T1430" s="866" t="s">
        <v>7446</v>
      </c>
      <c r="U1430" s="865"/>
    </row>
    <row r="1431" spans="1:21" ht="15">
      <c r="A1431" s="857"/>
      <c r="B1431" s="861" t="s">
        <v>7447</v>
      </c>
      <c r="C1431" s="861" t="s">
        <v>7448</v>
      </c>
      <c r="D1431" s="861" t="s">
        <v>371</v>
      </c>
      <c r="E1431" s="861"/>
      <c r="F1431" s="862"/>
      <c r="G1431" s="870" t="s">
        <v>7449</v>
      </c>
      <c r="H1431" s="874">
        <v>2871145.62</v>
      </c>
      <c r="I1431" s="871"/>
      <c r="J1431" s="862">
        <v>0.24099999999999999</v>
      </c>
      <c r="K1431" s="868">
        <f t="shared" si="110"/>
        <v>316</v>
      </c>
      <c r="L1431" s="861" t="s">
        <v>454</v>
      </c>
      <c r="M1431" s="671">
        <f t="shared" si="111"/>
        <v>1429</v>
      </c>
      <c r="N1431" s="671" t="str">
        <f t="shared" si="112"/>
        <v>N/A</v>
      </c>
      <c r="O1431" s="671">
        <f t="shared" si="113"/>
        <v>196</v>
      </c>
      <c r="P1431" s="861" t="s">
        <v>4255</v>
      </c>
      <c r="Q1431" s="861"/>
      <c r="R1431" s="861"/>
      <c r="S1431" s="861" t="s">
        <v>803</v>
      </c>
      <c r="T1431" s="866" t="s">
        <v>4904</v>
      </c>
      <c r="U1431" s="865"/>
    </row>
    <row r="1432" spans="1:21" ht="15">
      <c r="A1432" s="672"/>
      <c r="B1432" s="861" t="s">
        <v>7450</v>
      </c>
      <c r="C1432" s="861" t="s">
        <v>7451</v>
      </c>
      <c r="D1432" s="861" t="s">
        <v>371</v>
      </c>
      <c r="E1432" s="861"/>
      <c r="F1432" s="862"/>
      <c r="G1432" s="870" t="s">
        <v>7452</v>
      </c>
      <c r="H1432" s="874">
        <v>2867709.07</v>
      </c>
      <c r="I1432" s="871"/>
      <c r="J1432" s="863"/>
      <c r="K1432" s="868">
        <f t="shared" si="110"/>
        <v>316</v>
      </c>
      <c r="L1432" s="863" t="s">
        <v>7059</v>
      </c>
      <c r="M1432" s="671">
        <f t="shared" si="111"/>
        <v>1430</v>
      </c>
      <c r="N1432" s="671" t="str">
        <f t="shared" si="112"/>
        <v>N/A</v>
      </c>
      <c r="O1432" s="671">
        <f t="shared" si="113"/>
        <v>708</v>
      </c>
      <c r="P1432" s="861" t="s">
        <v>5276</v>
      </c>
      <c r="Q1432" s="861"/>
      <c r="R1432" s="863" t="s">
        <v>7453</v>
      </c>
      <c r="S1432" s="861" t="s">
        <v>2944</v>
      </c>
      <c r="T1432" s="866" t="s">
        <v>7454</v>
      </c>
      <c r="U1432" s="865"/>
    </row>
    <row r="1433" spans="1:21" ht="15">
      <c r="A1433" s="857"/>
      <c r="B1433" s="861" t="s">
        <v>7455</v>
      </c>
      <c r="C1433" s="861" t="s">
        <v>7456</v>
      </c>
      <c r="D1433" s="861" t="s">
        <v>371</v>
      </c>
      <c r="E1433" s="861"/>
      <c r="F1433" s="862"/>
      <c r="G1433" s="869" t="e">
        <v>#DIV/0!</v>
      </c>
      <c r="H1433" s="874">
        <v>2845555.73</v>
      </c>
      <c r="I1433" s="871"/>
      <c r="J1433" s="862">
        <v>0.45200000000000001</v>
      </c>
      <c r="K1433" s="868">
        <f t="shared" si="110"/>
        <v>316</v>
      </c>
      <c r="L1433" s="861" t="s">
        <v>690</v>
      </c>
      <c r="M1433" s="671">
        <f t="shared" si="111"/>
        <v>1431</v>
      </c>
      <c r="N1433" s="671" t="str">
        <f t="shared" si="112"/>
        <v>N/A</v>
      </c>
      <c r="O1433" s="671">
        <f t="shared" si="113"/>
        <v>38</v>
      </c>
      <c r="P1433" s="861" t="s">
        <v>7457</v>
      </c>
      <c r="Q1433" s="861" t="s">
        <v>4914</v>
      </c>
      <c r="R1433" s="861" t="s">
        <v>904</v>
      </c>
      <c r="S1433" s="861" t="s">
        <v>7458</v>
      </c>
      <c r="T1433" s="866" t="s">
        <v>7459</v>
      </c>
      <c r="U1433" s="865"/>
    </row>
    <row r="1434" spans="1:21" ht="15">
      <c r="A1434" s="672"/>
      <c r="B1434" s="861" t="s">
        <v>7460</v>
      </c>
      <c r="C1434" s="861" t="s">
        <v>7461</v>
      </c>
      <c r="D1434" s="861" t="s">
        <v>371</v>
      </c>
      <c r="E1434" s="861"/>
      <c r="F1434" s="862"/>
      <c r="G1434" s="869">
        <v>0</v>
      </c>
      <c r="H1434" s="874">
        <v>2807720.34</v>
      </c>
      <c r="I1434" s="871"/>
      <c r="J1434" s="863"/>
      <c r="K1434" s="868">
        <f t="shared" si="110"/>
        <v>316</v>
      </c>
      <c r="L1434" s="861"/>
      <c r="M1434" s="671">
        <f t="shared" si="111"/>
        <v>1432</v>
      </c>
      <c r="N1434" s="671" t="str">
        <f t="shared" si="112"/>
        <v>N/A</v>
      </c>
      <c r="O1434" s="671">
        <f t="shared" si="113"/>
        <v>708</v>
      </c>
      <c r="P1434" s="861" t="s">
        <v>718</v>
      </c>
      <c r="Q1434" s="861"/>
      <c r="R1434" s="861"/>
      <c r="S1434" s="861" t="s">
        <v>563</v>
      </c>
      <c r="T1434" s="866" t="s">
        <v>7462</v>
      </c>
      <c r="U1434" s="865"/>
    </row>
    <row r="1435" spans="1:21" ht="15">
      <c r="A1435" s="857"/>
      <c r="B1435" s="861" t="s">
        <v>7463</v>
      </c>
      <c r="C1435" s="861" t="s">
        <v>7464</v>
      </c>
      <c r="D1435" s="861" t="s">
        <v>371</v>
      </c>
      <c r="E1435" s="861"/>
      <c r="F1435" s="862"/>
      <c r="G1435" s="870" t="s">
        <v>7465</v>
      </c>
      <c r="H1435" s="874">
        <v>2778117.69</v>
      </c>
      <c r="I1435" s="871"/>
      <c r="J1435" s="863"/>
      <c r="K1435" s="868">
        <f t="shared" si="110"/>
        <v>316</v>
      </c>
      <c r="L1435" s="861"/>
      <c r="M1435" s="671">
        <f t="shared" si="111"/>
        <v>1433</v>
      </c>
      <c r="N1435" s="671" t="str">
        <f t="shared" si="112"/>
        <v>N/A</v>
      </c>
      <c r="O1435" s="671">
        <f t="shared" si="113"/>
        <v>708</v>
      </c>
      <c r="P1435" s="861" t="s">
        <v>7466</v>
      </c>
      <c r="Q1435" s="861"/>
      <c r="R1435" s="861"/>
      <c r="S1435" s="861" t="s">
        <v>1536</v>
      </c>
      <c r="T1435" s="866" t="s">
        <v>7467</v>
      </c>
      <c r="U1435" s="865"/>
    </row>
    <row r="1436" spans="1:21" ht="15">
      <c r="A1436" s="672"/>
      <c r="B1436" s="861" t="s">
        <v>7468</v>
      </c>
      <c r="C1436" s="861" t="s">
        <v>7469</v>
      </c>
      <c r="D1436" s="861" t="s">
        <v>371</v>
      </c>
      <c r="E1436" s="861"/>
      <c r="F1436" s="862"/>
      <c r="G1436" s="869">
        <v>9.7034811879999996</v>
      </c>
      <c r="H1436" s="874">
        <v>2778042.51</v>
      </c>
      <c r="I1436" s="871"/>
      <c r="J1436" s="862">
        <v>3.5000000000000003E-2</v>
      </c>
      <c r="K1436" s="868">
        <f t="shared" si="110"/>
        <v>316</v>
      </c>
      <c r="L1436" s="861"/>
      <c r="M1436" s="671">
        <f t="shared" si="111"/>
        <v>1434</v>
      </c>
      <c r="N1436" s="671" t="str">
        <f t="shared" si="112"/>
        <v>N/A</v>
      </c>
      <c r="O1436" s="671">
        <f t="shared" si="113"/>
        <v>641</v>
      </c>
      <c r="P1436" s="861" t="s">
        <v>2117</v>
      </c>
      <c r="Q1436" s="861"/>
      <c r="R1436" s="861"/>
      <c r="S1436" s="861" t="s">
        <v>734</v>
      </c>
      <c r="T1436" s="866" t="s">
        <v>7470</v>
      </c>
      <c r="U1436" s="865"/>
    </row>
    <row r="1437" spans="1:21" ht="15">
      <c r="A1437" s="857"/>
      <c r="B1437" s="861" t="s">
        <v>7471</v>
      </c>
      <c r="C1437" s="861" t="s">
        <v>7472</v>
      </c>
      <c r="D1437" s="861" t="s">
        <v>371</v>
      </c>
      <c r="E1437" s="861"/>
      <c r="F1437" s="862"/>
      <c r="G1437" s="870" t="s">
        <v>7473</v>
      </c>
      <c r="H1437" s="874">
        <v>2747146.75</v>
      </c>
      <c r="I1437" s="871"/>
      <c r="J1437" s="863" t="s">
        <v>7474</v>
      </c>
      <c r="K1437" s="868">
        <f t="shared" si="110"/>
        <v>316</v>
      </c>
      <c r="L1437" s="863" t="s">
        <v>3148</v>
      </c>
      <c r="M1437" s="671">
        <f t="shared" si="111"/>
        <v>1435</v>
      </c>
      <c r="N1437" s="671" t="str">
        <f t="shared" si="112"/>
        <v>N/A</v>
      </c>
      <c r="O1437" s="671" t="str">
        <f t="shared" si="113"/>
        <v>N/A</v>
      </c>
      <c r="P1437" s="861" t="s">
        <v>5184</v>
      </c>
      <c r="Q1437" s="861"/>
      <c r="R1437" s="863" t="s">
        <v>3508</v>
      </c>
      <c r="S1437" s="861" t="s">
        <v>5276</v>
      </c>
      <c r="T1437" s="866" t="s">
        <v>7475</v>
      </c>
      <c r="U1437" s="865"/>
    </row>
    <row r="1438" spans="1:21" ht="15">
      <c r="A1438" s="672"/>
      <c r="B1438" s="861" t="s">
        <v>7476</v>
      </c>
      <c r="C1438" s="861" t="s">
        <v>7477</v>
      </c>
      <c r="D1438" s="861" t="s">
        <v>371</v>
      </c>
      <c r="E1438" s="861"/>
      <c r="F1438" s="862"/>
      <c r="G1438" s="870" t="s">
        <v>7478</v>
      </c>
      <c r="H1438" s="874">
        <v>2706604.87</v>
      </c>
      <c r="I1438" s="871"/>
      <c r="J1438" s="863" t="s">
        <v>7479</v>
      </c>
      <c r="K1438" s="868">
        <f t="shared" si="110"/>
        <v>316</v>
      </c>
      <c r="L1438" s="861"/>
      <c r="M1438" s="671">
        <f t="shared" si="111"/>
        <v>1436</v>
      </c>
      <c r="N1438" s="671" t="str">
        <f t="shared" si="112"/>
        <v>N/A</v>
      </c>
      <c r="O1438" s="671" t="str">
        <f t="shared" si="113"/>
        <v>N/A</v>
      </c>
      <c r="P1438" s="861"/>
      <c r="Q1438" s="861"/>
      <c r="R1438" s="861"/>
      <c r="S1438" s="861" t="s">
        <v>1852</v>
      </c>
      <c r="T1438" s="866" t="s">
        <v>7480</v>
      </c>
      <c r="U1438" s="865"/>
    </row>
    <row r="1439" spans="1:21" ht="15">
      <c r="A1439" s="857"/>
      <c r="B1439" s="861" t="s">
        <v>7481</v>
      </c>
      <c r="C1439" s="861" t="s">
        <v>7482</v>
      </c>
      <c r="D1439" s="861" t="s">
        <v>371</v>
      </c>
      <c r="E1439" s="861"/>
      <c r="F1439" s="862"/>
      <c r="G1439" s="870" t="s">
        <v>7483</v>
      </c>
      <c r="H1439" s="874">
        <v>2637911.9900000002</v>
      </c>
      <c r="I1439" s="871"/>
      <c r="J1439" s="863"/>
      <c r="K1439" s="868">
        <f t="shared" si="110"/>
        <v>316</v>
      </c>
      <c r="L1439" s="861"/>
      <c r="M1439" s="671">
        <f t="shared" si="111"/>
        <v>1437</v>
      </c>
      <c r="N1439" s="671" t="str">
        <f t="shared" si="112"/>
        <v>N/A</v>
      </c>
      <c r="O1439" s="671">
        <f t="shared" si="113"/>
        <v>708</v>
      </c>
      <c r="P1439" s="861" t="s">
        <v>7484</v>
      </c>
      <c r="Q1439" s="861"/>
      <c r="R1439" s="861"/>
      <c r="S1439" s="861" t="s">
        <v>1433</v>
      </c>
      <c r="T1439" s="866" t="s">
        <v>7485</v>
      </c>
      <c r="U1439" s="865"/>
    </row>
    <row r="1440" spans="1:21" ht="15">
      <c r="A1440" s="672"/>
      <c r="B1440" s="861" t="s">
        <v>7486</v>
      </c>
      <c r="C1440" s="861" t="s">
        <v>7487</v>
      </c>
      <c r="D1440" s="861" t="s">
        <v>371</v>
      </c>
      <c r="E1440" s="861"/>
      <c r="F1440" s="862"/>
      <c r="G1440" s="869" t="e">
        <v>#DIV/0!</v>
      </c>
      <c r="H1440" s="874">
        <v>2622402.69</v>
      </c>
      <c r="I1440" s="871"/>
      <c r="J1440" s="861"/>
      <c r="K1440" s="868">
        <f t="shared" si="110"/>
        <v>316</v>
      </c>
      <c r="L1440" s="861"/>
      <c r="M1440" s="671">
        <f t="shared" si="111"/>
        <v>1438</v>
      </c>
      <c r="N1440" s="671" t="str">
        <f t="shared" si="112"/>
        <v>N/A</v>
      </c>
      <c r="O1440" s="671">
        <f t="shared" si="113"/>
        <v>708</v>
      </c>
      <c r="P1440" s="861" t="s">
        <v>3092</v>
      </c>
      <c r="Q1440" s="861" t="s">
        <v>7488</v>
      </c>
      <c r="R1440" s="861"/>
      <c r="S1440" s="861" t="s">
        <v>7489</v>
      </c>
      <c r="T1440" s="866" t="s">
        <v>7490</v>
      </c>
      <c r="U1440" s="865"/>
    </row>
    <row r="1441" spans="1:21" ht="15">
      <c r="A1441" s="857"/>
      <c r="B1441" s="861" t="s">
        <v>7491</v>
      </c>
      <c r="C1441" s="861" t="s">
        <v>7492</v>
      </c>
      <c r="D1441" s="861" t="s">
        <v>371</v>
      </c>
      <c r="E1441" s="861"/>
      <c r="F1441" s="862"/>
      <c r="G1441" s="869" t="e">
        <v>#DIV/0!</v>
      </c>
      <c r="H1441" s="874">
        <v>2572668.3199999998</v>
      </c>
      <c r="I1441" s="871"/>
      <c r="J1441" s="863" t="s">
        <v>7493</v>
      </c>
      <c r="K1441" s="868">
        <f t="shared" si="110"/>
        <v>316</v>
      </c>
      <c r="L1441" s="863" t="s">
        <v>3148</v>
      </c>
      <c r="M1441" s="671">
        <f t="shared" si="111"/>
        <v>1439</v>
      </c>
      <c r="N1441" s="671" t="str">
        <f t="shared" si="112"/>
        <v>N/A</v>
      </c>
      <c r="O1441" s="671" t="str">
        <f t="shared" si="113"/>
        <v>N/A</v>
      </c>
      <c r="P1441" s="861" t="s">
        <v>7494</v>
      </c>
      <c r="Q1441" s="861"/>
      <c r="R1441" s="863" t="s">
        <v>5178</v>
      </c>
      <c r="S1441" s="861" t="s">
        <v>3239</v>
      </c>
      <c r="T1441" s="866" t="s">
        <v>7495</v>
      </c>
      <c r="U1441" s="865"/>
    </row>
    <row r="1442" spans="1:21" ht="15">
      <c r="A1442" s="672"/>
      <c r="B1442" s="861" t="s">
        <v>7496</v>
      </c>
      <c r="C1442" s="861" t="s">
        <v>7497</v>
      </c>
      <c r="D1442" s="861" t="s">
        <v>371</v>
      </c>
      <c r="E1442" s="861"/>
      <c r="F1442" s="862"/>
      <c r="G1442" s="870" t="s">
        <v>7498</v>
      </c>
      <c r="H1442" s="874">
        <v>2520155.27</v>
      </c>
      <c r="I1442" s="871"/>
      <c r="J1442" s="863"/>
      <c r="K1442" s="868">
        <f t="shared" si="110"/>
        <v>316</v>
      </c>
      <c r="L1442" s="861"/>
      <c r="M1442" s="671">
        <f t="shared" si="111"/>
        <v>1440</v>
      </c>
      <c r="N1442" s="671" t="str">
        <f t="shared" si="112"/>
        <v>N/A</v>
      </c>
      <c r="O1442" s="671">
        <f t="shared" si="113"/>
        <v>708</v>
      </c>
      <c r="P1442" s="861" t="s">
        <v>7499</v>
      </c>
      <c r="Q1442" s="861"/>
      <c r="R1442" s="861"/>
      <c r="S1442" s="861" t="s">
        <v>784</v>
      </c>
      <c r="T1442" s="866" t="s">
        <v>7500</v>
      </c>
      <c r="U1442" s="865"/>
    </row>
    <row r="1443" spans="1:21" ht="15">
      <c r="A1443" s="857"/>
      <c r="B1443" s="861" t="s">
        <v>7501</v>
      </c>
      <c r="C1443" s="861" t="s">
        <v>7502</v>
      </c>
      <c r="D1443" s="861" t="s">
        <v>371</v>
      </c>
      <c r="E1443" s="861"/>
      <c r="F1443" s="862"/>
      <c r="G1443" s="869" t="e">
        <v>#DIV/0!</v>
      </c>
      <c r="H1443" s="874">
        <v>2506972.42</v>
      </c>
      <c r="I1443" s="871"/>
      <c r="J1443" s="863" t="s">
        <v>7503</v>
      </c>
      <c r="K1443" s="868">
        <f t="shared" si="110"/>
        <v>316</v>
      </c>
      <c r="L1443" s="861" t="s">
        <v>1031</v>
      </c>
      <c r="M1443" s="671">
        <f t="shared" si="111"/>
        <v>1441</v>
      </c>
      <c r="N1443" s="671" t="str">
        <f t="shared" si="112"/>
        <v>N/A</v>
      </c>
      <c r="O1443" s="671" t="str">
        <f t="shared" si="113"/>
        <v>N/A</v>
      </c>
      <c r="P1443" s="861" t="s">
        <v>5610</v>
      </c>
      <c r="Q1443" s="861"/>
      <c r="R1443" s="861" t="s">
        <v>392</v>
      </c>
      <c r="S1443" s="861" t="s">
        <v>7504</v>
      </c>
      <c r="T1443" s="866" t="s">
        <v>7505</v>
      </c>
      <c r="U1443" s="865"/>
    </row>
    <row r="1444" spans="1:21" ht="15">
      <c r="A1444" s="672"/>
      <c r="B1444" s="861" t="s">
        <v>7506</v>
      </c>
      <c r="C1444" s="861" t="s">
        <v>7507</v>
      </c>
      <c r="D1444" s="861" t="s">
        <v>371</v>
      </c>
      <c r="E1444" s="861"/>
      <c r="F1444" s="862">
        <v>-1.7549999999999999</v>
      </c>
      <c r="G1444" s="870" t="s">
        <v>7508</v>
      </c>
      <c r="H1444" s="874">
        <v>2488902.41</v>
      </c>
      <c r="I1444" s="871"/>
      <c r="J1444" s="863"/>
      <c r="K1444" s="868">
        <f t="shared" si="110"/>
        <v>497</v>
      </c>
      <c r="L1444" s="861"/>
      <c r="M1444" s="671">
        <f t="shared" si="111"/>
        <v>1442</v>
      </c>
      <c r="N1444" s="671" t="str">
        <f t="shared" si="112"/>
        <v>N/A</v>
      </c>
      <c r="O1444" s="671">
        <f t="shared" si="113"/>
        <v>708</v>
      </c>
      <c r="P1444" s="861" t="s">
        <v>1645</v>
      </c>
      <c r="Q1444" s="861"/>
      <c r="R1444" s="861"/>
      <c r="S1444" s="861" t="s">
        <v>931</v>
      </c>
      <c r="T1444" s="866" t="s">
        <v>7509</v>
      </c>
      <c r="U1444" s="865"/>
    </row>
    <row r="1445" spans="1:21" ht="15">
      <c r="A1445" s="857"/>
      <c r="B1445" s="861" t="s">
        <v>7510</v>
      </c>
      <c r="C1445" s="861" t="s">
        <v>7511</v>
      </c>
      <c r="D1445" s="861" t="s">
        <v>371</v>
      </c>
      <c r="E1445" s="861"/>
      <c r="F1445" s="862"/>
      <c r="G1445" s="870" t="s">
        <v>7512</v>
      </c>
      <c r="H1445" s="874">
        <v>2480583</v>
      </c>
      <c r="I1445" s="871"/>
      <c r="J1445" s="862">
        <v>3.5999999999999997E-2</v>
      </c>
      <c r="K1445" s="868">
        <f t="shared" si="110"/>
        <v>316</v>
      </c>
      <c r="L1445" s="863" t="s">
        <v>1995</v>
      </c>
      <c r="M1445" s="671">
        <f t="shared" si="111"/>
        <v>1443</v>
      </c>
      <c r="N1445" s="671" t="str">
        <f t="shared" si="112"/>
        <v>N/A</v>
      </c>
      <c r="O1445" s="671">
        <f t="shared" si="113"/>
        <v>639</v>
      </c>
      <c r="P1445" s="861" t="s">
        <v>2195</v>
      </c>
      <c r="Q1445" s="861"/>
      <c r="R1445" s="863" t="s">
        <v>2094</v>
      </c>
      <c r="S1445" s="861" t="s">
        <v>1609</v>
      </c>
      <c r="T1445" s="866" t="s">
        <v>7513</v>
      </c>
      <c r="U1445" s="865"/>
    </row>
    <row r="1446" spans="1:21" ht="15">
      <c r="A1446" s="672"/>
      <c r="B1446" s="861" t="s">
        <v>7514</v>
      </c>
      <c r="C1446" s="861" t="s">
        <v>7515</v>
      </c>
      <c r="D1446" s="861" t="s">
        <v>371</v>
      </c>
      <c r="E1446" s="861"/>
      <c r="F1446" s="862"/>
      <c r="G1446" s="869">
        <v>4.6358366999999998E-2</v>
      </c>
      <c r="H1446" s="874">
        <v>2458332.4500000002</v>
      </c>
      <c r="I1446" s="871">
        <v>39.9</v>
      </c>
      <c r="J1446" s="863" t="s">
        <v>7516</v>
      </c>
      <c r="K1446" s="868">
        <f t="shared" si="110"/>
        <v>316</v>
      </c>
      <c r="L1446" s="861"/>
      <c r="M1446" s="671">
        <f t="shared" si="111"/>
        <v>1444</v>
      </c>
      <c r="N1446" s="671">
        <f t="shared" si="112"/>
        <v>110</v>
      </c>
      <c r="O1446" s="671" t="str">
        <f t="shared" si="113"/>
        <v>N/A</v>
      </c>
      <c r="P1446" s="861" t="s">
        <v>7517</v>
      </c>
      <c r="Q1446" s="861" t="s">
        <v>7518</v>
      </c>
      <c r="R1446" s="861"/>
      <c r="S1446" s="861" t="s">
        <v>1886</v>
      </c>
      <c r="T1446" s="866" t="s">
        <v>7519</v>
      </c>
      <c r="U1446" s="865"/>
    </row>
    <row r="1447" spans="1:21" ht="15">
      <c r="A1447" s="857"/>
      <c r="B1447" s="861" t="s">
        <v>7520</v>
      </c>
      <c r="C1447" s="861" t="s">
        <v>7521</v>
      </c>
      <c r="D1447" s="861" t="s">
        <v>371</v>
      </c>
      <c r="E1447" s="861"/>
      <c r="F1447" s="862"/>
      <c r="G1447" s="869">
        <v>0</v>
      </c>
      <c r="H1447" s="874">
        <v>2440914.0699999998</v>
      </c>
      <c r="I1447" s="871"/>
      <c r="J1447" s="863" t="s">
        <v>7522</v>
      </c>
      <c r="K1447" s="868">
        <f t="shared" si="110"/>
        <v>316</v>
      </c>
      <c r="L1447" s="861" t="s">
        <v>424</v>
      </c>
      <c r="M1447" s="671">
        <f t="shared" si="111"/>
        <v>1445</v>
      </c>
      <c r="N1447" s="671" t="str">
        <f t="shared" si="112"/>
        <v>N/A</v>
      </c>
      <c r="O1447" s="671" t="str">
        <f t="shared" si="113"/>
        <v>N/A</v>
      </c>
      <c r="P1447" s="861" t="s">
        <v>942</v>
      </c>
      <c r="Q1447" s="861"/>
      <c r="R1447" s="861" t="s">
        <v>424</v>
      </c>
      <c r="S1447" s="861" t="s">
        <v>2459</v>
      </c>
      <c r="T1447" s="866" t="s">
        <v>7523</v>
      </c>
      <c r="U1447" s="865"/>
    </row>
    <row r="1448" spans="1:21" ht="15">
      <c r="A1448" s="672"/>
      <c r="B1448" s="861" t="s">
        <v>7524</v>
      </c>
      <c r="C1448" s="861" t="s">
        <v>7525</v>
      </c>
      <c r="D1448" s="861" t="s">
        <v>371</v>
      </c>
      <c r="E1448" s="861"/>
      <c r="F1448" s="862"/>
      <c r="G1448" s="870" t="s">
        <v>7526</v>
      </c>
      <c r="H1448" s="874">
        <v>2396461.63</v>
      </c>
      <c r="I1448" s="871"/>
      <c r="J1448" s="863"/>
      <c r="K1448" s="868">
        <f t="shared" si="110"/>
        <v>316</v>
      </c>
      <c r="L1448" s="863" t="s">
        <v>7527</v>
      </c>
      <c r="M1448" s="671">
        <f t="shared" si="111"/>
        <v>1446</v>
      </c>
      <c r="N1448" s="671" t="str">
        <f t="shared" si="112"/>
        <v>N/A</v>
      </c>
      <c r="O1448" s="671">
        <f t="shared" si="113"/>
        <v>708</v>
      </c>
      <c r="P1448" s="861" t="s">
        <v>2459</v>
      </c>
      <c r="Q1448" s="861"/>
      <c r="R1448" s="863" t="s">
        <v>5420</v>
      </c>
      <c r="S1448" s="861" t="s">
        <v>1406</v>
      </c>
      <c r="T1448" s="866" t="s">
        <v>7528</v>
      </c>
      <c r="U1448" s="865"/>
    </row>
    <row r="1449" spans="1:21" ht="15">
      <c r="A1449" s="857"/>
      <c r="B1449" s="861" t="s">
        <v>7529</v>
      </c>
      <c r="C1449" s="861" t="s">
        <v>7530</v>
      </c>
      <c r="D1449" s="861" t="s">
        <v>371</v>
      </c>
      <c r="E1449" s="861"/>
      <c r="F1449" s="862"/>
      <c r="G1449" s="869" t="e">
        <v>#DIV/0!</v>
      </c>
      <c r="H1449" s="874">
        <v>2371635.81</v>
      </c>
      <c r="I1449" s="871"/>
      <c r="J1449" s="861"/>
      <c r="K1449" s="868">
        <f t="shared" si="110"/>
        <v>316</v>
      </c>
      <c r="L1449" s="861" t="s">
        <v>3047</v>
      </c>
      <c r="M1449" s="671">
        <f t="shared" si="111"/>
        <v>1447</v>
      </c>
      <c r="N1449" s="671" t="str">
        <f t="shared" si="112"/>
        <v>N/A</v>
      </c>
      <c r="O1449" s="671">
        <f t="shared" si="113"/>
        <v>708</v>
      </c>
      <c r="P1449" s="861" t="s">
        <v>4006</v>
      </c>
      <c r="Q1449" s="861" t="s">
        <v>7531</v>
      </c>
      <c r="R1449" s="861" t="s">
        <v>390</v>
      </c>
      <c r="S1449" s="861" t="s">
        <v>7532</v>
      </c>
      <c r="T1449" s="866" t="s">
        <v>7533</v>
      </c>
      <c r="U1449" s="865"/>
    </row>
    <row r="1450" spans="1:21" ht="15">
      <c r="A1450" s="672"/>
      <c r="B1450" s="861" t="s">
        <v>7534</v>
      </c>
      <c r="C1450" s="861" t="s">
        <v>7535</v>
      </c>
      <c r="D1450" s="861" t="s">
        <v>371</v>
      </c>
      <c r="E1450" s="861"/>
      <c r="F1450" s="862"/>
      <c r="G1450" s="869" t="e">
        <v>#DIV/0!</v>
      </c>
      <c r="H1450" s="874">
        <v>2364855.33</v>
      </c>
      <c r="I1450" s="871"/>
      <c r="J1450" s="863" t="s">
        <v>5475</v>
      </c>
      <c r="K1450" s="868">
        <f t="shared" si="110"/>
        <v>316</v>
      </c>
      <c r="L1450" s="863" t="s">
        <v>2611</v>
      </c>
      <c r="M1450" s="671">
        <f t="shared" si="111"/>
        <v>1448</v>
      </c>
      <c r="N1450" s="671" t="str">
        <f t="shared" si="112"/>
        <v>N/A</v>
      </c>
      <c r="O1450" s="671" t="str">
        <f t="shared" si="113"/>
        <v>N/A</v>
      </c>
      <c r="P1450" s="861" t="s">
        <v>540</v>
      </c>
      <c r="Q1450" s="861"/>
      <c r="R1450" s="861"/>
      <c r="S1450" s="861" t="s">
        <v>748</v>
      </c>
      <c r="T1450" s="866" t="s">
        <v>7536</v>
      </c>
      <c r="U1450" s="865"/>
    </row>
    <row r="1451" spans="1:21" ht="15">
      <c r="A1451" s="857"/>
      <c r="B1451" s="861" t="s">
        <v>7537</v>
      </c>
      <c r="C1451" s="861" t="s">
        <v>7538</v>
      </c>
      <c r="D1451" s="861" t="s">
        <v>371</v>
      </c>
      <c r="E1451" s="861"/>
      <c r="F1451" s="862"/>
      <c r="G1451" s="870" t="s">
        <v>7539</v>
      </c>
      <c r="H1451" s="874">
        <v>2343492.14</v>
      </c>
      <c r="I1451" s="871"/>
      <c r="J1451" s="863"/>
      <c r="K1451" s="868">
        <f t="shared" si="110"/>
        <v>316</v>
      </c>
      <c r="L1451" s="863" t="s">
        <v>7540</v>
      </c>
      <c r="M1451" s="671">
        <f t="shared" si="111"/>
        <v>1449</v>
      </c>
      <c r="N1451" s="671" t="str">
        <f t="shared" si="112"/>
        <v>N/A</v>
      </c>
      <c r="O1451" s="671">
        <f t="shared" si="113"/>
        <v>708</v>
      </c>
      <c r="P1451" s="861" t="s">
        <v>2195</v>
      </c>
      <c r="Q1451" s="861"/>
      <c r="R1451" s="863" t="s">
        <v>7541</v>
      </c>
      <c r="S1451" s="861" t="s">
        <v>882</v>
      </c>
      <c r="T1451" s="866" t="s">
        <v>7542</v>
      </c>
      <c r="U1451" s="865"/>
    </row>
    <row r="1452" spans="1:21" ht="15">
      <c r="A1452" s="672"/>
      <c r="B1452" s="861" t="s">
        <v>7543</v>
      </c>
      <c r="C1452" s="861" t="s">
        <v>7544</v>
      </c>
      <c r="D1452" s="861" t="s">
        <v>371</v>
      </c>
      <c r="E1452" s="861"/>
      <c r="F1452" s="862"/>
      <c r="G1452" s="870" t="s">
        <v>7545</v>
      </c>
      <c r="H1452" s="874">
        <v>2328763.14</v>
      </c>
      <c r="I1452" s="871"/>
      <c r="J1452" s="861"/>
      <c r="K1452" s="868">
        <f t="shared" si="110"/>
        <v>316</v>
      </c>
      <c r="L1452" s="861"/>
      <c r="M1452" s="671">
        <f t="shared" si="111"/>
        <v>1450</v>
      </c>
      <c r="N1452" s="671" t="str">
        <f t="shared" si="112"/>
        <v>N/A</v>
      </c>
      <c r="O1452" s="671">
        <f t="shared" si="113"/>
        <v>708</v>
      </c>
      <c r="P1452" s="861"/>
      <c r="Q1452" s="861"/>
      <c r="R1452" s="861"/>
      <c r="S1452" s="861" t="s">
        <v>392</v>
      </c>
      <c r="T1452" s="866" t="s">
        <v>7546</v>
      </c>
      <c r="U1452" s="865"/>
    </row>
    <row r="1453" spans="1:21" ht="15">
      <c r="A1453" s="857"/>
      <c r="B1453" s="861" t="s">
        <v>7547</v>
      </c>
      <c r="C1453" s="861" t="s">
        <v>7548</v>
      </c>
      <c r="D1453" s="861" t="s">
        <v>371</v>
      </c>
      <c r="E1453" s="861"/>
      <c r="F1453" s="862"/>
      <c r="G1453" s="869" t="e">
        <v>#DIV/0!</v>
      </c>
      <c r="H1453" s="874">
        <v>2268324.54</v>
      </c>
      <c r="I1453" s="871"/>
      <c r="J1453" s="862">
        <v>0.33500000000000002</v>
      </c>
      <c r="K1453" s="868">
        <f t="shared" si="110"/>
        <v>316</v>
      </c>
      <c r="L1453" s="863" t="s">
        <v>7415</v>
      </c>
      <c r="M1453" s="671">
        <f t="shared" si="111"/>
        <v>1451</v>
      </c>
      <c r="N1453" s="671" t="str">
        <f t="shared" si="112"/>
        <v>N/A</v>
      </c>
      <c r="O1453" s="671">
        <f t="shared" si="113"/>
        <v>89</v>
      </c>
      <c r="P1453" s="861" t="s">
        <v>1360</v>
      </c>
      <c r="Q1453" s="861" t="s">
        <v>5661</v>
      </c>
      <c r="R1453" s="861"/>
      <c r="S1453" s="861" t="s">
        <v>825</v>
      </c>
      <c r="T1453" s="866" t="s">
        <v>7549</v>
      </c>
      <c r="U1453" s="865"/>
    </row>
    <row r="1454" spans="1:21" ht="15">
      <c r="A1454" s="672"/>
      <c r="B1454" s="861" t="s">
        <v>7550</v>
      </c>
      <c r="C1454" s="861" t="s">
        <v>7551</v>
      </c>
      <c r="D1454" s="861" t="s">
        <v>371</v>
      </c>
      <c r="E1454" s="861"/>
      <c r="F1454" s="862"/>
      <c r="G1454" s="869">
        <v>6.5986463149999999</v>
      </c>
      <c r="H1454" s="874">
        <v>2265251.2400000002</v>
      </c>
      <c r="I1454" s="871"/>
      <c r="J1454" s="863"/>
      <c r="K1454" s="868">
        <f t="shared" si="110"/>
        <v>316</v>
      </c>
      <c r="L1454" s="861"/>
      <c r="M1454" s="671">
        <f t="shared" si="111"/>
        <v>1452</v>
      </c>
      <c r="N1454" s="671" t="str">
        <f t="shared" si="112"/>
        <v>N/A</v>
      </c>
      <c r="O1454" s="671">
        <f t="shared" si="113"/>
        <v>708</v>
      </c>
      <c r="P1454" s="861" t="s">
        <v>868</v>
      </c>
      <c r="Q1454" s="861"/>
      <c r="R1454" s="863" t="s">
        <v>1420</v>
      </c>
      <c r="S1454" s="861" t="s">
        <v>517</v>
      </c>
      <c r="T1454" s="866" t="s">
        <v>7552</v>
      </c>
      <c r="U1454" s="865"/>
    </row>
    <row r="1455" spans="1:21" ht="15">
      <c r="A1455" s="857"/>
      <c r="B1455" s="861" t="s">
        <v>7553</v>
      </c>
      <c r="C1455" s="861" t="s">
        <v>7554</v>
      </c>
      <c r="D1455" s="861" t="s">
        <v>371</v>
      </c>
      <c r="E1455" s="861"/>
      <c r="F1455" s="862"/>
      <c r="G1455" s="870" t="s">
        <v>7555</v>
      </c>
      <c r="H1455" s="874">
        <v>2264970.5499999998</v>
      </c>
      <c r="I1455" s="871"/>
      <c r="J1455" s="861"/>
      <c r="K1455" s="868">
        <f t="shared" si="110"/>
        <v>316</v>
      </c>
      <c r="L1455" s="861" t="s">
        <v>533</v>
      </c>
      <c r="M1455" s="671">
        <f t="shared" si="111"/>
        <v>1453</v>
      </c>
      <c r="N1455" s="671" t="str">
        <f t="shared" si="112"/>
        <v>N/A</v>
      </c>
      <c r="O1455" s="671">
        <f t="shared" si="113"/>
        <v>708</v>
      </c>
      <c r="P1455" s="861" t="s">
        <v>3033</v>
      </c>
      <c r="Q1455" s="861" t="s">
        <v>7556</v>
      </c>
      <c r="R1455" s="861" t="s">
        <v>557</v>
      </c>
      <c r="S1455" s="861" t="s">
        <v>7557</v>
      </c>
      <c r="T1455" s="866" t="s">
        <v>7558</v>
      </c>
      <c r="U1455" s="865"/>
    </row>
    <row r="1456" spans="1:21" ht="15">
      <c r="A1456" s="672"/>
      <c r="B1456" s="861" t="s">
        <v>7559</v>
      </c>
      <c r="C1456" s="861" t="s">
        <v>7560</v>
      </c>
      <c r="D1456" s="861" t="s">
        <v>371</v>
      </c>
      <c r="E1456" s="861"/>
      <c r="F1456" s="862"/>
      <c r="G1456" s="869" t="e">
        <v>#DIV/0!</v>
      </c>
      <c r="H1456" s="874">
        <v>2252051.5</v>
      </c>
      <c r="I1456" s="871"/>
      <c r="J1456" s="861"/>
      <c r="K1456" s="868">
        <f t="shared" si="110"/>
        <v>316</v>
      </c>
      <c r="L1456" s="861" t="s">
        <v>460</v>
      </c>
      <c r="M1456" s="671">
        <f t="shared" si="111"/>
        <v>1454</v>
      </c>
      <c r="N1456" s="671" t="str">
        <f t="shared" si="112"/>
        <v>N/A</v>
      </c>
      <c r="O1456" s="671">
        <f t="shared" si="113"/>
        <v>708</v>
      </c>
      <c r="P1456" s="861" t="s">
        <v>904</v>
      </c>
      <c r="Q1456" s="861" t="s">
        <v>4255</v>
      </c>
      <c r="R1456" s="861" t="s">
        <v>473</v>
      </c>
      <c r="S1456" s="861" t="s">
        <v>882</v>
      </c>
      <c r="T1456" s="866" t="s">
        <v>7561</v>
      </c>
      <c r="U1456" s="865"/>
    </row>
    <row r="1457" spans="1:21" ht="15">
      <c r="A1457" s="857"/>
      <c r="B1457" s="861" t="s">
        <v>7562</v>
      </c>
      <c r="C1457" s="861" t="s">
        <v>7563</v>
      </c>
      <c r="D1457" s="861" t="s">
        <v>371</v>
      </c>
      <c r="E1457" s="861"/>
      <c r="F1457" s="862"/>
      <c r="G1457" s="870" t="s">
        <v>7564</v>
      </c>
      <c r="H1457" s="874">
        <v>2221558.67</v>
      </c>
      <c r="I1457" s="871"/>
      <c r="J1457" s="863" t="s">
        <v>7565</v>
      </c>
      <c r="K1457" s="868">
        <f t="shared" si="110"/>
        <v>316</v>
      </c>
      <c r="L1457" s="863" t="s">
        <v>4085</v>
      </c>
      <c r="M1457" s="671">
        <f t="shared" si="111"/>
        <v>1455</v>
      </c>
      <c r="N1457" s="671" t="str">
        <f t="shared" si="112"/>
        <v>N/A</v>
      </c>
      <c r="O1457" s="671" t="str">
        <f t="shared" si="113"/>
        <v>N/A</v>
      </c>
      <c r="P1457" s="861" t="s">
        <v>2420</v>
      </c>
      <c r="Q1457" s="861"/>
      <c r="R1457" s="863" t="s">
        <v>6541</v>
      </c>
      <c r="S1457" s="861" t="s">
        <v>1944</v>
      </c>
      <c r="T1457" s="866" t="s">
        <v>7566</v>
      </c>
      <c r="U1457" s="865"/>
    </row>
    <row r="1458" spans="1:21" ht="15">
      <c r="A1458" s="672"/>
      <c r="B1458" s="861" t="s">
        <v>7567</v>
      </c>
      <c r="C1458" s="861" t="s">
        <v>7568</v>
      </c>
      <c r="D1458" s="861" t="s">
        <v>371</v>
      </c>
      <c r="E1458" s="861"/>
      <c r="F1458" s="862"/>
      <c r="G1458" s="869">
        <v>0.130382726</v>
      </c>
      <c r="H1458" s="874">
        <v>2190337.31</v>
      </c>
      <c r="I1458" s="871"/>
      <c r="J1458" s="863" t="s">
        <v>7569</v>
      </c>
      <c r="K1458" s="868">
        <f t="shared" si="110"/>
        <v>316</v>
      </c>
      <c r="L1458" s="861"/>
      <c r="M1458" s="671">
        <f t="shared" si="111"/>
        <v>1456</v>
      </c>
      <c r="N1458" s="671" t="str">
        <f t="shared" si="112"/>
        <v>N/A</v>
      </c>
      <c r="O1458" s="671" t="str">
        <f t="shared" si="113"/>
        <v>N/A</v>
      </c>
      <c r="P1458" s="861" t="s">
        <v>819</v>
      </c>
      <c r="Q1458" s="861" t="s">
        <v>7570</v>
      </c>
      <c r="R1458" s="861"/>
      <c r="S1458" s="861" t="s">
        <v>1724</v>
      </c>
      <c r="T1458" s="866" t="s">
        <v>7571</v>
      </c>
      <c r="U1458" s="865"/>
    </row>
    <row r="1459" spans="1:21" ht="15">
      <c r="A1459" s="857"/>
      <c r="B1459" s="861" t="s">
        <v>7572</v>
      </c>
      <c r="C1459" s="861" t="s">
        <v>7573</v>
      </c>
      <c r="D1459" s="861" t="s">
        <v>371</v>
      </c>
      <c r="E1459" s="861"/>
      <c r="F1459" s="862"/>
      <c r="G1459" s="869">
        <v>0</v>
      </c>
      <c r="H1459" s="874">
        <v>2157683.81</v>
      </c>
      <c r="I1459" s="871"/>
      <c r="J1459" s="861"/>
      <c r="K1459" s="868">
        <f t="shared" si="110"/>
        <v>316</v>
      </c>
      <c r="L1459" s="861"/>
      <c r="M1459" s="671">
        <f t="shared" si="111"/>
        <v>1457</v>
      </c>
      <c r="N1459" s="671" t="str">
        <f t="shared" si="112"/>
        <v>N/A</v>
      </c>
      <c r="O1459" s="671">
        <f t="shared" si="113"/>
        <v>708</v>
      </c>
      <c r="P1459" s="861"/>
      <c r="Q1459" s="861"/>
      <c r="R1459" s="861"/>
      <c r="S1459" s="861" t="s">
        <v>734</v>
      </c>
      <c r="T1459" s="866" t="s">
        <v>7574</v>
      </c>
      <c r="U1459" s="865"/>
    </row>
    <row r="1460" spans="1:21" ht="15">
      <c r="A1460" s="672"/>
      <c r="B1460" s="861" t="s">
        <v>7575</v>
      </c>
      <c r="C1460" s="861" t="s">
        <v>7576</v>
      </c>
      <c r="D1460" s="861" t="s">
        <v>371</v>
      </c>
      <c r="E1460" s="861"/>
      <c r="F1460" s="862"/>
      <c r="G1460" s="869" t="e">
        <v>#DIV/0!</v>
      </c>
      <c r="H1460" s="874">
        <v>2104948.9500000002</v>
      </c>
      <c r="I1460" s="871"/>
      <c r="J1460" s="863" t="s">
        <v>2668</v>
      </c>
      <c r="K1460" s="868">
        <f t="shared" si="110"/>
        <v>316</v>
      </c>
      <c r="L1460" s="861"/>
      <c r="M1460" s="671">
        <f t="shared" si="111"/>
        <v>1458</v>
      </c>
      <c r="N1460" s="671" t="str">
        <f t="shared" si="112"/>
        <v>N/A</v>
      </c>
      <c r="O1460" s="671" t="str">
        <f t="shared" si="113"/>
        <v>N/A</v>
      </c>
      <c r="P1460" s="861" t="s">
        <v>7577</v>
      </c>
      <c r="Q1460" s="861"/>
      <c r="R1460" s="861"/>
      <c r="S1460" s="861" t="s">
        <v>517</v>
      </c>
      <c r="T1460" s="866" t="s">
        <v>7578</v>
      </c>
      <c r="U1460" s="865"/>
    </row>
    <row r="1461" spans="1:21" ht="15">
      <c r="A1461" s="857"/>
      <c r="B1461" s="861" t="s">
        <v>7579</v>
      </c>
      <c r="C1461" s="861" t="s">
        <v>7580</v>
      </c>
      <c r="D1461" s="861" t="s">
        <v>371</v>
      </c>
      <c r="E1461" s="861"/>
      <c r="F1461" s="862"/>
      <c r="G1461" s="870" t="s">
        <v>7581</v>
      </c>
      <c r="H1461" s="874">
        <v>2078610.18</v>
      </c>
      <c r="I1461" s="871"/>
      <c r="J1461" s="863" t="s">
        <v>7582</v>
      </c>
      <c r="K1461" s="868">
        <f t="shared" si="110"/>
        <v>316</v>
      </c>
      <c r="L1461" s="861"/>
      <c r="M1461" s="671">
        <f t="shared" si="111"/>
        <v>1459</v>
      </c>
      <c r="N1461" s="671" t="str">
        <f t="shared" si="112"/>
        <v>N/A</v>
      </c>
      <c r="O1461" s="671" t="str">
        <f t="shared" si="113"/>
        <v>N/A</v>
      </c>
      <c r="P1461" s="861" t="s">
        <v>7583</v>
      </c>
      <c r="Q1461" s="861"/>
      <c r="R1461" s="861"/>
      <c r="S1461" s="861" t="s">
        <v>2988</v>
      </c>
      <c r="T1461" s="866" t="s">
        <v>7584</v>
      </c>
      <c r="U1461" s="865"/>
    </row>
    <row r="1462" spans="1:21" ht="15">
      <c r="A1462" s="672"/>
      <c r="B1462" s="861" t="s">
        <v>7585</v>
      </c>
      <c r="C1462" s="861" t="s">
        <v>7586</v>
      </c>
      <c r="D1462" s="861" t="s">
        <v>371</v>
      </c>
      <c r="E1462" s="861"/>
      <c r="F1462" s="862"/>
      <c r="G1462" s="870" t="s">
        <v>7587</v>
      </c>
      <c r="H1462" s="874">
        <v>2078551.71</v>
      </c>
      <c r="I1462" s="871"/>
      <c r="J1462" s="863" t="s">
        <v>7588</v>
      </c>
      <c r="K1462" s="868">
        <f t="shared" si="110"/>
        <v>316</v>
      </c>
      <c r="L1462" s="861" t="s">
        <v>1311</v>
      </c>
      <c r="M1462" s="671">
        <f t="shared" si="111"/>
        <v>1460</v>
      </c>
      <c r="N1462" s="671" t="str">
        <f t="shared" si="112"/>
        <v>N/A</v>
      </c>
      <c r="O1462" s="671" t="str">
        <f t="shared" si="113"/>
        <v>N/A</v>
      </c>
      <c r="P1462" s="861" t="s">
        <v>571</v>
      </c>
      <c r="Q1462" s="861" t="s">
        <v>7589</v>
      </c>
      <c r="R1462" s="861" t="s">
        <v>698</v>
      </c>
      <c r="S1462" s="861" t="s">
        <v>7590</v>
      </c>
      <c r="T1462" s="866" t="s">
        <v>7591</v>
      </c>
      <c r="U1462" s="865"/>
    </row>
    <row r="1463" spans="1:21" ht="15">
      <c r="A1463" s="857"/>
      <c r="B1463" s="861" t="s">
        <v>7592</v>
      </c>
      <c r="C1463" s="861" t="s">
        <v>7593</v>
      </c>
      <c r="D1463" s="861" t="s">
        <v>371</v>
      </c>
      <c r="E1463" s="861"/>
      <c r="F1463" s="862"/>
      <c r="G1463" s="870" t="s">
        <v>7594</v>
      </c>
      <c r="H1463" s="874">
        <v>2067302.85</v>
      </c>
      <c r="I1463" s="871"/>
      <c r="J1463" s="862">
        <v>0.21199999999999999</v>
      </c>
      <c r="K1463" s="868">
        <f t="shared" si="110"/>
        <v>316</v>
      </c>
      <c r="L1463" s="861" t="s">
        <v>2062</v>
      </c>
      <c r="M1463" s="671">
        <f t="shared" si="111"/>
        <v>1461</v>
      </c>
      <c r="N1463" s="671" t="str">
        <f t="shared" si="112"/>
        <v>N/A</v>
      </c>
      <c r="O1463" s="671">
        <f t="shared" si="113"/>
        <v>234</v>
      </c>
      <c r="P1463" s="861" t="s">
        <v>1384</v>
      </c>
      <c r="Q1463" s="861"/>
      <c r="R1463" s="861" t="s">
        <v>533</v>
      </c>
      <c r="S1463" s="861" t="s">
        <v>7595</v>
      </c>
      <c r="T1463" s="866" t="s">
        <v>7596</v>
      </c>
      <c r="U1463" s="865"/>
    </row>
    <row r="1464" spans="1:21" ht="15">
      <c r="A1464" s="672"/>
      <c r="B1464" s="861" t="s">
        <v>7597</v>
      </c>
      <c r="C1464" s="861" t="s">
        <v>7598</v>
      </c>
      <c r="D1464" s="861" t="s">
        <v>371</v>
      </c>
      <c r="E1464" s="861"/>
      <c r="F1464" s="862"/>
      <c r="G1464" s="870" t="s">
        <v>7599</v>
      </c>
      <c r="H1464" s="874">
        <v>2066406.59</v>
      </c>
      <c r="I1464" s="871"/>
      <c r="J1464" s="863" t="s">
        <v>7285</v>
      </c>
      <c r="K1464" s="868">
        <f t="shared" si="110"/>
        <v>316</v>
      </c>
      <c r="L1464" s="861"/>
      <c r="M1464" s="671">
        <f t="shared" si="111"/>
        <v>1462</v>
      </c>
      <c r="N1464" s="671" t="str">
        <f t="shared" si="112"/>
        <v>N/A</v>
      </c>
      <c r="O1464" s="671" t="str">
        <f t="shared" si="113"/>
        <v>N/A</v>
      </c>
      <c r="P1464" s="861" t="s">
        <v>674</v>
      </c>
      <c r="Q1464" s="861"/>
      <c r="R1464" s="861"/>
      <c r="S1464" s="861" t="s">
        <v>4276</v>
      </c>
      <c r="T1464" s="866" t="s">
        <v>7600</v>
      </c>
      <c r="U1464" s="865"/>
    </row>
    <row r="1465" spans="1:21" ht="15">
      <c r="A1465" s="857"/>
      <c r="B1465" s="861" t="s">
        <v>7601</v>
      </c>
      <c r="C1465" s="861" t="s">
        <v>7602</v>
      </c>
      <c r="D1465" s="861" t="s">
        <v>371</v>
      </c>
      <c r="E1465" s="861"/>
      <c r="F1465" s="862"/>
      <c r="G1465" s="870" t="s">
        <v>7603</v>
      </c>
      <c r="H1465" s="874">
        <v>2051135.98</v>
      </c>
      <c r="I1465" s="871"/>
      <c r="J1465" s="863" t="s">
        <v>7604</v>
      </c>
      <c r="K1465" s="868">
        <f t="shared" si="110"/>
        <v>316</v>
      </c>
      <c r="L1465" s="861" t="s">
        <v>533</v>
      </c>
      <c r="M1465" s="671">
        <f t="shared" si="111"/>
        <v>1463</v>
      </c>
      <c r="N1465" s="671" t="str">
        <f t="shared" si="112"/>
        <v>N/A</v>
      </c>
      <c r="O1465" s="671" t="str">
        <f t="shared" si="113"/>
        <v>N/A</v>
      </c>
      <c r="P1465" s="861" t="s">
        <v>1258</v>
      </c>
      <c r="Q1465" s="861" t="s">
        <v>7605</v>
      </c>
      <c r="R1465" s="861" t="s">
        <v>526</v>
      </c>
      <c r="S1465" s="861" t="s">
        <v>4013</v>
      </c>
      <c r="T1465" s="866" t="s">
        <v>7606</v>
      </c>
      <c r="U1465" s="865"/>
    </row>
    <row r="1466" spans="1:21" ht="15">
      <c r="A1466" s="672"/>
      <c r="B1466" s="861" t="s">
        <v>7607</v>
      </c>
      <c r="C1466" s="861" t="s">
        <v>7608</v>
      </c>
      <c r="D1466" s="861" t="s">
        <v>371</v>
      </c>
      <c r="E1466" s="861"/>
      <c r="F1466" s="862"/>
      <c r="G1466" s="869">
        <v>0</v>
      </c>
      <c r="H1466" s="874">
        <v>2035240.09</v>
      </c>
      <c r="I1466" s="871"/>
      <c r="J1466" s="863" t="s">
        <v>7609</v>
      </c>
      <c r="K1466" s="868">
        <f t="shared" si="110"/>
        <v>316</v>
      </c>
      <c r="L1466" s="863" t="s">
        <v>7610</v>
      </c>
      <c r="M1466" s="671">
        <f t="shared" si="111"/>
        <v>1464</v>
      </c>
      <c r="N1466" s="671" t="str">
        <f t="shared" si="112"/>
        <v>N/A</v>
      </c>
      <c r="O1466" s="671" t="str">
        <f t="shared" si="113"/>
        <v>N/A</v>
      </c>
      <c r="P1466" s="861" t="s">
        <v>7611</v>
      </c>
      <c r="Q1466" s="861"/>
      <c r="R1466" s="861"/>
      <c r="S1466" s="861" t="s">
        <v>800</v>
      </c>
      <c r="T1466" s="866" t="s">
        <v>7612</v>
      </c>
      <c r="U1466" s="865"/>
    </row>
    <row r="1467" spans="1:21" ht="15">
      <c r="A1467" s="857"/>
      <c r="B1467" s="861" t="s">
        <v>7613</v>
      </c>
      <c r="C1467" s="861" t="s">
        <v>7614</v>
      </c>
      <c r="D1467" s="861" t="s">
        <v>371</v>
      </c>
      <c r="E1467" s="861"/>
      <c r="F1467" s="862"/>
      <c r="G1467" s="870" t="s">
        <v>7615</v>
      </c>
      <c r="H1467" s="874">
        <v>2025407.94</v>
      </c>
      <c r="I1467" s="871"/>
      <c r="J1467" s="861"/>
      <c r="K1467" s="868">
        <f t="shared" si="110"/>
        <v>316</v>
      </c>
      <c r="L1467" s="861"/>
      <c r="M1467" s="671">
        <f t="shared" si="111"/>
        <v>1465</v>
      </c>
      <c r="N1467" s="671" t="str">
        <f t="shared" si="112"/>
        <v>N/A</v>
      </c>
      <c r="O1467" s="671">
        <f t="shared" si="113"/>
        <v>708</v>
      </c>
      <c r="P1467" s="861" t="s">
        <v>1039</v>
      </c>
      <c r="Q1467" s="861" t="s">
        <v>3240</v>
      </c>
      <c r="R1467" s="861"/>
      <c r="S1467" s="861" t="s">
        <v>883</v>
      </c>
      <c r="T1467" s="866" t="s">
        <v>7616</v>
      </c>
      <c r="U1467" s="865"/>
    </row>
    <row r="1468" spans="1:21" ht="15">
      <c r="A1468" s="672"/>
      <c r="B1468" s="861" t="s">
        <v>7617</v>
      </c>
      <c r="C1468" s="861" t="s">
        <v>7618</v>
      </c>
      <c r="D1468" s="861" t="s">
        <v>371</v>
      </c>
      <c r="E1468" s="861"/>
      <c r="F1468" s="862"/>
      <c r="G1468" s="870" t="s">
        <v>7619</v>
      </c>
      <c r="H1468" s="874">
        <v>2017423.92</v>
      </c>
      <c r="I1468" s="871"/>
      <c r="J1468" s="863" t="s">
        <v>659</v>
      </c>
      <c r="K1468" s="868">
        <f t="shared" si="110"/>
        <v>316</v>
      </c>
      <c r="L1468" s="861" t="s">
        <v>734</v>
      </c>
      <c r="M1468" s="671">
        <f t="shared" si="111"/>
        <v>1466</v>
      </c>
      <c r="N1468" s="671" t="str">
        <f t="shared" si="112"/>
        <v>N/A</v>
      </c>
      <c r="O1468" s="671" t="str">
        <f t="shared" si="113"/>
        <v>N/A</v>
      </c>
      <c r="P1468" s="861" t="s">
        <v>7620</v>
      </c>
      <c r="Q1468" s="861" t="s">
        <v>7621</v>
      </c>
      <c r="R1468" s="863" t="s">
        <v>448</v>
      </c>
      <c r="S1468" s="861" t="s">
        <v>2891</v>
      </c>
      <c r="T1468" s="866" t="s">
        <v>7622</v>
      </c>
      <c r="U1468" s="865"/>
    </row>
    <row r="1469" spans="1:21" ht="15">
      <c r="A1469" s="857"/>
      <c r="B1469" s="861" t="s">
        <v>7623</v>
      </c>
      <c r="C1469" s="861" t="s">
        <v>7624</v>
      </c>
      <c r="D1469" s="861" t="s">
        <v>371</v>
      </c>
      <c r="E1469" s="861"/>
      <c r="F1469" s="862"/>
      <c r="G1469" s="869" t="e">
        <v>#DIV/0!</v>
      </c>
      <c r="H1469" s="874">
        <v>2016273.51</v>
      </c>
      <c r="I1469" s="871"/>
      <c r="J1469" s="863"/>
      <c r="K1469" s="868">
        <f t="shared" si="110"/>
        <v>316</v>
      </c>
      <c r="L1469" s="861"/>
      <c r="M1469" s="671">
        <f t="shared" si="111"/>
        <v>1467</v>
      </c>
      <c r="N1469" s="671" t="str">
        <f t="shared" si="112"/>
        <v>N/A</v>
      </c>
      <c r="O1469" s="671">
        <f t="shared" si="113"/>
        <v>708</v>
      </c>
      <c r="P1469" s="861" t="s">
        <v>2007</v>
      </c>
      <c r="Q1469" s="861"/>
      <c r="R1469" s="861"/>
      <c r="S1469" s="861" t="s">
        <v>1252</v>
      </c>
      <c r="T1469" s="866" t="s">
        <v>7625</v>
      </c>
      <c r="U1469" s="865"/>
    </row>
    <row r="1470" spans="1:21" ht="15">
      <c r="A1470" s="672"/>
      <c r="B1470" s="861" t="s">
        <v>7626</v>
      </c>
      <c r="C1470" s="861" t="s">
        <v>7627</v>
      </c>
      <c r="D1470" s="861" t="s">
        <v>371</v>
      </c>
      <c r="E1470" s="861"/>
      <c r="F1470" s="862"/>
      <c r="G1470" s="869" t="e">
        <v>#DIV/0!</v>
      </c>
      <c r="H1470" s="874">
        <v>2008279.69</v>
      </c>
      <c r="I1470" s="871"/>
      <c r="J1470" s="863" t="s">
        <v>7628</v>
      </c>
      <c r="K1470" s="868">
        <f t="shared" si="110"/>
        <v>316</v>
      </c>
      <c r="L1470" s="861" t="s">
        <v>526</v>
      </c>
      <c r="M1470" s="671">
        <f t="shared" si="111"/>
        <v>1468</v>
      </c>
      <c r="N1470" s="671" t="str">
        <f t="shared" si="112"/>
        <v>N/A</v>
      </c>
      <c r="O1470" s="671" t="str">
        <f t="shared" si="113"/>
        <v>N/A</v>
      </c>
      <c r="P1470" s="861" t="s">
        <v>2252</v>
      </c>
      <c r="Q1470" s="861" t="s">
        <v>7629</v>
      </c>
      <c r="R1470" s="863" t="s">
        <v>1768</v>
      </c>
      <c r="S1470" s="861" t="s">
        <v>2534</v>
      </c>
      <c r="T1470" s="866" t="s">
        <v>7630</v>
      </c>
      <c r="U1470" s="865"/>
    </row>
    <row r="1471" spans="1:21" ht="15">
      <c r="A1471" s="857"/>
      <c r="B1471" s="861" t="s">
        <v>7631</v>
      </c>
      <c r="C1471" s="861" t="s">
        <v>7632</v>
      </c>
      <c r="D1471" s="861" t="s">
        <v>371</v>
      </c>
      <c r="E1471" s="861"/>
      <c r="F1471" s="862"/>
      <c r="G1471" s="870" t="s">
        <v>7633</v>
      </c>
      <c r="H1471" s="874">
        <v>2001154.9</v>
      </c>
      <c r="I1471" s="871"/>
      <c r="J1471" s="863" t="s">
        <v>7634</v>
      </c>
      <c r="K1471" s="868">
        <f t="shared" si="110"/>
        <v>316</v>
      </c>
      <c r="L1471" s="861"/>
      <c r="M1471" s="671">
        <f t="shared" si="111"/>
        <v>1469</v>
      </c>
      <c r="N1471" s="671" t="str">
        <f t="shared" si="112"/>
        <v>N/A</v>
      </c>
      <c r="O1471" s="671" t="str">
        <f t="shared" si="113"/>
        <v>N/A</v>
      </c>
      <c r="P1471" s="861" t="s">
        <v>1230</v>
      </c>
      <c r="Q1471" s="861"/>
      <c r="R1471" s="861"/>
      <c r="S1471" s="861" t="s">
        <v>424</v>
      </c>
      <c r="T1471" s="866" t="s">
        <v>7635</v>
      </c>
      <c r="U1471" s="865"/>
    </row>
    <row r="1472" spans="1:21" ht="15">
      <c r="A1472" s="672"/>
      <c r="B1472" s="861" t="s">
        <v>7636</v>
      </c>
      <c r="C1472" s="861" t="s">
        <v>7637</v>
      </c>
      <c r="D1472" s="861" t="s">
        <v>371</v>
      </c>
      <c r="E1472" s="861"/>
      <c r="F1472" s="862"/>
      <c r="G1472" s="870" t="s">
        <v>7638</v>
      </c>
      <c r="H1472" s="874">
        <v>1987372.09</v>
      </c>
      <c r="I1472" s="871"/>
      <c r="J1472" s="863" t="s">
        <v>2044</v>
      </c>
      <c r="K1472" s="868">
        <f t="shared" si="110"/>
        <v>316</v>
      </c>
      <c r="L1472" s="861"/>
      <c r="M1472" s="671">
        <f t="shared" si="111"/>
        <v>1470</v>
      </c>
      <c r="N1472" s="671" t="str">
        <f t="shared" si="112"/>
        <v>N/A</v>
      </c>
      <c r="O1472" s="671" t="str">
        <f t="shared" si="113"/>
        <v>N/A</v>
      </c>
      <c r="P1472" s="861" t="s">
        <v>3630</v>
      </c>
      <c r="Q1472" s="861"/>
      <c r="R1472" s="861"/>
      <c r="S1472" s="861" t="s">
        <v>460</v>
      </c>
      <c r="T1472" s="866" t="s">
        <v>7639</v>
      </c>
      <c r="U1472" s="865"/>
    </row>
    <row r="1473" spans="1:21" ht="15">
      <c r="A1473" s="857"/>
      <c r="B1473" s="861" t="s">
        <v>7640</v>
      </c>
      <c r="C1473" s="861" t="s">
        <v>7641</v>
      </c>
      <c r="D1473" s="861" t="s">
        <v>371</v>
      </c>
      <c r="E1473" s="861"/>
      <c r="F1473" s="862"/>
      <c r="G1473" s="870" t="s">
        <v>7642</v>
      </c>
      <c r="H1473" s="874">
        <v>1972442.86</v>
      </c>
      <c r="I1473" s="871"/>
      <c r="J1473" s="863"/>
      <c r="K1473" s="868">
        <f t="shared" si="110"/>
        <v>316</v>
      </c>
      <c r="L1473" s="861" t="s">
        <v>1137</v>
      </c>
      <c r="M1473" s="671">
        <f t="shared" si="111"/>
        <v>1471</v>
      </c>
      <c r="N1473" s="671" t="str">
        <f t="shared" si="112"/>
        <v>N/A</v>
      </c>
      <c r="O1473" s="671">
        <f t="shared" si="113"/>
        <v>708</v>
      </c>
      <c r="P1473" s="861" t="s">
        <v>7643</v>
      </c>
      <c r="Q1473" s="861"/>
      <c r="R1473" s="863" t="s">
        <v>7644</v>
      </c>
      <c r="S1473" s="861" t="s">
        <v>7645</v>
      </c>
      <c r="T1473" s="866" t="s">
        <v>7646</v>
      </c>
      <c r="U1473" s="865"/>
    </row>
    <row r="1474" spans="1:21" ht="15">
      <c r="A1474" s="672"/>
      <c r="B1474" s="861" t="s">
        <v>7647</v>
      </c>
      <c r="C1474" s="861" t="s">
        <v>7648</v>
      </c>
      <c r="D1474" s="861" t="s">
        <v>371</v>
      </c>
      <c r="E1474" s="861"/>
      <c r="F1474" s="862"/>
      <c r="G1474" s="869" t="e">
        <v>#DIV/0!</v>
      </c>
      <c r="H1474" s="874">
        <v>1969272.25</v>
      </c>
      <c r="I1474" s="871"/>
      <c r="J1474" s="863" t="s">
        <v>505</v>
      </c>
      <c r="K1474" s="868">
        <f t="shared" si="110"/>
        <v>316</v>
      </c>
      <c r="L1474" s="861" t="s">
        <v>557</v>
      </c>
      <c r="M1474" s="671">
        <f t="shared" si="111"/>
        <v>1472</v>
      </c>
      <c r="N1474" s="671" t="str">
        <f t="shared" si="112"/>
        <v>N/A</v>
      </c>
      <c r="O1474" s="671" t="str">
        <f t="shared" si="113"/>
        <v>N/A</v>
      </c>
      <c r="P1474" s="861" t="s">
        <v>1421</v>
      </c>
      <c r="Q1474" s="861" t="s">
        <v>7649</v>
      </c>
      <c r="R1474" s="863" t="s">
        <v>7650</v>
      </c>
      <c r="S1474" s="861" t="s">
        <v>7651</v>
      </c>
      <c r="T1474" s="866" t="s">
        <v>7652</v>
      </c>
      <c r="U1474" s="865"/>
    </row>
    <row r="1475" spans="1:21" ht="15">
      <c r="A1475" s="857"/>
      <c r="B1475" s="861" t="s">
        <v>7653</v>
      </c>
      <c r="C1475" s="861" t="s">
        <v>7654</v>
      </c>
      <c r="D1475" s="861" t="s">
        <v>371</v>
      </c>
      <c r="E1475" s="861"/>
      <c r="F1475" s="862"/>
      <c r="G1475" s="870" t="s">
        <v>7655</v>
      </c>
      <c r="H1475" s="874">
        <v>1968364.06</v>
      </c>
      <c r="I1475" s="871"/>
      <c r="J1475" s="863" t="s">
        <v>7656</v>
      </c>
      <c r="K1475" s="868">
        <f t="shared" si="110"/>
        <v>316</v>
      </c>
      <c r="L1475" s="861" t="s">
        <v>424</v>
      </c>
      <c r="M1475" s="671">
        <f t="shared" si="111"/>
        <v>1473</v>
      </c>
      <c r="N1475" s="671" t="str">
        <f t="shared" si="112"/>
        <v>N/A</v>
      </c>
      <c r="O1475" s="671" t="str">
        <f t="shared" si="113"/>
        <v>N/A</v>
      </c>
      <c r="P1475" s="861" t="s">
        <v>5793</v>
      </c>
      <c r="Q1475" s="861"/>
      <c r="R1475" s="863" t="s">
        <v>5932</v>
      </c>
      <c r="S1475" s="861" t="s">
        <v>7657</v>
      </c>
      <c r="T1475" s="866" t="s">
        <v>7658</v>
      </c>
      <c r="U1475" s="865"/>
    </row>
    <row r="1476" spans="1:21" ht="15">
      <c r="A1476" s="672"/>
      <c r="B1476" s="861" t="s">
        <v>7659</v>
      </c>
      <c r="C1476" s="861" t="s">
        <v>7660</v>
      </c>
      <c r="D1476" s="861" t="s">
        <v>371</v>
      </c>
      <c r="E1476" s="861"/>
      <c r="F1476" s="862"/>
      <c r="G1476" s="869">
        <v>0</v>
      </c>
      <c r="H1476" s="874">
        <v>1959590.64</v>
      </c>
      <c r="I1476" s="871"/>
      <c r="J1476" s="862">
        <v>0.187</v>
      </c>
      <c r="K1476" s="868">
        <f t="shared" ref="K1476:K1539" si="114">IFERROR(_xlfn.RANK.EQ(F1476,F$3:F$1770),"N/A")</f>
        <v>316</v>
      </c>
      <c r="L1476" s="861"/>
      <c r="M1476" s="671">
        <f t="shared" ref="M1476:M1539" si="115">IFERROR(_xlfn.RANK.EQ(H1476,H$3:H$1770),"N/A")</f>
        <v>1474</v>
      </c>
      <c r="N1476" s="671" t="str">
        <f t="shared" ref="N1476:N1539" si="116">IFERROR(_xlfn.RANK.EQ(I1476,I$3:I$1770),"N/A")</f>
        <v>N/A</v>
      </c>
      <c r="O1476" s="671">
        <f t="shared" ref="O1476:O1539" si="117">IFERROR(_xlfn.RANK.EQ(J1476,J$3:J$1770),"N/A")</f>
        <v>276</v>
      </c>
      <c r="P1476" s="861" t="s">
        <v>1209</v>
      </c>
      <c r="Q1476" s="861"/>
      <c r="R1476" s="861"/>
      <c r="S1476" s="861" t="s">
        <v>4533</v>
      </c>
      <c r="T1476" s="866" t="s">
        <v>7661</v>
      </c>
      <c r="U1476" s="865"/>
    </row>
    <row r="1477" spans="1:21" ht="15">
      <c r="A1477" s="857"/>
      <c r="B1477" s="861" t="s">
        <v>7662</v>
      </c>
      <c r="C1477" s="861" t="s">
        <v>7663</v>
      </c>
      <c r="D1477" s="861" t="s">
        <v>371</v>
      </c>
      <c r="E1477" s="861"/>
      <c r="F1477" s="862"/>
      <c r="G1477" s="869">
        <v>0</v>
      </c>
      <c r="H1477" s="874">
        <v>1955968.09</v>
      </c>
      <c r="I1477" s="871"/>
      <c r="J1477" s="863" t="s">
        <v>7664</v>
      </c>
      <c r="K1477" s="868">
        <f t="shared" si="114"/>
        <v>316</v>
      </c>
      <c r="L1477" s="861"/>
      <c r="M1477" s="671">
        <f t="shared" si="115"/>
        <v>1475</v>
      </c>
      <c r="N1477" s="671" t="str">
        <f t="shared" si="116"/>
        <v>N/A</v>
      </c>
      <c r="O1477" s="671" t="str">
        <f t="shared" si="117"/>
        <v>N/A</v>
      </c>
      <c r="P1477" s="861" t="s">
        <v>7665</v>
      </c>
      <c r="Q1477" s="861" t="s">
        <v>7666</v>
      </c>
      <c r="R1477" s="861"/>
      <c r="S1477" s="861" t="s">
        <v>6932</v>
      </c>
      <c r="T1477" s="866" t="s">
        <v>7667</v>
      </c>
      <c r="U1477" s="865"/>
    </row>
    <row r="1478" spans="1:21" ht="15">
      <c r="A1478" s="672"/>
      <c r="B1478" s="861" t="s">
        <v>7668</v>
      </c>
      <c r="C1478" s="861" t="s">
        <v>7669</v>
      </c>
      <c r="D1478" s="861" t="s">
        <v>371</v>
      </c>
      <c r="E1478" s="861"/>
      <c r="F1478" s="862"/>
      <c r="G1478" s="870" t="s">
        <v>7670</v>
      </c>
      <c r="H1478" s="874">
        <v>1929954.22</v>
      </c>
      <c r="I1478" s="871"/>
      <c r="J1478" s="861"/>
      <c r="K1478" s="868">
        <f t="shared" si="114"/>
        <v>316</v>
      </c>
      <c r="L1478" s="861"/>
      <c r="M1478" s="671">
        <f t="shared" si="115"/>
        <v>1476</v>
      </c>
      <c r="N1478" s="671" t="str">
        <f t="shared" si="116"/>
        <v>N/A</v>
      </c>
      <c r="O1478" s="671">
        <f t="shared" si="117"/>
        <v>708</v>
      </c>
      <c r="P1478" s="861"/>
      <c r="Q1478" s="861"/>
      <c r="R1478" s="861"/>
      <c r="S1478" s="861" t="s">
        <v>563</v>
      </c>
      <c r="T1478" s="866" t="s">
        <v>7671</v>
      </c>
      <c r="U1478" s="865"/>
    </row>
    <row r="1479" spans="1:21" ht="15">
      <c r="A1479" s="857"/>
      <c r="B1479" s="861" t="s">
        <v>7672</v>
      </c>
      <c r="C1479" s="861" t="s">
        <v>7673</v>
      </c>
      <c r="D1479" s="861" t="s">
        <v>371</v>
      </c>
      <c r="E1479" s="861"/>
      <c r="F1479" s="862"/>
      <c r="G1479" s="869" t="e">
        <v>#DIV/0!</v>
      </c>
      <c r="H1479" s="874">
        <v>1879309.46</v>
      </c>
      <c r="I1479" s="871"/>
      <c r="J1479" s="861"/>
      <c r="K1479" s="868">
        <f t="shared" si="114"/>
        <v>316</v>
      </c>
      <c r="L1479" s="861"/>
      <c r="M1479" s="671">
        <f t="shared" si="115"/>
        <v>1477</v>
      </c>
      <c r="N1479" s="671" t="str">
        <f t="shared" si="116"/>
        <v>N/A</v>
      </c>
      <c r="O1479" s="671">
        <f t="shared" si="117"/>
        <v>708</v>
      </c>
      <c r="P1479" s="861"/>
      <c r="Q1479" s="861"/>
      <c r="R1479" s="861"/>
      <c r="S1479" s="861" t="s">
        <v>1406</v>
      </c>
      <c r="T1479" s="866" t="s">
        <v>7674</v>
      </c>
      <c r="U1479" s="865"/>
    </row>
    <row r="1480" spans="1:21" ht="15">
      <c r="A1480" s="672"/>
      <c r="B1480" s="861" t="s">
        <v>7675</v>
      </c>
      <c r="C1480" s="861" t="s">
        <v>7676</v>
      </c>
      <c r="D1480" s="861" t="s">
        <v>371</v>
      </c>
      <c r="E1480" s="861"/>
      <c r="F1480" s="862"/>
      <c r="G1480" s="869" t="e">
        <v>#DIV/0!</v>
      </c>
      <c r="H1480" s="874">
        <v>1875134.59</v>
      </c>
      <c r="I1480" s="871"/>
      <c r="J1480" s="861"/>
      <c r="K1480" s="868">
        <f t="shared" si="114"/>
        <v>316</v>
      </c>
      <c r="L1480" s="861"/>
      <c r="M1480" s="671">
        <f t="shared" si="115"/>
        <v>1478</v>
      </c>
      <c r="N1480" s="671" t="str">
        <f t="shared" si="116"/>
        <v>N/A</v>
      </c>
      <c r="O1480" s="671">
        <f t="shared" si="117"/>
        <v>708</v>
      </c>
      <c r="P1480" s="861"/>
      <c r="Q1480" s="861"/>
      <c r="R1480" s="861"/>
      <c r="S1480" s="861" t="s">
        <v>424</v>
      </c>
      <c r="T1480" s="866" t="s">
        <v>7677</v>
      </c>
      <c r="U1480" s="865"/>
    </row>
    <row r="1481" spans="1:21" ht="15">
      <c r="A1481" s="857"/>
      <c r="B1481" s="861" t="s">
        <v>7678</v>
      </c>
      <c r="C1481" s="861" t="s">
        <v>7679</v>
      </c>
      <c r="D1481" s="861" t="s">
        <v>371</v>
      </c>
      <c r="E1481" s="861"/>
      <c r="F1481" s="862"/>
      <c r="G1481" s="870" t="s">
        <v>7680</v>
      </c>
      <c r="H1481" s="874">
        <v>1870847.13</v>
      </c>
      <c r="I1481" s="871"/>
      <c r="J1481" s="863" t="s">
        <v>4464</v>
      </c>
      <c r="K1481" s="868">
        <f t="shared" si="114"/>
        <v>316</v>
      </c>
      <c r="L1481" s="861"/>
      <c r="M1481" s="671">
        <f t="shared" si="115"/>
        <v>1479</v>
      </c>
      <c r="N1481" s="671" t="str">
        <f t="shared" si="116"/>
        <v>N/A</v>
      </c>
      <c r="O1481" s="671" t="str">
        <f t="shared" si="117"/>
        <v>N/A</v>
      </c>
      <c r="P1481" s="863" t="s">
        <v>7681</v>
      </c>
      <c r="Q1481" s="861"/>
      <c r="R1481" s="861"/>
      <c r="S1481" s="861" t="s">
        <v>2069</v>
      </c>
      <c r="T1481" s="866" t="s">
        <v>7682</v>
      </c>
      <c r="U1481" s="865"/>
    </row>
    <row r="1482" spans="1:21" ht="15">
      <c r="A1482" s="672"/>
      <c r="B1482" s="861" t="s">
        <v>7683</v>
      </c>
      <c r="C1482" s="861" t="s">
        <v>7684</v>
      </c>
      <c r="D1482" s="861" t="s">
        <v>371</v>
      </c>
      <c r="E1482" s="861"/>
      <c r="F1482" s="862"/>
      <c r="G1482" s="869">
        <v>0</v>
      </c>
      <c r="H1482" s="874">
        <v>1862200.68</v>
      </c>
      <c r="I1482" s="871"/>
      <c r="J1482" s="863"/>
      <c r="K1482" s="868">
        <f t="shared" si="114"/>
        <v>316</v>
      </c>
      <c r="L1482" s="861"/>
      <c r="M1482" s="671">
        <f t="shared" si="115"/>
        <v>1480</v>
      </c>
      <c r="N1482" s="671" t="str">
        <f t="shared" si="116"/>
        <v>N/A</v>
      </c>
      <c r="O1482" s="671">
        <f t="shared" si="117"/>
        <v>708</v>
      </c>
      <c r="P1482" s="861" t="s">
        <v>7685</v>
      </c>
      <c r="Q1482" s="861"/>
      <c r="R1482" s="861"/>
      <c r="S1482" s="861" t="s">
        <v>7686</v>
      </c>
      <c r="T1482" s="866" t="s">
        <v>7687</v>
      </c>
      <c r="U1482" s="865"/>
    </row>
    <row r="1483" spans="1:21" ht="15">
      <c r="A1483" s="857"/>
      <c r="B1483" s="861" t="s">
        <v>7688</v>
      </c>
      <c r="C1483" s="861" t="s">
        <v>7689</v>
      </c>
      <c r="D1483" s="861" t="s">
        <v>371</v>
      </c>
      <c r="E1483" s="861"/>
      <c r="F1483" s="862"/>
      <c r="G1483" s="870" t="s">
        <v>7690</v>
      </c>
      <c r="H1483" s="874">
        <v>1811007.25</v>
      </c>
      <c r="I1483" s="871"/>
      <c r="J1483" s="863" t="s">
        <v>7691</v>
      </c>
      <c r="K1483" s="868">
        <f t="shared" si="114"/>
        <v>316</v>
      </c>
      <c r="L1483" s="861"/>
      <c r="M1483" s="671">
        <f t="shared" si="115"/>
        <v>1481</v>
      </c>
      <c r="N1483" s="671" t="str">
        <f t="shared" si="116"/>
        <v>N/A</v>
      </c>
      <c r="O1483" s="671" t="str">
        <f t="shared" si="117"/>
        <v>N/A</v>
      </c>
      <c r="P1483" s="861" t="s">
        <v>3215</v>
      </c>
      <c r="Q1483" s="861"/>
      <c r="R1483" s="861"/>
      <c r="S1483" s="861" t="s">
        <v>454</v>
      </c>
      <c r="T1483" s="866" t="s">
        <v>7692</v>
      </c>
      <c r="U1483" s="865"/>
    </row>
    <row r="1484" spans="1:21" ht="15">
      <c r="A1484" s="672"/>
      <c r="B1484" s="861" t="s">
        <v>7693</v>
      </c>
      <c r="C1484" s="861" t="s">
        <v>7694</v>
      </c>
      <c r="D1484" s="861" t="s">
        <v>371</v>
      </c>
      <c r="E1484" s="861"/>
      <c r="F1484" s="862"/>
      <c r="G1484" s="870" t="s">
        <v>7695</v>
      </c>
      <c r="H1484" s="874">
        <v>1800000</v>
      </c>
      <c r="I1484" s="871"/>
      <c r="J1484" s="863"/>
      <c r="K1484" s="868">
        <f t="shared" si="114"/>
        <v>316</v>
      </c>
      <c r="L1484" s="861"/>
      <c r="M1484" s="671">
        <f t="shared" si="115"/>
        <v>1482</v>
      </c>
      <c r="N1484" s="671" t="str">
        <f t="shared" si="116"/>
        <v>N/A</v>
      </c>
      <c r="O1484" s="671">
        <f t="shared" si="117"/>
        <v>708</v>
      </c>
      <c r="P1484" s="861" t="s">
        <v>7696</v>
      </c>
      <c r="Q1484" s="861"/>
      <c r="R1484" s="861"/>
      <c r="S1484" s="861" t="s">
        <v>3248</v>
      </c>
      <c r="T1484" s="866" t="s">
        <v>7697</v>
      </c>
      <c r="U1484" s="865"/>
    </row>
    <row r="1485" spans="1:21" ht="15">
      <c r="A1485" s="857"/>
      <c r="B1485" s="861" t="s">
        <v>7698</v>
      </c>
      <c r="C1485" s="861" t="s">
        <v>7699</v>
      </c>
      <c r="D1485" s="861" t="s">
        <v>371</v>
      </c>
      <c r="E1485" s="861"/>
      <c r="F1485" s="862"/>
      <c r="G1485" s="869" t="e">
        <v>#DIV/0!</v>
      </c>
      <c r="H1485" s="874">
        <v>1788201.83</v>
      </c>
      <c r="I1485" s="871"/>
      <c r="J1485" s="863" t="s">
        <v>7700</v>
      </c>
      <c r="K1485" s="868">
        <f t="shared" si="114"/>
        <v>316</v>
      </c>
      <c r="L1485" s="861"/>
      <c r="M1485" s="671">
        <f t="shared" si="115"/>
        <v>1483</v>
      </c>
      <c r="N1485" s="671" t="str">
        <f t="shared" si="116"/>
        <v>N/A</v>
      </c>
      <c r="O1485" s="671" t="str">
        <f t="shared" si="117"/>
        <v>N/A</v>
      </c>
      <c r="P1485" s="861" t="s">
        <v>4913</v>
      </c>
      <c r="Q1485" s="861" t="s">
        <v>7701</v>
      </c>
      <c r="R1485" s="861"/>
      <c r="S1485" s="861" t="s">
        <v>1617</v>
      </c>
      <c r="T1485" s="866" t="s">
        <v>7702</v>
      </c>
      <c r="U1485" s="865"/>
    </row>
    <row r="1486" spans="1:21" ht="15">
      <c r="A1486" s="672"/>
      <c r="B1486" s="861" t="s">
        <v>7703</v>
      </c>
      <c r="C1486" s="861" t="s">
        <v>7704</v>
      </c>
      <c r="D1486" s="861" t="s">
        <v>371</v>
      </c>
      <c r="E1486" s="861"/>
      <c r="F1486" s="862"/>
      <c r="G1486" s="870" t="s">
        <v>7705</v>
      </c>
      <c r="H1486" s="874">
        <v>1776852.24</v>
      </c>
      <c r="I1486" s="871"/>
      <c r="J1486" s="863"/>
      <c r="K1486" s="868">
        <f t="shared" si="114"/>
        <v>316</v>
      </c>
      <c r="L1486" s="861" t="s">
        <v>1640</v>
      </c>
      <c r="M1486" s="671">
        <f t="shared" si="115"/>
        <v>1484</v>
      </c>
      <c r="N1486" s="671" t="str">
        <f t="shared" si="116"/>
        <v>N/A</v>
      </c>
      <c r="O1486" s="671">
        <f t="shared" si="117"/>
        <v>708</v>
      </c>
      <c r="P1486" s="861" t="s">
        <v>7706</v>
      </c>
      <c r="Q1486" s="861" t="s">
        <v>7707</v>
      </c>
      <c r="R1486" s="863" t="s">
        <v>945</v>
      </c>
      <c r="S1486" s="861" t="s">
        <v>1611</v>
      </c>
      <c r="T1486" s="866" t="s">
        <v>7708</v>
      </c>
      <c r="U1486" s="865"/>
    </row>
    <row r="1487" spans="1:21" ht="15">
      <c r="A1487" s="857"/>
      <c r="B1487" s="861" t="s">
        <v>7709</v>
      </c>
      <c r="C1487" s="861" t="s">
        <v>7710</v>
      </c>
      <c r="D1487" s="861" t="s">
        <v>371</v>
      </c>
      <c r="E1487" s="861"/>
      <c r="F1487" s="862"/>
      <c r="G1487" s="869" t="e">
        <v>#DIV/0!</v>
      </c>
      <c r="H1487" s="874">
        <v>1726042.65</v>
      </c>
      <c r="I1487" s="871"/>
      <c r="J1487" s="863"/>
      <c r="K1487" s="868">
        <f t="shared" si="114"/>
        <v>316</v>
      </c>
      <c r="L1487" s="861" t="s">
        <v>833</v>
      </c>
      <c r="M1487" s="671">
        <f t="shared" si="115"/>
        <v>1485</v>
      </c>
      <c r="N1487" s="671" t="str">
        <f t="shared" si="116"/>
        <v>N/A</v>
      </c>
      <c r="O1487" s="671">
        <f t="shared" si="117"/>
        <v>708</v>
      </c>
      <c r="P1487" s="861" t="s">
        <v>7711</v>
      </c>
      <c r="Q1487" s="861" t="s">
        <v>7712</v>
      </c>
      <c r="R1487" s="861" t="s">
        <v>506</v>
      </c>
      <c r="S1487" s="861" t="s">
        <v>6874</v>
      </c>
      <c r="T1487" s="866" t="s">
        <v>7713</v>
      </c>
      <c r="U1487" s="865"/>
    </row>
    <row r="1488" spans="1:21" ht="15">
      <c r="A1488" s="672"/>
      <c r="B1488" s="861" t="s">
        <v>7714</v>
      </c>
      <c r="C1488" s="861" t="s">
        <v>7715</v>
      </c>
      <c r="D1488" s="861" t="s">
        <v>371</v>
      </c>
      <c r="E1488" s="861"/>
      <c r="F1488" s="862"/>
      <c r="G1488" s="869" t="e">
        <v>#DIV/0!</v>
      </c>
      <c r="H1488" s="874">
        <v>1722742.87</v>
      </c>
      <c r="I1488" s="871"/>
      <c r="J1488" s="861" t="s">
        <v>3441</v>
      </c>
      <c r="K1488" s="868">
        <f t="shared" si="114"/>
        <v>316</v>
      </c>
      <c r="L1488" s="861" t="s">
        <v>1807</v>
      </c>
      <c r="M1488" s="671">
        <f t="shared" si="115"/>
        <v>1486</v>
      </c>
      <c r="N1488" s="671" t="str">
        <f t="shared" si="116"/>
        <v>N/A</v>
      </c>
      <c r="O1488" s="671" t="str">
        <f t="shared" si="117"/>
        <v>N/A</v>
      </c>
      <c r="P1488" s="861" t="s">
        <v>2015</v>
      </c>
      <c r="Q1488" s="861" t="s">
        <v>7716</v>
      </c>
      <c r="R1488" s="861" t="s">
        <v>748</v>
      </c>
      <c r="S1488" s="861" t="s">
        <v>7717</v>
      </c>
      <c r="T1488" s="866" t="s">
        <v>7718</v>
      </c>
      <c r="U1488" s="865"/>
    </row>
    <row r="1489" spans="1:21" ht="15">
      <c r="A1489" s="857"/>
      <c r="B1489" s="861" t="s">
        <v>7719</v>
      </c>
      <c r="C1489" s="861" t="s">
        <v>7720</v>
      </c>
      <c r="D1489" s="861" t="s">
        <v>371</v>
      </c>
      <c r="E1489" s="861"/>
      <c r="F1489" s="862"/>
      <c r="G1489" s="870" t="s">
        <v>7721</v>
      </c>
      <c r="H1489" s="874">
        <v>1712212.85</v>
      </c>
      <c r="I1489" s="871"/>
      <c r="J1489" s="863"/>
      <c r="K1489" s="868">
        <f t="shared" si="114"/>
        <v>316</v>
      </c>
      <c r="L1489" s="861"/>
      <c r="M1489" s="671">
        <f t="shared" si="115"/>
        <v>1487</v>
      </c>
      <c r="N1489" s="671" t="str">
        <f t="shared" si="116"/>
        <v>N/A</v>
      </c>
      <c r="O1489" s="671">
        <f t="shared" si="117"/>
        <v>708</v>
      </c>
      <c r="P1489" s="861" t="s">
        <v>1866</v>
      </c>
      <c r="Q1489" s="861"/>
      <c r="R1489" s="861"/>
      <c r="S1489" s="861" t="s">
        <v>1168</v>
      </c>
      <c r="T1489" s="866" t="s">
        <v>7722</v>
      </c>
      <c r="U1489" s="865"/>
    </row>
    <row r="1490" spans="1:21" ht="15">
      <c r="A1490" s="672"/>
      <c r="B1490" s="861" t="s">
        <v>7723</v>
      </c>
      <c r="C1490" s="861" t="s">
        <v>7724</v>
      </c>
      <c r="D1490" s="861" t="s">
        <v>371</v>
      </c>
      <c r="E1490" s="861"/>
      <c r="F1490" s="862"/>
      <c r="G1490" s="869" t="e">
        <v>#DIV/0!</v>
      </c>
      <c r="H1490" s="874">
        <v>1685378.44</v>
      </c>
      <c r="I1490" s="871"/>
      <c r="J1490" s="863"/>
      <c r="K1490" s="868">
        <f t="shared" si="114"/>
        <v>316</v>
      </c>
      <c r="L1490" s="861"/>
      <c r="M1490" s="671">
        <f t="shared" si="115"/>
        <v>1488</v>
      </c>
      <c r="N1490" s="671" t="str">
        <f t="shared" si="116"/>
        <v>N/A</v>
      </c>
      <c r="O1490" s="671">
        <f t="shared" si="117"/>
        <v>708</v>
      </c>
      <c r="P1490" s="861" t="s">
        <v>3324</v>
      </c>
      <c r="Q1490" s="861"/>
      <c r="R1490" s="861"/>
      <c r="S1490" s="861" t="s">
        <v>467</v>
      </c>
      <c r="T1490" s="866" t="s">
        <v>7725</v>
      </c>
      <c r="U1490" s="865"/>
    </row>
    <row r="1491" spans="1:21" ht="15">
      <c r="A1491" s="857"/>
      <c r="B1491" s="861" t="s">
        <v>7726</v>
      </c>
      <c r="C1491" s="861" t="s">
        <v>7727</v>
      </c>
      <c r="D1491" s="861" t="s">
        <v>371</v>
      </c>
      <c r="E1491" s="861"/>
      <c r="F1491" s="862"/>
      <c r="G1491" s="869" t="e">
        <v>#DIV/0!</v>
      </c>
      <c r="H1491" s="874">
        <v>1675275.08</v>
      </c>
      <c r="I1491" s="871"/>
      <c r="J1491" s="863"/>
      <c r="K1491" s="868">
        <f t="shared" si="114"/>
        <v>316</v>
      </c>
      <c r="L1491" s="863" t="s">
        <v>945</v>
      </c>
      <c r="M1491" s="671">
        <f t="shared" si="115"/>
        <v>1489</v>
      </c>
      <c r="N1491" s="671" t="str">
        <f t="shared" si="116"/>
        <v>N/A</v>
      </c>
      <c r="O1491" s="671">
        <f t="shared" si="117"/>
        <v>708</v>
      </c>
      <c r="P1491" s="861" t="s">
        <v>570</v>
      </c>
      <c r="Q1491" s="861" t="s">
        <v>1313</v>
      </c>
      <c r="R1491" s="863" t="s">
        <v>1030</v>
      </c>
      <c r="S1491" s="861" t="s">
        <v>3239</v>
      </c>
      <c r="T1491" s="866" t="s">
        <v>7728</v>
      </c>
      <c r="U1491" s="865"/>
    </row>
    <row r="1492" spans="1:21" ht="15">
      <c r="A1492" s="672"/>
      <c r="B1492" s="861" t="s">
        <v>7729</v>
      </c>
      <c r="C1492" s="861" t="s">
        <v>7730</v>
      </c>
      <c r="D1492" s="861" t="s">
        <v>371</v>
      </c>
      <c r="E1492" s="861"/>
      <c r="F1492" s="862"/>
      <c r="G1492" s="869">
        <v>0</v>
      </c>
      <c r="H1492" s="874">
        <v>1628786.99</v>
      </c>
      <c r="I1492" s="871"/>
      <c r="J1492" s="863"/>
      <c r="K1492" s="868">
        <f t="shared" si="114"/>
        <v>316</v>
      </c>
      <c r="L1492" s="861"/>
      <c r="M1492" s="671">
        <f t="shared" si="115"/>
        <v>1490</v>
      </c>
      <c r="N1492" s="671" t="str">
        <f t="shared" si="116"/>
        <v>N/A</v>
      </c>
      <c r="O1492" s="671">
        <f t="shared" si="117"/>
        <v>708</v>
      </c>
      <c r="P1492" s="861" t="s">
        <v>7731</v>
      </c>
      <c r="Q1492" s="861"/>
      <c r="R1492" s="861"/>
      <c r="S1492" s="861" t="s">
        <v>904</v>
      </c>
      <c r="T1492" s="866" t="s">
        <v>7732</v>
      </c>
      <c r="U1492" s="865"/>
    </row>
    <row r="1493" spans="1:21" ht="15">
      <c r="A1493" s="857"/>
      <c r="B1493" s="861" t="s">
        <v>7733</v>
      </c>
      <c r="C1493" s="861" t="s">
        <v>7734</v>
      </c>
      <c r="D1493" s="861" t="s">
        <v>371</v>
      </c>
      <c r="E1493" s="861"/>
      <c r="F1493" s="862"/>
      <c r="G1493" s="870" t="s">
        <v>7735</v>
      </c>
      <c r="H1493" s="874">
        <v>1624162.39</v>
      </c>
      <c r="I1493" s="871"/>
      <c r="J1493" s="861"/>
      <c r="K1493" s="868">
        <f t="shared" si="114"/>
        <v>316</v>
      </c>
      <c r="L1493" s="861" t="s">
        <v>473</v>
      </c>
      <c r="M1493" s="671">
        <f t="shared" si="115"/>
        <v>1491</v>
      </c>
      <c r="N1493" s="671" t="str">
        <f t="shared" si="116"/>
        <v>N/A</v>
      </c>
      <c r="O1493" s="671">
        <f t="shared" si="117"/>
        <v>708</v>
      </c>
      <c r="P1493" s="861" t="s">
        <v>1236</v>
      </c>
      <c r="Q1493" s="861" t="s">
        <v>7736</v>
      </c>
      <c r="R1493" s="861" t="s">
        <v>1127</v>
      </c>
      <c r="S1493" s="861" t="s">
        <v>951</v>
      </c>
      <c r="T1493" s="866" t="s">
        <v>7737</v>
      </c>
      <c r="U1493" s="865"/>
    </row>
    <row r="1494" spans="1:21" ht="15">
      <c r="A1494" s="672"/>
      <c r="B1494" s="861" t="s">
        <v>7738</v>
      </c>
      <c r="C1494" s="861" t="s">
        <v>7739</v>
      </c>
      <c r="D1494" s="861" t="s">
        <v>371</v>
      </c>
      <c r="E1494" s="861"/>
      <c r="F1494" s="862"/>
      <c r="G1494" s="870" t="s">
        <v>7740</v>
      </c>
      <c r="H1494" s="874">
        <v>1589840.9</v>
      </c>
      <c r="I1494" s="871"/>
      <c r="J1494" s="863"/>
      <c r="K1494" s="868">
        <f t="shared" si="114"/>
        <v>316</v>
      </c>
      <c r="L1494" s="861"/>
      <c r="M1494" s="671">
        <f t="shared" si="115"/>
        <v>1492</v>
      </c>
      <c r="N1494" s="671" t="str">
        <f t="shared" si="116"/>
        <v>N/A</v>
      </c>
      <c r="O1494" s="671">
        <f t="shared" si="117"/>
        <v>708</v>
      </c>
      <c r="P1494" s="861" t="s">
        <v>1064</v>
      </c>
      <c r="Q1494" s="861"/>
      <c r="R1494" s="861"/>
      <c r="S1494" s="861" t="s">
        <v>996</v>
      </c>
      <c r="T1494" s="866" t="s">
        <v>7741</v>
      </c>
      <c r="U1494" s="865"/>
    </row>
    <row r="1495" spans="1:21" ht="15">
      <c r="A1495" s="857"/>
      <c r="B1495" s="861" t="s">
        <v>7742</v>
      </c>
      <c r="C1495" s="861" t="s">
        <v>7743</v>
      </c>
      <c r="D1495" s="861" t="s">
        <v>371</v>
      </c>
      <c r="E1495" s="861"/>
      <c r="F1495" s="862"/>
      <c r="G1495" s="869" t="e">
        <v>#DIV/0!</v>
      </c>
      <c r="H1495" s="874">
        <v>1587744</v>
      </c>
      <c r="I1495" s="871"/>
      <c r="J1495" s="863"/>
      <c r="K1495" s="868">
        <f t="shared" si="114"/>
        <v>316</v>
      </c>
      <c r="L1495" s="861" t="s">
        <v>653</v>
      </c>
      <c r="M1495" s="671">
        <f t="shared" si="115"/>
        <v>1493</v>
      </c>
      <c r="N1495" s="671" t="str">
        <f t="shared" si="116"/>
        <v>N/A</v>
      </c>
      <c r="O1495" s="671">
        <f t="shared" si="117"/>
        <v>708</v>
      </c>
      <c r="P1495" s="861" t="s">
        <v>2675</v>
      </c>
      <c r="Q1495" s="861"/>
      <c r="R1495" s="861" t="s">
        <v>460</v>
      </c>
      <c r="S1495" s="861" t="s">
        <v>7744</v>
      </c>
      <c r="T1495" s="866" t="s">
        <v>7745</v>
      </c>
      <c r="U1495" s="865"/>
    </row>
    <row r="1496" spans="1:21" ht="15">
      <c r="A1496" s="672"/>
      <c r="B1496" s="861" t="s">
        <v>7746</v>
      </c>
      <c r="C1496" s="861" t="s">
        <v>7747</v>
      </c>
      <c r="D1496" s="861" t="s">
        <v>371</v>
      </c>
      <c r="E1496" s="861"/>
      <c r="F1496" s="862"/>
      <c r="G1496" s="870" t="s">
        <v>7748</v>
      </c>
      <c r="H1496" s="874">
        <v>1580550.28</v>
      </c>
      <c r="I1496" s="871"/>
      <c r="J1496" s="863"/>
      <c r="K1496" s="868">
        <f t="shared" si="114"/>
        <v>316</v>
      </c>
      <c r="L1496" s="861" t="s">
        <v>819</v>
      </c>
      <c r="M1496" s="671">
        <f t="shared" si="115"/>
        <v>1494</v>
      </c>
      <c r="N1496" s="671" t="str">
        <f t="shared" si="116"/>
        <v>N/A</v>
      </c>
      <c r="O1496" s="671">
        <f t="shared" si="117"/>
        <v>708</v>
      </c>
      <c r="P1496" s="861" t="s">
        <v>2829</v>
      </c>
      <c r="Q1496" s="861"/>
      <c r="R1496" s="861" t="s">
        <v>557</v>
      </c>
      <c r="S1496" s="861" t="s">
        <v>7749</v>
      </c>
      <c r="T1496" s="866" t="s">
        <v>7750</v>
      </c>
      <c r="U1496" s="865"/>
    </row>
    <row r="1497" spans="1:21" ht="15">
      <c r="A1497" s="857"/>
      <c r="B1497" s="861" t="s">
        <v>7751</v>
      </c>
      <c r="C1497" s="861" t="s">
        <v>7752</v>
      </c>
      <c r="D1497" s="861" t="s">
        <v>371</v>
      </c>
      <c r="E1497" s="861"/>
      <c r="F1497" s="862"/>
      <c r="G1497" s="869">
        <v>0</v>
      </c>
      <c r="H1497" s="874">
        <v>1579490.4</v>
      </c>
      <c r="I1497" s="871"/>
      <c r="J1497" s="863" t="s">
        <v>7753</v>
      </c>
      <c r="K1497" s="868">
        <f t="shared" si="114"/>
        <v>316</v>
      </c>
      <c r="L1497" s="863" t="s">
        <v>915</v>
      </c>
      <c r="M1497" s="671">
        <f t="shared" si="115"/>
        <v>1495</v>
      </c>
      <c r="N1497" s="671" t="str">
        <f t="shared" si="116"/>
        <v>N/A</v>
      </c>
      <c r="O1497" s="671" t="str">
        <f t="shared" si="117"/>
        <v>N/A</v>
      </c>
      <c r="P1497" s="861" t="s">
        <v>965</v>
      </c>
      <c r="Q1497" s="861"/>
      <c r="R1497" s="863" t="s">
        <v>7103</v>
      </c>
      <c r="S1497" s="861" t="s">
        <v>7754</v>
      </c>
      <c r="T1497" s="866" t="s">
        <v>7755</v>
      </c>
      <c r="U1497" s="865"/>
    </row>
    <row r="1498" spans="1:21" ht="15">
      <c r="A1498" s="672"/>
      <c r="B1498" s="861" t="s">
        <v>7756</v>
      </c>
      <c r="C1498" s="861" t="s">
        <v>7757</v>
      </c>
      <c r="D1498" s="861" t="s">
        <v>371</v>
      </c>
      <c r="E1498" s="861"/>
      <c r="F1498" s="862"/>
      <c r="G1498" s="870" t="s">
        <v>7758</v>
      </c>
      <c r="H1498" s="874">
        <v>1554598.76</v>
      </c>
      <c r="I1498" s="871"/>
      <c r="J1498" s="862">
        <v>0.30599999999999999</v>
      </c>
      <c r="K1498" s="868">
        <f t="shared" si="114"/>
        <v>316</v>
      </c>
      <c r="L1498" s="861" t="s">
        <v>964</v>
      </c>
      <c r="M1498" s="671">
        <f t="shared" si="115"/>
        <v>1496</v>
      </c>
      <c r="N1498" s="671" t="str">
        <f t="shared" si="116"/>
        <v>N/A</v>
      </c>
      <c r="O1498" s="671">
        <f t="shared" si="117"/>
        <v>120</v>
      </c>
      <c r="P1498" s="861"/>
      <c r="Q1498" s="861"/>
      <c r="R1498" s="861"/>
      <c r="S1498" s="861" t="s">
        <v>2519</v>
      </c>
      <c r="T1498" s="866" t="s">
        <v>7759</v>
      </c>
      <c r="U1498" s="865"/>
    </row>
    <row r="1499" spans="1:21" ht="15">
      <c r="A1499" s="857"/>
      <c r="B1499" s="861" t="s">
        <v>7760</v>
      </c>
      <c r="C1499" s="861" t="s">
        <v>7761</v>
      </c>
      <c r="D1499" s="861" t="s">
        <v>371</v>
      </c>
      <c r="E1499" s="861"/>
      <c r="F1499" s="862"/>
      <c r="G1499" s="869">
        <v>0</v>
      </c>
      <c r="H1499" s="874">
        <v>1548555.64</v>
      </c>
      <c r="I1499" s="871"/>
      <c r="J1499" s="863"/>
      <c r="K1499" s="868">
        <f t="shared" si="114"/>
        <v>316</v>
      </c>
      <c r="L1499" s="863" t="s">
        <v>1984</v>
      </c>
      <c r="M1499" s="671">
        <f t="shared" si="115"/>
        <v>1497</v>
      </c>
      <c r="N1499" s="671" t="str">
        <f t="shared" si="116"/>
        <v>N/A</v>
      </c>
      <c r="O1499" s="671">
        <f t="shared" si="117"/>
        <v>708</v>
      </c>
      <c r="P1499" s="861" t="s">
        <v>1597</v>
      </c>
      <c r="Q1499" s="861" t="s">
        <v>1654</v>
      </c>
      <c r="R1499" s="863" t="s">
        <v>7762</v>
      </c>
      <c r="S1499" s="861" t="s">
        <v>954</v>
      </c>
      <c r="T1499" s="866" t="s">
        <v>7763</v>
      </c>
      <c r="U1499" s="865"/>
    </row>
    <row r="1500" spans="1:21" ht="15">
      <c r="A1500" s="672"/>
      <c r="B1500" s="861" t="s">
        <v>7764</v>
      </c>
      <c r="C1500" s="861" t="s">
        <v>7765</v>
      </c>
      <c r="D1500" s="861" t="s">
        <v>371</v>
      </c>
      <c r="E1500" s="861"/>
      <c r="F1500" s="862"/>
      <c r="G1500" s="869" t="e">
        <v>#DIV/0!</v>
      </c>
      <c r="H1500" s="874">
        <v>1522842.64</v>
      </c>
      <c r="I1500" s="871"/>
      <c r="J1500" s="863"/>
      <c r="K1500" s="868">
        <f t="shared" si="114"/>
        <v>316</v>
      </c>
      <c r="L1500" s="861"/>
      <c r="M1500" s="671">
        <f t="shared" si="115"/>
        <v>1498</v>
      </c>
      <c r="N1500" s="671" t="str">
        <f t="shared" si="116"/>
        <v>N/A</v>
      </c>
      <c r="O1500" s="671">
        <f t="shared" si="117"/>
        <v>708</v>
      </c>
      <c r="P1500" s="861" t="s">
        <v>7766</v>
      </c>
      <c r="Q1500" s="861"/>
      <c r="R1500" s="861"/>
      <c r="S1500" s="861" t="s">
        <v>734</v>
      </c>
      <c r="T1500" s="866" t="s">
        <v>7767</v>
      </c>
      <c r="U1500" s="865"/>
    </row>
    <row r="1501" spans="1:21" ht="15">
      <c r="A1501" s="857"/>
      <c r="B1501" s="861" t="s">
        <v>7768</v>
      </c>
      <c r="C1501" s="861" t="s">
        <v>7769</v>
      </c>
      <c r="D1501" s="861" t="s">
        <v>371</v>
      </c>
      <c r="E1501" s="861"/>
      <c r="F1501" s="862"/>
      <c r="G1501" s="869" t="e">
        <v>#DIV/0!</v>
      </c>
      <c r="H1501" s="874">
        <v>1522521.96</v>
      </c>
      <c r="I1501" s="871"/>
      <c r="J1501" s="861"/>
      <c r="K1501" s="868">
        <f t="shared" si="114"/>
        <v>316</v>
      </c>
      <c r="L1501" s="861" t="s">
        <v>460</v>
      </c>
      <c r="M1501" s="671">
        <f t="shared" si="115"/>
        <v>1499</v>
      </c>
      <c r="N1501" s="671" t="str">
        <f t="shared" si="116"/>
        <v>N/A</v>
      </c>
      <c r="O1501" s="671">
        <f t="shared" si="117"/>
        <v>708</v>
      </c>
      <c r="P1501" s="861" t="s">
        <v>3381</v>
      </c>
      <c r="Q1501" s="861" t="s">
        <v>3524</v>
      </c>
      <c r="R1501" s="861" t="s">
        <v>2069</v>
      </c>
      <c r="S1501" s="861" t="s">
        <v>531</v>
      </c>
      <c r="T1501" s="866" t="s">
        <v>7770</v>
      </c>
      <c r="U1501" s="865"/>
    </row>
    <row r="1502" spans="1:21" ht="15">
      <c r="A1502" s="672"/>
      <c r="B1502" s="861" t="s">
        <v>7771</v>
      </c>
      <c r="C1502" s="861" t="s">
        <v>7772</v>
      </c>
      <c r="D1502" s="861" t="s">
        <v>371</v>
      </c>
      <c r="E1502" s="861"/>
      <c r="F1502" s="862"/>
      <c r="G1502" s="869" t="e">
        <v>#DIV/0!</v>
      </c>
      <c r="H1502" s="874">
        <v>1504727.78</v>
      </c>
      <c r="I1502" s="871"/>
      <c r="J1502" s="863"/>
      <c r="K1502" s="868">
        <f t="shared" si="114"/>
        <v>316</v>
      </c>
      <c r="L1502" s="861"/>
      <c r="M1502" s="671">
        <f t="shared" si="115"/>
        <v>1500</v>
      </c>
      <c r="N1502" s="671" t="str">
        <f t="shared" si="116"/>
        <v>N/A</v>
      </c>
      <c r="O1502" s="671">
        <f t="shared" si="117"/>
        <v>708</v>
      </c>
      <c r="P1502" s="861" t="s">
        <v>3462</v>
      </c>
      <c r="Q1502" s="861"/>
      <c r="R1502" s="861"/>
      <c r="S1502" s="861" t="s">
        <v>4413</v>
      </c>
      <c r="T1502" s="866" t="s">
        <v>7773</v>
      </c>
      <c r="U1502" s="865"/>
    </row>
    <row r="1503" spans="1:21" ht="15">
      <c r="A1503" s="857"/>
      <c r="B1503" s="861" t="s">
        <v>7774</v>
      </c>
      <c r="C1503" s="861" t="s">
        <v>7775</v>
      </c>
      <c r="D1503" s="861" t="s">
        <v>371</v>
      </c>
      <c r="E1503" s="861"/>
      <c r="F1503" s="862"/>
      <c r="G1503" s="869" t="e">
        <v>#DIV/0!</v>
      </c>
      <c r="H1503" s="874">
        <v>1503595.3</v>
      </c>
      <c r="I1503" s="871"/>
      <c r="J1503" s="863" t="s">
        <v>7776</v>
      </c>
      <c r="K1503" s="868">
        <f t="shared" si="114"/>
        <v>316</v>
      </c>
      <c r="L1503" s="861"/>
      <c r="M1503" s="671">
        <f t="shared" si="115"/>
        <v>1501</v>
      </c>
      <c r="N1503" s="671" t="str">
        <f t="shared" si="116"/>
        <v>N/A</v>
      </c>
      <c r="O1503" s="671" t="str">
        <f t="shared" si="117"/>
        <v>N/A</v>
      </c>
      <c r="P1503" s="861" t="s">
        <v>1746</v>
      </c>
      <c r="Q1503" s="861" t="s">
        <v>7777</v>
      </c>
      <c r="R1503" s="861"/>
      <c r="S1503" s="861" t="s">
        <v>2190</v>
      </c>
      <c r="T1503" s="866" t="s">
        <v>7778</v>
      </c>
      <c r="U1503" s="865"/>
    </row>
    <row r="1504" spans="1:21" ht="15">
      <c r="A1504" s="672"/>
      <c r="B1504" s="861" t="s">
        <v>7779</v>
      </c>
      <c r="C1504" s="861" t="s">
        <v>7780</v>
      </c>
      <c r="D1504" s="861" t="s">
        <v>371</v>
      </c>
      <c r="E1504" s="861"/>
      <c r="F1504" s="862"/>
      <c r="G1504" s="870" t="s">
        <v>7781</v>
      </c>
      <c r="H1504" s="874">
        <v>1481083.6</v>
      </c>
      <c r="I1504" s="871"/>
      <c r="J1504" s="863"/>
      <c r="K1504" s="868">
        <f t="shared" si="114"/>
        <v>316</v>
      </c>
      <c r="L1504" s="863" t="s">
        <v>1017</v>
      </c>
      <c r="M1504" s="671">
        <f t="shared" si="115"/>
        <v>1502</v>
      </c>
      <c r="N1504" s="671" t="str">
        <f t="shared" si="116"/>
        <v>N/A</v>
      </c>
      <c r="O1504" s="671">
        <f t="shared" si="117"/>
        <v>708</v>
      </c>
      <c r="P1504" s="861" t="s">
        <v>7782</v>
      </c>
      <c r="Q1504" s="861"/>
      <c r="R1504" s="863" t="s">
        <v>7783</v>
      </c>
      <c r="S1504" s="861" t="s">
        <v>7784</v>
      </c>
      <c r="T1504" s="866" t="s">
        <v>7785</v>
      </c>
      <c r="U1504" s="865"/>
    </row>
    <row r="1505" spans="1:21" ht="15">
      <c r="A1505" s="857"/>
      <c r="B1505" s="861" t="s">
        <v>7786</v>
      </c>
      <c r="C1505" s="861" t="s">
        <v>7787</v>
      </c>
      <c r="D1505" s="861" t="s">
        <v>371</v>
      </c>
      <c r="E1505" s="861"/>
      <c r="F1505" s="862"/>
      <c r="G1505" s="869" t="e">
        <v>#DIV/0!</v>
      </c>
      <c r="H1505" s="874">
        <v>1480815.17</v>
      </c>
      <c r="I1505" s="871"/>
      <c r="J1505" s="862">
        <v>8.4000000000000005E-2</v>
      </c>
      <c r="K1505" s="868">
        <f t="shared" si="114"/>
        <v>316</v>
      </c>
      <c r="L1505" s="863" t="s">
        <v>2742</v>
      </c>
      <c r="M1505" s="671">
        <f t="shared" si="115"/>
        <v>1503</v>
      </c>
      <c r="N1505" s="671" t="str">
        <f t="shared" si="116"/>
        <v>N/A</v>
      </c>
      <c r="O1505" s="671">
        <f t="shared" si="117"/>
        <v>534</v>
      </c>
      <c r="P1505" s="861" t="s">
        <v>3324</v>
      </c>
      <c r="Q1505" s="861" t="s">
        <v>7788</v>
      </c>
      <c r="R1505" s="861"/>
      <c r="S1505" s="861" t="s">
        <v>1168</v>
      </c>
      <c r="T1505" s="866" t="s">
        <v>7789</v>
      </c>
      <c r="U1505" s="865"/>
    </row>
    <row r="1506" spans="1:21" ht="15">
      <c r="A1506" s="672"/>
      <c r="B1506" s="861" t="s">
        <v>7790</v>
      </c>
      <c r="C1506" s="861" t="s">
        <v>7791</v>
      </c>
      <c r="D1506" s="861" t="s">
        <v>371</v>
      </c>
      <c r="E1506" s="861"/>
      <c r="F1506" s="862"/>
      <c r="G1506" s="870" t="s">
        <v>7792</v>
      </c>
      <c r="H1506" s="874">
        <v>1479904</v>
      </c>
      <c r="I1506" s="871"/>
      <c r="J1506" s="861"/>
      <c r="K1506" s="868">
        <f t="shared" si="114"/>
        <v>316</v>
      </c>
      <c r="L1506" s="861"/>
      <c r="M1506" s="671">
        <f t="shared" si="115"/>
        <v>1504</v>
      </c>
      <c r="N1506" s="671" t="str">
        <f t="shared" si="116"/>
        <v>N/A</v>
      </c>
      <c r="O1506" s="671">
        <f t="shared" si="117"/>
        <v>708</v>
      </c>
      <c r="P1506" s="861" t="s">
        <v>3159</v>
      </c>
      <c r="Q1506" s="861"/>
      <c r="R1506" s="861"/>
      <c r="S1506" s="861" t="s">
        <v>4866</v>
      </c>
      <c r="T1506" s="866" t="s">
        <v>7793</v>
      </c>
      <c r="U1506" s="865"/>
    </row>
    <row r="1507" spans="1:21" ht="15">
      <c r="A1507" s="857"/>
      <c r="B1507" s="861" t="s">
        <v>7794</v>
      </c>
      <c r="C1507" s="861" t="s">
        <v>7795</v>
      </c>
      <c r="D1507" s="861" t="s">
        <v>371</v>
      </c>
      <c r="E1507" s="861"/>
      <c r="F1507" s="862"/>
      <c r="G1507" s="870" t="s">
        <v>7796</v>
      </c>
      <c r="H1507" s="874">
        <v>1472923.57</v>
      </c>
      <c r="I1507" s="871"/>
      <c r="J1507" s="863"/>
      <c r="K1507" s="868">
        <f t="shared" si="114"/>
        <v>316</v>
      </c>
      <c r="L1507" s="863" t="s">
        <v>7797</v>
      </c>
      <c r="M1507" s="671">
        <f t="shared" si="115"/>
        <v>1505</v>
      </c>
      <c r="N1507" s="671" t="str">
        <f t="shared" si="116"/>
        <v>N/A</v>
      </c>
      <c r="O1507" s="671">
        <f t="shared" si="117"/>
        <v>708</v>
      </c>
      <c r="P1507" s="861" t="s">
        <v>4636</v>
      </c>
      <c r="Q1507" s="861"/>
      <c r="R1507" s="863" t="s">
        <v>7798</v>
      </c>
      <c r="S1507" s="861" t="s">
        <v>7799</v>
      </c>
      <c r="T1507" s="866" t="s">
        <v>7800</v>
      </c>
      <c r="U1507" s="865"/>
    </row>
    <row r="1508" spans="1:21" ht="15">
      <c r="A1508" s="672"/>
      <c r="B1508" s="861" t="s">
        <v>7801</v>
      </c>
      <c r="C1508" s="861" t="s">
        <v>7802</v>
      </c>
      <c r="D1508" s="861" t="s">
        <v>371</v>
      </c>
      <c r="E1508" s="861"/>
      <c r="F1508" s="862"/>
      <c r="G1508" s="870" t="s">
        <v>7803</v>
      </c>
      <c r="H1508" s="874">
        <v>1472530.35</v>
      </c>
      <c r="I1508" s="871"/>
      <c r="J1508" s="861"/>
      <c r="K1508" s="868">
        <f t="shared" si="114"/>
        <v>316</v>
      </c>
      <c r="L1508" s="861"/>
      <c r="M1508" s="671">
        <f t="shared" si="115"/>
        <v>1506</v>
      </c>
      <c r="N1508" s="671" t="str">
        <f t="shared" si="116"/>
        <v>N/A</v>
      </c>
      <c r="O1508" s="671">
        <f t="shared" si="117"/>
        <v>708</v>
      </c>
      <c r="P1508" s="861" t="s">
        <v>1209</v>
      </c>
      <c r="Q1508" s="861" t="s">
        <v>6763</v>
      </c>
      <c r="R1508" s="861"/>
      <c r="S1508" s="861" t="s">
        <v>1419</v>
      </c>
      <c r="T1508" s="866" t="s">
        <v>7804</v>
      </c>
      <c r="U1508" s="865"/>
    </row>
    <row r="1509" spans="1:21" ht="15">
      <c r="A1509" s="857"/>
      <c r="B1509" s="861" t="s">
        <v>7805</v>
      </c>
      <c r="C1509" s="861" t="s">
        <v>7806</v>
      </c>
      <c r="D1509" s="861" t="s">
        <v>371</v>
      </c>
      <c r="E1509" s="861"/>
      <c r="F1509" s="862"/>
      <c r="G1509" s="869">
        <v>0</v>
      </c>
      <c r="H1509" s="874">
        <v>1464182.73</v>
      </c>
      <c r="I1509" s="871"/>
      <c r="J1509" s="863"/>
      <c r="K1509" s="868">
        <f t="shared" si="114"/>
        <v>316</v>
      </c>
      <c r="L1509" s="863" t="s">
        <v>7241</v>
      </c>
      <c r="M1509" s="671">
        <f t="shared" si="115"/>
        <v>1507</v>
      </c>
      <c r="N1509" s="671" t="str">
        <f t="shared" si="116"/>
        <v>N/A</v>
      </c>
      <c r="O1509" s="671">
        <f t="shared" si="117"/>
        <v>708</v>
      </c>
      <c r="P1509" s="861" t="s">
        <v>6822</v>
      </c>
      <c r="Q1509" s="861"/>
      <c r="R1509" s="863" t="s">
        <v>7541</v>
      </c>
      <c r="S1509" s="861" t="s">
        <v>1363</v>
      </c>
      <c r="T1509" s="866" t="s">
        <v>7807</v>
      </c>
      <c r="U1509" s="865"/>
    </row>
    <row r="1510" spans="1:21" ht="15">
      <c r="A1510" s="672"/>
      <c r="B1510" s="861" t="s">
        <v>7808</v>
      </c>
      <c r="C1510" s="861" t="s">
        <v>7809</v>
      </c>
      <c r="D1510" s="861" t="s">
        <v>371</v>
      </c>
      <c r="E1510" s="861"/>
      <c r="F1510" s="862"/>
      <c r="G1510" s="869" t="e">
        <v>#DIV/0!</v>
      </c>
      <c r="H1510" s="874">
        <v>1454120.86</v>
      </c>
      <c r="I1510" s="871"/>
      <c r="J1510" s="861"/>
      <c r="K1510" s="868">
        <f t="shared" si="114"/>
        <v>316</v>
      </c>
      <c r="L1510" s="861" t="s">
        <v>460</v>
      </c>
      <c r="M1510" s="671">
        <f t="shared" si="115"/>
        <v>1508</v>
      </c>
      <c r="N1510" s="671" t="str">
        <f t="shared" si="116"/>
        <v>N/A</v>
      </c>
      <c r="O1510" s="671">
        <f t="shared" si="117"/>
        <v>708</v>
      </c>
      <c r="P1510" s="861" t="s">
        <v>7810</v>
      </c>
      <c r="Q1510" s="861" t="s">
        <v>7811</v>
      </c>
      <c r="R1510" s="861" t="s">
        <v>2069</v>
      </c>
      <c r="S1510" s="861" t="s">
        <v>7812</v>
      </c>
      <c r="T1510" s="866" t="s">
        <v>7813</v>
      </c>
      <c r="U1510" s="865"/>
    </row>
    <row r="1511" spans="1:21" ht="15">
      <c r="A1511" s="857"/>
      <c r="B1511" s="861" t="s">
        <v>7814</v>
      </c>
      <c r="C1511" s="861" t="s">
        <v>7815</v>
      </c>
      <c r="D1511" s="861" t="s">
        <v>371</v>
      </c>
      <c r="E1511" s="861"/>
      <c r="F1511" s="862"/>
      <c r="G1511" s="869" t="e">
        <v>#DIV/0!</v>
      </c>
      <c r="H1511" s="874">
        <v>1445475</v>
      </c>
      <c r="I1511" s="871"/>
      <c r="J1511" s="861"/>
      <c r="K1511" s="868">
        <f t="shared" si="114"/>
        <v>316</v>
      </c>
      <c r="L1511" s="861"/>
      <c r="M1511" s="671">
        <f t="shared" si="115"/>
        <v>1509</v>
      </c>
      <c r="N1511" s="671" t="str">
        <f t="shared" si="116"/>
        <v>N/A</v>
      </c>
      <c r="O1511" s="671">
        <f t="shared" si="117"/>
        <v>708</v>
      </c>
      <c r="P1511" s="861"/>
      <c r="Q1511" s="861"/>
      <c r="R1511" s="861"/>
      <c r="S1511" s="861" t="s">
        <v>784</v>
      </c>
      <c r="T1511" s="866" t="s">
        <v>7816</v>
      </c>
      <c r="U1511" s="865"/>
    </row>
    <row r="1512" spans="1:21" ht="15">
      <c r="A1512" s="672"/>
      <c r="B1512" s="861" t="s">
        <v>7817</v>
      </c>
      <c r="C1512" s="861" t="s">
        <v>7818</v>
      </c>
      <c r="D1512" s="861" t="s">
        <v>371</v>
      </c>
      <c r="E1512" s="861"/>
      <c r="F1512" s="862"/>
      <c r="G1512" s="869" t="e">
        <v>#DIV/0!</v>
      </c>
      <c r="H1512" s="874">
        <v>1419839.75</v>
      </c>
      <c r="I1512" s="871"/>
      <c r="J1512" s="861"/>
      <c r="K1512" s="868">
        <f t="shared" si="114"/>
        <v>316</v>
      </c>
      <c r="L1512" s="861" t="s">
        <v>424</v>
      </c>
      <c r="M1512" s="671">
        <f t="shared" si="115"/>
        <v>1510</v>
      </c>
      <c r="N1512" s="671" t="str">
        <f t="shared" si="116"/>
        <v>N/A</v>
      </c>
      <c r="O1512" s="671">
        <f t="shared" si="117"/>
        <v>708</v>
      </c>
      <c r="P1512" s="861" t="s">
        <v>7819</v>
      </c>
      <c r="Q1512" s="861"/>
      <c r="R1512" s="861"/>
      <c r="S1512" s="861" t="s">
        <v>4135</v>
      </c>
      <c r="T1512" s="866" t="s">
        <v>7820</v>
      </c>
      <c r="U1512" s="865"/>
    </row>
    <row r="1513" spans="1:21" ht="15">
      <c r="A1513" s="857"/>
      <c r="B1513" s="861" t="s">
        <v>7821</v>
      </c>
      <c r="C1513" s="861" t="s">
        <v>7822</v>
      </c>
      <c r="D1513" s="861" t="s">
        <v>371</v>
      </c>
      <c r="E1513" s="861"/>
      <c r="F1513" s="862"/>
      <c r="G1513" s="869">
        <v>0</v>
      </c>
      <c r="H1513" s="874">
        <v>1411794.47</v>
      </c>
      <c r="I1513" s="871"/>
      <c r="J1513" s="863" t="s">
        <v>7823</v>
      </c>
      <c r="K1513" s="868">
        <f t="shared" si="114"/>
        <v>316</v>
      </c>
      <c r="L1513" s="861"/>
      <c r="M1513" s="671">
        <f t="shared" si="115"/>
        <v>1511</v>
      </c>
      <c r="N1513" s="671" t="str">
        <f t="shared" si="116"/>
        <v>N/A</v>
      </c>
      <c r="O1513" s="671" t="str">
        <f t="shared" si="117"/>
        <v>N/A</v>
      </c>
      <c r="P1513" s="861" t="s">
        <v>2062</v>
      </c>
      <c r="Q1513" s="861"/>
      <c r="R1513" s="863" t="s">
        <v>448</v>
      </c>
      <c r="S1513" s="861" t="s">
        <v>1848</v>
      </c>
      <c r="T1513" s="866" t="s">
        <v>7824</v>
      </c>
      <c r="U1513" s="865"/>
    </row>
    <row r="1514" spans="1:21" ht="15">
      <c r="A1514" s="672"/>
      <c r="B1514" s="861" t="s">
        <v>7825</v>
      </c>
      <c r="C1514" s="861" t="s">
        <v>7826</v>
      </c>
      <c r="D1514" s="861" t="s">
        <v>371</v>
      </c>
      <c r="E1514" s="861"/>
      <c r="F1514" s="862"/>
      <c r="G1514" s="869">
        <v>0</v>
      </c>
      <c r="H1514" s="874">
        <v>1388474.17</v>
      </c>
      <c r="I1514" s="871"/>
      <c r="J1514" s="861"/>
      <c r="K1514" s="868">
        <f t="shared" si="114"/>
        <v>316</v>
      </c>
      <c r="L1514" s="861"/>
      <c r="M1514" s="671">
        <f t="shared" si="115"/>
        <v>1512</v>
      </c>
      <c r="N1514" s="671" t="str">
        <f t="shared" si="116"/>
        <v>N/A</v>
      </c>
      <c r="O1514" s="671">
        <f t="shared" si="117"/>
        <v>708</v>
      </c>
      <c r="P1514" s="861" t="s">
        <v>5551</v>
      </c>
      <c r="Q1514" s="861" t="s">
        <v>7827</v>
      </c>
      <c r="R1514" s="861"/>
      <c r="S1514" s="861" t="s">
        <v>2515</v>
      </c>
      <c r="T1514" s="866" t="s">
        <v>7828</v>
      </c>
      <c r="U1514" s="865"/>
    </row>
    <row r="1515" spans="1:21" ht="15">
      <c r="A1515" s="857"/>
      <c r="B1515" s="861" t="s">
        <v>7829</v>
      </c>
      <c r="C1515" s="861" t="s">
        <v>7830</v>
      </c>
      <c r="D1515" s="861" t="s">
        <v>371</v>
      </c>
      <c r="E1515" s="861"/>
      <c r="F1515" s="862"/>
      <c r="G1515" s="869" t="e">
        <v>#DIV/0!</v>
      </c>
      <c r="H1515" s="874">
        <v>1369902.46</v>
      </c>
      <c r="I1515" s="871"/>
      <c r="J1515" s="863"/>
      <c r="K1515" s="868">
        <f t="shared" si="114"/>
        <v>316</v>
      </c>
      <c r="L1515" s="861"/>
      <c r="M1515" s="671">
        <f t="shared" si="115"/>
        <v>1513</v>
      </c>
      <c r="N1515" s="671" t="str">
        <f t="shared" si="116"/>
        <v>N/A</v>
      </c>
      <c r="O1515" s="671">
        <f t="shared" si="117"/>
        <v>708</v>
      </c>
      <c r="P1515" s="861" t="s">
        <v>1421</v>
      </c>
      <c r="Q1515" s="861"/>
      <c r="R1515" s="863" t="s">
        <v>4505</v>
      </c>
      <c r="S1515" s="861" t="s">
        <v>1621</v>
      </c>
      <c r="T1515" s="866" t="s">
        <v>7831</v>
      </c>
      <c r="U1515" s="865"/>
    </row>
    <row r="1516" spans="1:21" ht="15">
      <c r="A1516" s="672"/>
      <c r="B1516" s="861" t="s">
        <v>7832</v>
      </c>
      <c r="C1516" s="861" t="s">
        <v>7833</v>
      </c>
      <c r="D1516" s="861" t="s">
        <v>371</v>
      </c>
      <c r="E1516" s="861"/>
      <c r="F1516" s="862"/>
      <c r="G1516" s="869" t="e">
        <v>#DIV/0!</v>
      </c>
      <c r="H1516" s="874">
        <v>1349590.99</v>
      </c>
      <c r="I1516" s="871"/>
      <c r="J1516" s="861"/>
      <c r="K1516" s="868">
        <f t="shared" si="114"/>
        <v>316</v>
      </c>
      <c r="L1516" s="861"/>
      <c r="M1516" s="671">
        <f t="shared" si="115"/>
        <v>1514</v>
      </c>
      <c r="N1516" s="671" t="str">
        <f t="shared" si="116"/>
        <v>N/A</v>
      </c>
      <c r="O1516" s="671">
        <f t="shared" si="117"/>
        <v>708</v>
      </c>
      <c r="P1516" s="861" t="s">
        <v>1217</v>
      </c>
      <c r="Q1516" s="861" t="s">
        <v>7686</v>
      </c>
      <c r="R1516" s="861" t="s">
        <v>404</v>
      </c>
      <c r="S1516" s="861" t="s">
        <v>3239</v>
      </c>
      <c r="T1516" s="866" t="s">
        <v>7834</v>
      </c>
      <c r="U1516" s="865"/>
    </row>
    <row r="1517" spans="1:21" ht="15">
      <c r="A1517" s="857"/>
      <c r="B1517" s="861" t="s">
        <v>7835</v>
      </c>
      <c r="C1517" s="861" t="s">
        <v>7836</v>
      </c>
      <c r="D1517" s="861" t="s">
        <v>371</v>
      </c>
      <c r="E1517" s="861"/>
      <c r="F1517" s="862"/>
      <c r="G1517" s="869" t="e">
        <v>#DIV/0!</v>
      </c>
      <c r="H1517" s="874">
        <v>1331296.1399999999</v>
      </c>
      <c r="I1517" s="871"/>
      <c r="J1517" s="863" t="s">
        <v>7837</v>
      </c>
      <c r="K1517" s="868">
        <f t="shared" si="114"/>
        <v>316</v>
      </c>
      <c r="L1517" s="863" t="s">
        <v>2330</v>
      </c>
      <c r="M1517" s="671">
        <f t="shared" si="115"/>
        <v>1515</v>
      </c>
      <c r="N1517" s="671" t="str">
        <f t="shared" si="116"/>
        <v>N/A</v>
      </c>
      <c r="O1517" s="671" t="str">
        <f t="shared" si="117"/>
        <v>N/A</v>
      </c>
      <c r="P1517" s="861" t="s">
        <v>2920</v>
      </c>
      <c r="Q1517" s="861"/>
      <c r="R1517" s="861"/>
      <c r="S1517" s="861" t="s">
        <v>882</v>
      </c>
      <c r="T1517" s="866" t="s">
        <v>7838</v>
      </c>
      <c r="U1517" s="865"/>
    </row>
    <row r="1518" spans="1:21" ht="15">
      <c r="A1518" s="672"/>
      <c r="B1518" s="861" t="s">
        <v>7839</v>
      </c>
      <c r="C1518" s="861" t="s">
        <v>7840</v>
      </c>
      <c r="D1518" s="861" t="s">
        <v>371</v>
      </c>
      <c r="E1518" s="861"/>
      <c r="F1518" s="862"/>
      <c r="G1518" s="869">
        <v>0</v>
      </c>
      <c r="H1518" s="874">
        <v>1326459.01</v>
      </c>
      <c r="I1518" s="871"/>
      <c r="J1518" s="863"/>
      <c r="K1518" s="868">
        <f t="shared" si="114"/>
        <v>316</v>
      </c>
      <c r="L1518" s="863" t="s">
        <v>1030</v>
      </c>
      <c r="M1518" s="671">
        <f t="shared" si="115"/>
        <v>1516</v>
      </c>
      <c r="N1518" s="671" t="str">
        <f t="shared" si="116"/>
        <v>N/A</v>
      </c>
      <c r="O1518" s="671">
        <f t="shared" si="117"/>
        <v>708</v>
      </c>
      <c r="P1518" s="861" t="s">
        <v>5372</v>
      </c>
      <c r="Q1518" s="861"/>
      <c r="R1518" s="863" t="s">
        <v>4078</v>
      </c>
      <c r="S1518" s="861" t="s">
        <v>4866</v>
      </c>
      <c r="T1518" s="866" t="s">
        <v>7841</v>
      </c>
      <c r="U1518" s="865"/>
    </row>
    <row r="1519" spans="1:21" ht="15">
      <c r="A1519" s="857"/>
      <c r="B1519" s="861" t="s">
        <v>7842</v>
      </c>
      <c r="C1519" s="861" t="s">
        <v>7843</v>
      </c>
      <c r="D1519" s="861" t="s">
        <v>371</v>
      </c>
      <c r="E1519" s="861"/>
      <c r="F1519" s="862"/>
      <c r="G1519" s="869" t="e">
        <v>#DIV/0!</v>
      </c>
      <c r="H1519" s="874">
        <v>1293432.8700000001</v>
      </c>
      <c r="I1519" s="871"/>
      <c r="J1519" s="861"/>
      <c r="K1519" s="868">
        <f t="shared" si="114"/>
        <v>316</v>
      </c>
      <c r="L1519" s="861"/>
      <c r="M1519" s="671">
        <f t="shared" si="115"/>
        <v>1517</v>
      </c>
      <c r="N1519" s="671" t="str">
        <f t="shared" si="116"/>
        <v>N/A</v>
      </c>
      <c r="O1519" s="671">
        <f t="shared" si="117"/>
        <v>708</v>
      </c>
      <c r="P1519" s="861" t="s">
        <v>716</v>
      </c>
      <c r="Q1519" s="861"/>
      <c r="R1519" s="861"/>
      <c r="S1519" s="861" t="s">
        <v>1647</v>
      </c>
      <c r="T1519" s="866" t="s">
        <v>7844</v>
      </c>
      <c r="U1519" s="865"/>
    </row>
    <row r="1520" spans="1:21" ht="15">
      <c r="A1520" s="672"/>
      <c r="B1520" s="861" t="s">
        <v>7845</v>
      </c>
      <c r="C1520" s="861" t="s">
        <v>7846</v>
      </c>
      <c r="D1520" s="861" t="s">
        <v>371</v>
      </c>
      <c r="E1520" s="861"/>
      <c r="F1520" s="862"/>
      <c r="G1520" s="869" t="e">
        <v>#DIV/0!</v>
      </c>
      <c r="H1520" s="874">
        <v>1275175.8500000001</v>
      </c>
      <c r="I1520" s="871"/>
      <c r="J1520" s="863" t="s">
        <v>7847</v>
      </c>
      <c r="K1520" s="868">
        <f t="shared" si="114"/>
        <v>316</v>
      </c>
      <c r="L1520" s="861"/>
      <c r="M1520" s="671">
        <f t="shared" si="115"/>
        <v>1518</v>
      </c>
      <c r="N1520" s="671" t="str">
        <f t="shared" si="116"/>
        <v>N/A</v>
      </c>
      <c r="O1520" s="671" t="str">
        <f t="shared" si="117"/>
        <v>N/A</v>
      </c>
      <c r="P1520" s="861" t="s">
        <v>2920</v>
      </c>
      <c r="Q1520" s="861" t="s">
        <v>7848</v>
      </c>
      <c r="R1520" s="861"/>
      <c r="S1520" s="861" t="s">
        <v>6542</v>
      </c>
      <c r="T1520" s="866" t="s">
        <v>7849</v>
      </c>
      <c r="U1520" s="865"/>
    </row>
    <row r="1521" spans="1:21" ht="15">
      <c r="A1521" s="857"/>
      <c r="B1521" s="861" t="s">
        <v>7850</v>
      </c>
      <c r="C1521" s="861" t="s">
        <v>7851</v>
      </c>
      <c r="D1521" s="861" t="s">
        <v>371</v>
      </c>
      <c r="E1521" s="861"/>
      <c r="F1521" s="862"/>
      <c r="G1521" s="870" t="s">
        <v>7852</v>
      </c>
      <c r="H1521" s="874">
        <v>1226676.6200000001</v>
      </c>
      <c r="I1521" s="871"/>
      <c r="J1521" s="863"/>
      <c r="K1521" s="868">
        <f t="shared" si="114"/>
        <v>316</v>
      </c>
      <c r="L1521" s="863" t="s">
        <v>5381</v>
      </c>
      <c r="M1521" s="671">
        <f t="shared" si="115"/>
        <v>1519</v>
      </c>
      <c r="N1521" s="671" t="str">
        <f t="shared" si="116"/>
        <v>N/A</v>
      </c>
      <c r="O1521" s="671">
        <f t="shared" si="117"/>
        <v>708</v>
      </c>
      <c r="P1521" s="861" t="s">
        <v>1098</v>
      </c>
      <c r="Q1521" s="861"/>
      <c r="R1521" s="863" t="s">
        <v>7853</v>
      </c>
      <c r="S1521" s="861" t="s">
        <v>2349</v>
      </c>
      <c r="T1521" s="866" t="s">
        <v>7854</v>
      </c>
      <c r="U1521" s="865"/>
    </row>
    <row r="1522" spans="1:21" ht="15">
      <c r="A1522" s="672"/>
      <c r="B1522" s="861" t="s">
        <v>7855</v>
      </c>
      <c r="C1522" s="861" t="s">
        <v>7856</v>
      </c>
      <c r="D1522" s="861" t="s">
        <v>371</v>
      </c>
      <c r="E1522" s="861"/>
      <c r="F1522" s="862"/>
      <c r="G1522" s="869" t="e">
        <v>#DIV/0!</v>
      </c>
      <c r="H1522" s="874">
        <v>1219239.1299999999</v>
      </c>
      <c r="I1522" s="871"/>
      <c r="J1522" s="861"/>
      <c r="K1522" s="868">
        <f t="shared" si="114"/>
        <v>316</v>
      </c>
      <c r="L1522" s="861"/>
      <c r="M1522" s="671">
        <f t="shared" si="115"/>
        <v>1520</v>
      </c>
      <c r="N1522" s="671" t="str">
        <f t="shared" si="116"/>
        <v>N/A</v>
      </c>
      <c r="O1522" s="671">
        <f t="shared" si="117"/>
        <v>708</v>
      </c>
      <c r="P1522" s="861" t="s">
        <v>1574</v>
      </c>
      <c r="Q1522" s="861" t="s">
        <v>4714</v>
      </c>
      <c r="R1522" s="861"/>
      <c r="S1522" s="861" t="s">
        <v>404</v>
      </c>
      <c r="T1522" s="866" t="s">
        <v>7857</v>
      </c>
      <c r="U1522" s="865"/>
    </row>
    <row r="1523" spans="1:21" ht="15">
      <c r="A1523" s="857"/>
      <c r="B1523" s="861" t="s">
        <v>7858</v>
      </c>
      <c r="C1523" s="861" t="s">
        <v>7859</v>
      </c>
      <c r="D1523" s="861" t="s">
        <v>371</v>
      </c>
      <c r="E1523" s="861"/>
      <c r="F1523" s="862"/>
      <c r="G1523" s="869" t="e">
        <v>#DIV/0!</v>
      </c>
      <c r="H1523" s="874">
        <v>1217468.47</v>
      </c>
      <c r="I1523" s="871"/>
      <c r="J1523" s="861"/>
      <c r="K1523" s="868">
        <f t="shared" si="114"/>
        <v>316</v>
      </c>
      <c r="L1523" s="861" t="s">
        <v>833</v>
      </c>
      <c r="M1523" s="671">
        <f t="shared" si="115"/>
        <v>1521</v>
      </c>
      <c r="N1523" s="671" t="str">
        <f t="shared" si="116"/>
        <v>N/A</v>
      </c>
      <c r="O1523" s="671">
        <f t="shared" si="117"/>
        <v>708</v>
      </c>
      <c r="P1523" s="861" t="s">
        <v>2436</v>
      </c>
      <c r="Q1523" s="861" t="s">
        <v>3878</v>
      </c>
      <c r="R1523" s="861" t="s">
        <v>2062</v>
      </c>
      <c r="S1523" s="861" t="s">
        <v>762</v>
      </c>
      <c r="T1523" s="866" t="s">
        <v>7860</v>
      </c>
      <c r="U1523" s="865"/>
    </row>
    <row r="1524" spans="1:21" ht="15">
      <c r="A1524" s="672"/>
      <c r="B1524" s="861" t="s">
        <v>7861</v>
      </c>
      <c r="C1524" s="861" t="s">
        <v>7862</v>
      </c>
      <c r="D1524" s="861" t="s">
        <v>371</v>
      </c>
      <c r="E1524" s="861"/>
      <c r="F1524" s="862"/>
      <c r="G1524" s="869">
        <v>0</v>
      </c>
      <c r="H1524" s="874">
        <v>1167959.3700000001</v>
      </c>
      <c r="I1524" s="871"/>
      <c r="J1524" s="863" t="s">
        <v>4464</v>
      </c>
      <c r="K1524" s="868">
        <f t="shared" si="114"/>
        <v>316</v>
      </c>
      <c r="L1524" s="861"/>
      <c r="M1524" s="671">
        <f t="shared" si="115"/>
        <v>1522</v>
      </c>
      <c r="N1524" s="671" t="str">
        <f t="shared" si="116"/>
        <v>N/A</v>
      </c>
      <c r="O1524" s="671" t="str">
        <f t="shared" si="117"/>
        <v>N/A</v>
      </c>
      <c r="P1524" s="861"/>
      <c r="Q1524" s="861"/>
      <c r="R1524" s="861"/>
      <c r="S1524" s="861" t="s">
        <v>3033</v>
      </c>
      <c r="T1524" s="866" t="s">
        <v>7863</v>
      </c>
      <c r="U1524" s="865"/>
    </row>
    <row r="1525" spans="1:21" ht="15">
      <c r="A1525" s="857"/>
      <c r="B1525" s="861" t="s">
        <v>7864</v>
      </c>
      <c r="C1525" s="861" t="s">
        <v>7865</v>
      </c>
      <c r="D1525" s="861" t="s">
        <v>371</v>
      </c>
      <c r="E1525" s="861"/>
      <c r="F1525" s="862"/>
      <c r="G1525" s="869">
        <v>0.35062805699999999</v>
      </c>
      <c r="H1525" s="874">
        <v>1110285.6599999999</v>
      </c>
      <c r="I1525" s="871"/>
      <c r="J1525" s="863"/>
      <c r="K1525" s="868">
        <f t="shared" si="114"/>
        <v>316</v>
      </c>
      <c r="L1525" s="861"/>
      <c r="M1525" s="671">
        <f t="shared" si="115"/>
        <v>1523</v>
      </c>
      <c r="N1525" s="671" t="str">
        <f t="shared" si="116"/>
        <v>N/A</v>
      </c>
      <c r="O1525" s="671">
        <f t="shared" si="117"/>
        <v>708</v>
      </c>
      <c r="P1525" s="861" t="s">
        <v>819</v>
      </c>
      <c r="Q1525" s="861"/>
      <c r="R1525" s="861"/>
      <c r="S1525" s="861" t="s">
        <v>507</v>
      </c>
      <c r="T1525" s="866" t="s">
        <v>7866</v>
      </c>
      <c r="U1525" s="865"/>
    </row>
    <row r="1526" spans="1:21" ht="15">
      <c r="A1526" s="672"/>
      <c r="B1526" s="861" t="s">
        <v>7867</v>
      </c>
      <c r="C1526" s="861" t="s">
        <v>7868</v>
      </c>
      <c r="D1526" s="861" t="s">
        <v>371</v>
      </c>
      <c r="E1526" s="861"/>
      <c r="F1526" s="862"/>
      <c r="G1526" s="869" t="e">
        <v>#DIV/0!</v>
      </c>
      <c r="H1526" s="874">
        <v>1099142.1000000001</v>
      </c>
      <c r="I1526" s="871"/>
      <c r="J1526" s="863"/>
      <c r="K1526" s="868">
        <f t="shared" si="114"/>
        <v>316</v>
      </c>
      <c r="L1526" s="861" t="s">
        <v>734</v>
      </c>
      <c r="M1526" s="671">
        <f t="shared" si="115"/>
        <v>1524</v>
      </c>
      <c r="N1526" s="671" t="str">
        <f t="shared" si="116"/>
        <v>N/A</v>
      </c>
      <c r="O1526" s="671">
        <f t="shared" si="117"/>
        <v>708</v>
      </c>
      <c r="P1526" s="861" t="s">
        <v>1989</v>
      </c>
      <c r="Q1526" s="861"/>
      <c r="R1526" s="863" t="s">
        <v>915</v>
      </c>
      <c r="S1526" s="861" t="s">
        <v>7869</v>
      </c>
      <c r="T1526" s="866" t="s">
        <v>7870</v>
      </c>
      <c r="U1526" s="865"/>
    </row>
    <row r="1527" spans="1:21" ht="15">
      <c r="A1527" s="857"/>
      <c r="B1527" s="861" t="s">
        <v>7871</v>
      </c>
      <c r="C1527" s="861" t="s">
        <v>7872</v>
      </c>
      <c r="D1527" s="861" t="s">
        <v>371</v>
      </c>
      <c r="E1527" s="861"/>
      <c r="F1527" s="862"/>
      <c r="G1527" s="869" t="e">
        <v>#DIV/0!</v>
      </c>
      <c r="H1527" s="874">
        <v>1083005.78</v>
      </c>
      <c r="I1527" s="871"/>
      <c r="J1527" s="863" t="s">
        <v>7873</v>
      </c>
      <c r="K1527" s="868">
        <f t="shared" si="114"/>
        <v>316</v>
      </c>
      <c r="L1527" s="861"/>
      <c r="M1527" s="671">
        <f t="shared" si="115"/>
        <v>1525</v>
      </c>
      <c r="N1527" s="671" t="str">
        <f t="shared" si="116"/>
        <v>N/A</v>
      </c>
      <c r="O1527" s="671" t="str">
        <f t="shared" si="117"/>
        <v>N/A</v>
      </c>
      <c r="P1527" s="861" t="s">
        <v>7874</v>
      </c>
      <c r="Q1527" s="861" t="s">
        <v>7875</v>
      </c>
      <c r="R1527" s="861"/>
      <c r="S1527" s="861" t="s">
        <v>2784</v>
      </c>
      <c r="T1527" s="866" t="s">
        <v>7876</v>
      </c>
      <c r="U1527" s="865"/>
    </row>
    <row r="1528" spans="1:21" ht="15">
      <c r="A1528" s="672"/>
      <c r="B1528" s="861" t="s">
        <v>7877</v>
      </c>
      <c r="C1528" s="861" t="s">
        <v>7878</v>
      </c>
      <c r="D1528" s="861" t="s">
        <v>371</v>
      </c>
      <c r="E1528" s="861"/>
      <c r="F1528" s="862"/>
      <c r="G1528" s="870" t="s">
        <v>7879</v>
      </c>
      <c r="H1528" s="874">
        <v>1070853.01</v>
      </c>
      <c r="I1528" s="871"/>
      <c r="J1528" s="863" t="s">
        <v>7880</v>
      </c>
      <c r="K1528" s="868">
        <f t="shared" si="114"/>
        <v>316</v>
      </c>
      <c r="L1528" s="861"/>
      <c r="M1528" s="671">
        <f t="shared" si="115"/>
        <v>1526</v>
      </c>
      <c r="N1528" s="671" t="str">
        <f t="shared" si="116"/>
        <v>N/A</v>
      </c>
      <c r="O1528" s="671" t="str">
        <f t="shared" si="117"/>
        <v>N/A</v>
      </c>
      <c r="P1528" s="861" t="s">
        <v>7881</v>
      </c>
      <c r="Q1528" s="861"/>
      <c r="R1528" s="861"/>
      <c r="S1528" s="861" t="s">
        <v>734</v>
      </c>
      <c r="T1528" s="866" t="s">
        <v>7882</v>
      </c>
      <c r="U1528" s="865"/>
    </row>
    <row r="1529" spans="1:21" ht="15">
      <c r="A1529" s="857"/>
      <c r="B1529" s="861" t="s">
        <v>7883</v>
      </c>
      <c r="C1529" s="861" t="s">
        <v>7884</v>
      </c>
      <c r="D1529" s="861" t="s">
        <v>371</v>
      </c>
      <c r="E1529" s="861"/>
      <c r="F1529" s="862"/>
      <c r="G1529" s="870" t="s">
        <v>7885</v>
      </c>
      <c r="H1529" s="874">
        <v>1070725.1100000001</v>
      </c>
      <c r="I1529" s="871"/>
      <c r="J1529" s="863" t="s">
        <v>2233</v>
      </c>
      <c r="K1529" s="868">
        <f t="shared" si="114"/>
        <v>316</v>
      </c>
      <c r="L1529" s="863" t="s">
        <v>3508</v>
      </c>
      <c r="M1529" s="671">
        <f t="shared" si="115"/>
        <v>1527</v>
      </c>
      <c r="N1529" s="671" t="str">
        <f t="shared" si="116"/>
        <v>N/A</v>
      </c>
      <c r="O1529" s="671" t="str">
        <f t="shared" si="117"/>
        <v>N/A</v>
      </c>
      <c r="P1529" s="861" t="s">
        <v>1002</v>
      </c>
      <c r="Q1529" s="861"/>
      <c r="R1529" s="863" t="s">
        <v>7886</v>
      </c>
      <c r="S1529" s="861" t="s">
        <v>3014</v>
      </c>
      <c r="T1529" s="866" t="s">
        <v>7887</v>
      </c>
      <c r="U1529" s="865"/>
    </row>
    <row r="1530" spans="1:21" ht="15">
      <c r="A1530" s="672"/>
      <c r="B1530" s="861" t="s">
        <v>7888</v>
      </c>
      <c r="C1530" s="861" t="s">
        <v>7889</v>
      </c>
      <c r="D1530" s="861" t="s">
        <v>371</v>
      </c>
      <c r="E1530" s="861"/>
      <c r="F1530" s="862"/>
      <c r="G1530" s="870" t="s">
        <v>7890</v>
      </c>
      <c r="H1530" s="874">
        <v>1047991.89</v>
      </c>
      <c r="I1530" s="871"/>
      <c r="J1530" s="863"/>
      <c r="K1530" s="868">
        <f t="shared" si="114"/>
        <v>316</v>
      </c>
      <c r="L1530" s="861" t="s">
        <v>3047</v>
      </c>
      <c r="M1530" s="671">
        <f t="shared" si="115"/>
        <v>1528</v>
      </c>
      <c r="N1530" s="671" t="str">
        <f t="shared" si="116"/>
        <v>N/A</v>
      </c>
      <c r="O1530" s="671">
        <f t="shared" si="117"/>
        <v>708</v>
      </c>
      <c r="P1530" s="861" t="s">
        <v>4310</v>
      </c>
      <c r="Q1530" s="861" t="s">
        <v>7891</v>
      </c>
      <c r="R1530" s="861" t="s">
        <v>2190</v>
      </c>
      <c r="S1530" s="861" t="s">
        <v>440</v>
      </c>
      <c r="T1530" s="866" t="s">
        <v>7892</v>
      </c>
      <c r="U1530" s="865"/>
    </row>
    <row r="1531" spans="1:21" ht="15">
      <c r="A1531" s="857"/>
      <c r="B1531" s="861" t="s">
        <v>7893</v>
      </c>
      <c r="C1531" s="861" t="s">
        <v>7894</v>
      </c>
      <c r="D1531" s="861" t="s">
        <v>371</v>
      </c>
      <c r="E1531" s="861"/>
      <c r="F1531" s="862"/>
      <c r="G1531" s="869" t="e">
        <v>#DIV/0!</v>
      </c>
      <c r="H1531" s="874">
        <v>1047050.09</v>
      </c>
      <c r="I1531" s="871"/>
      <c r="J1531" s="861"/>
      <c r="K1531" s="868">
        <f t="shared" si="114"/>
        <v>316</v>
      </c>
      <c r="L1531" s="861"/>
      <c r="M1531" s="671">
        <f t="shared" si="115"/>
        <v>1529</v>
      </c>
      <c r="N1531" s="671" t="str">
        <f t="shared" si="116"/>
        <v>N/A</v>
      </c>
      <c r="O1531" s="671">
        <f t="shared" si="117"/>
        <v>708</v>
      </c>
      <c r="P1531" s="861"/>
      <c r="Q1531" s="861"/>
      <c r="R1531" s="861"/>
      <c r="S1531" s="861" t="s">
        <v>781</v>
      </c>
      <c r="T1531" s="866" t="s">
        <v>7895</v>
      </c>
      <c r="U1531" s="865"/>
    </row>
    <row r="1532" spans="1:21" ht="15">
      <c r="A1532" s="672"/>
      <c r="B1532" s="861" t="s">
        <v>7896</v>
      </c>
      <c r="C1532" s="861" t="s">
        <v>7897</v>
      </c>
      <c r="D1532" s="861" t="s">
        <v>371</v>
      </c>
      <c r="E1532" s="861"/>
      <c r="F1532" s="862"/>
      <c r="G1532" s="869">
        <v>0</v>
      </c>
      <c r="H1532" s="874">
        <v>1039954.71</v>
      </c>
      <c r="I1532" s="871"/>
      <c r="J1532" s="863"/>
      <c r="K1532" s="868">
        <f t="shared" si="114"/>
        <v>316</v>
      </c>
      <c r="L1532" s="861"/>
      <c r="M1532" s="671">
        <f t="shared" si="115"/>
        <v>1530</v>
      </c>
      <c r="N1532" s="671" t="str">
        <f t="shared" si="116"/>
        <v>N/A</v>
      </c>
      <c r="O1532" s="671">
        <f t="shared" si="117"/>
        <v>708</v>
      </c>
      <c r="P1532" s="861" t="s">
        <v>392</v>
      </c>
      <c r="Q1532" s="861"/>
      <c r="R1532" s="861"/>
      <c r="S1532" s="861" t="s">
        <v>1709</v>
      </c>
      <c r="T1532" s="866" t="s">
        <v>7898</v>
      </c>
      <c r="U1532" s="865"/>
    </row>
    <row r="1533" spans="1:21" ht="15">
      <c r="A1533" s="857"/>
      <c r="B1533" s="861" t="s">
        <v>7899</v>
      </c>
      <c r="C1533" s="861" t="s">
        <v>7900</v>
      </c>
      <c r="D1533" s="861" t="s">
        <v>371</v>
      </c>
      <c r="E1533" s="861"/>
      <c r="F1533" s="862"/>
      <c r="G1533" s="869" t="e">
        <v>#DIV/0!</v>
      </c>
      <c r="H1533" s="874">
        <v>1038583.07</v>
      </c>
      <c r="I1533" s="871"/>
      <c r="J1533" s="861"/>
      <c r="K1533" s="868">
        <f t="shared" si="114"/>
        <v>316</v>
      </c>
      <c r="L1533" s="861"/>
      <c r="M1533" s="671">
        <f t="shared" si="115"/>
        <v>1531</v>
      </c>
      <c r="N1533" s="671" t="str">
        <f t="shared" si="116"/>
        <v>N/A</v>
      </c>
      <c r="O1533" s="671">
        <f t="shared" si="117"/>
        <v>708</v>
      </c>
      <c r="P1533" s="861" t="s">
        <v>7901</v>
      </c>
      <c r="Q1533" s="861" t="s">
        <v>7902</v>
      </c>
      <c r="R1533" s="861"/>
      <c r="S1533" s="861" t="s">
        <v>7903</v>
      </c>
      <c r="T1533" s="866" t="s">
        <v>7904</v>
      </c>
      <c r="U1533" s="865"/>
    </row>
    <row r="1534" spans="1:21" ht="15">
      <c r="A1534" s="672"/>
      <c r="B1534" s="861" t="s">
        <v>7905</v>
      </c>
      <c r="C1534" s="861" t="s">
        <v>7906</v>
      </c>
      <c r="D1534" s="861" t="s">
        <v>371</v>
      </c>
      <c r="E1534" s="861"/>
      <c r="F1534" s="862"/>
      <c r="G1534" s="869">
        <v>0</v>
      </c>
      <c r="H1534" s="874">
        <v>1021798.62</v>
      </c>
      <c r="I1534" s="871"/>
      <c r="J1534" s="862">
        <v>1E-3</v>
      </c>
      <c r="K1534" s="868">
        <f t="shared" si="114"/>
        <v>316</v>
      </c>
      <c r="L1534" s="861"/>
      <c r="M1534" s="671">
        <f t="shared" si="115"/>
        <v>1532</v>
      </c>
      <c r="N1534" s="671" t="str">
        <f t="shared" si="116"/>
        <v>N/A</v>
      </c>
      <c r="O1534" s="671">
        <f t="shared" si="117"/>
        <v>703</v>
      </c>
      <c r="P1534" s="861" t="s">
        <v>7907</v>
      </c>
      <c r="Q1534" s="861"/>
      <c r="R1534" s="861"/>
      <c r="S1534" s="861" t="s">
        <v>1081</v>
      </c>
      <c r="T1534" s="866" t="s">
        <v>7908</v>
      </c>
      <c r="U1534" s="865"/>
    </row>
    <row r="1535" spans="1:21" ht="15">
      <c r="A1535" s="857"/>
      <c r="B1535" s="861" t="s">
        <v>7909</v>
      </c>
      <c r="C1535" s="861" t="s">
        <v>7910</v>
      </c>
      <c r="D1535" s="861" t="s">
        <v>371</v>
      </c>
      <c r="E1535" s="861"/>
      <c r="F1535" s="862"/>
      <c r="G1535" s="870" t="s">
        <v>7911</v>
      </c>
      <c r="H1535" s="874">
        <v>985368.77</v>
      </c>
      <c r="I1535" s="871"/>
      <c r="J1535" s="861"/>
      <c r="K1535" s="868">
        <f t="shared" si="114"/>
        <v>316</v>
      </c>
      <c r="L1535" s="861"/>
      <c r="M1535" s="671">
        <f t="shared" si="115"/>
        <v>1533</v>
      </c>
      <c r="N1535" s="671" t="str">
        <f t="shared" si="116"/>
        <v>N/A</v>
      </c>
      <c r="O1535" s="671">
        <f t="shared" si="117"/>
        <v>708</v>
      </c>
      <c r="P1535" s="861"/>
      <c r="Q1535" s="861"/>
      <c r="R1535" s="861"/>
      <c r="S1535" s="861" t="s">
        <v>5700</v>
      </c>
      <c r="T1535" s="866" t="s">
        <v>7912</v>
      </c>
      <c r="U1535" s="865"/>
    </row>
    <row r="1536" spans="1:21" ht="15">
      <c r="A1536" s="672"/>
      <c r="B1536" s="861" t="s">
        <v>7913</v>
      </c>
      <c r="C1536" s="861" t="s">
        <v>7914</v>
      </c>
      <c r="D1536" s="861" t="s">
        <v>371</v>
      </c>
      <c r="E1536" s="861"/>
      <c r="F1536" s="862"/>
      <c r="G1536" s="869" t="e">
        <v>#DIV/0!</v>
      </c>
      <c r="H1536" s="874">
        <v>976229.26</v>
      </c>
      <c r="I1536" s="871"/>
      <c r="J1536" s="863"/>
      <c r="K1536" s="868">
        <f t="shared" si="114"/>
        <v>316</v>
      </c>
      <c r="L1536" s="861"/>
      <c r="M1536" s="671">
        <f t="shared" si="115"/>
        <v>1534</v>
      </c>
      <c r="N1536" s="671" t="str">
        <f t="shared" si="116"/>
        <v>N/A</v>
      </c>
      <c r="O1536" s="671">
        <f t="shared" si="117"/>
        <v>708</v>
      </c>
      <c r="P1536" s="861"/>
      <c r="Q1536" s="861"/>
      <c r="R1536" s="861"/>
      <c r="S1536" s="861" t="s">
        <v>1475</v>
      </c>
      <c r="T1536" s="866" t="s">
        <v>7915</v>
      </c>
      <c r="U1536" s="865"/>
    </row>
    <row r="1537" spans="1:21" ht="15">
      <c r="A1537" s="857"/>
      <c r="B1537" s="861" t="s">
        <v>7916</v>
      </c>
      <c r="C1537" s="861" t="s">
        <v>7917</v>
      </c>
      <c r="D1537" s="861" t="s">
        <v>371</v>
      </c>
      <c r="E1537" s="861"/>
      <c r="F1537" s="862"/>
      <c r="G1537" s="869" t="e">
        <v>#DIV/0!</v>
      </c>
      <c r="H1537" s="874">
        <v>961366.58</v>
      </c>
      <c r="I1537" s="871"/>
      <c r="J1537" s="863"/>
      <c r="K1537" s="868">
        <f t="shared" si="114"/>
        <v>316</v>
      </c>
      <c r="L1537" s="861"/>
      <c r="M1537" s="671">
        <f t="shared" si="115"/>
        <v>1535</v>
      </c>
      <c r="N1537" s="671" t="str">
        <f t="shared" si="116"/>
        <v>N/A</v>
      </c>
      <c r="O1537" s="671">
        <f t="shared" si="117"/>
        <v>708</v>
      </c>
      <c r="P1537" s="861" t="s">
        <v>680</v>
      </c>
      <c r="Q1537" s="861"/>
      <c r="R1537" s="861"/>
      <c r="S1537" s="861" t="s">
        <v>1425</v>
      </c>
      <c r="T1537" s="866" t="s">
        <v>7918</v>
      </c>
      <c r="U1537" s="865"/>
    </row>
    <row r="1538" spans="1:21" ht="15">
      <c r="A1538" s="672"/>
      <c r="B1538" s="861" t="s">
        <v>7919</v>
      </c>
      <c r="C1538" s="861" t="s">
        <v>7920</v>
      </c>
      <c r="D1538" s="861" t="s">
        <v>371</v>
      </c>
      <c r="E1538" s="861"/>
      <c r="F1538" s="862"/>
      <c r="G1538" s="869" t="e">
        <v>#DIV/0!</v>
      </c>
      <c r="H1538" s="874">
        <v>952578.55</v>
      </c>
      <c r="I1538" s="871"/>
      <c r="J1538" s="861"/>
      <c r="K1538" s="868">
        <f t="shared" si="114"/>
        <v>316</v>
      </c>
      <c r="L1538" s="861" t="s">
        <v>526</v>
      </c>
      <c r="M1538" s="671">
        <f t="shared" si="115"/>
        <v>1536</v>
      </c>
      <c r="N1538" s="671" t="str">
        <f t="shared" si="116"/>
        <v>N/A</v>
      </c>
      <c r="O1538" s="671">
        <f t="shared" si="117"/>
        <v>708</v>
      </c>
      <c r="P1538" s="861" t="s">
        <v>3630</v>
      </c>
      <c r="Q1538" s="861" t="s">
        <v>4792</v>
      </c>
      <c r="R1538" s="861" t="s">
        <v>467</v>
      </c>
      <c r="S1538" s="861" t="s">
        <v>5881</v>
      </c>
      <c r="T1538" s="866" t="s">
        <v>7921</v>
      </c>
      <c r="U1538" s="865"/>
    </row>
    <row r="1539" spans="1:21" ht="15">
      <c r="A1539" s="857"/>
      <c r="B1539" s="861" t="s">
        <v>7922</v>
      </c>
      <c r="C1539" s="861" t="s">
        <v>7923</v>
      </c>
      <c r="D1539" s="861" t="s">
        <v>371</v>
      </c>
      <c r="E1539" s="861"/>
      <c r="F1539" s="862"/>
      <c r="G1539" s="869" t="e">
        <v>#DIV/0!</v>
      </c>
      <c r="H1539" s="874">
        <v>921247.17</v>
      </c>
      <c r="I1539" s="871"/>
      <c r="J1539" s="861"/>
      <c r="K1539" s="868">
        <f t="shared" si="114"/>
        <v>316</v>
      </c>
      <c r="L1539" s="861"/>
      <c r="M1539" s="671">
        <f t="shared" si="115"/>
        <v>1537</v>
      </c>
      <c r="N1539" s="671" t="str">
        <f t="shared" si="116"/>
        <v>N/A</v>
      </c>
      <c r="O1539" s="671">
        <f t="shared" si="117"/>
        <v>708</v>
      </c>
      <c r="P1539" s="861" t="s">
        <v>3345</v>
      </c>
      <c r="Q1539" s="861" t="s">
        <v>7924</v>
      </c>
      <c r="R1539" s="861"/>
      <c r="S1539" s="861" t="s">
        <v>3222</v>
      </c>
      <c r="T1539" s="866" t="s">
        <v>7925</v>
      </c>
      <c r="U1539" s="865"/>
    </row>
    <row r="1540" spans="1:21" ht="15">
      <c r="A1540" s="672"/>
      <c r="B1540" s="861" t="s">
        <v>7926</v>
      </c>
      <c r="C1540" s="861" t="s">
        <v>7927</v>
      </c>
      <c r="D1540" s="861" t="s">
        <v>371</v>
      </c>
      <c r="E1540" s="861"/>
      <c r="F1540" s="862"/>
      <c r="G1540" s="870" t="s">
        <v>7928</v>
      </c>
      <c r="H1540" s="874">
        <v>919677.52</v>
      </c>
      <c r="I1540" s="871"/>
      <c r="J1540" s="861"/>
      <c r="K1540" s="868">
        <f t="shared" ref="K1540:K1603" si="118">IFERROR(_xlfn.RANK.EQ(F1540,F$3:F$1770),"N/A")</f>
        <v>316</v>
      </c>
      <c r="L1540" s="861" t="s">
        <v>1252</v>
      </c>
      <c r="M1540" s="671">
        <f t="shared" ref="M1540:M1603" si="119">IFERROR(_xlfn.RANK.EQ(H1540,H$3:H$1770),"N/A")</f>
        <v>1538</v>
      </c>
      <c r="N1540" s="671" t="str">
        <f t="shared" ref="N1540:N1603" si="120">IFERROR(_xlfn.RANK.EQ(I1540,I$3:I$1770),"N/A")</f>
        <v>N/A</v>
      </c>
      <c r="O1540" s="671">
        <f t="shared" ref="O1540:O1603" si="121">IFERROR(_xlfn.RANK.EQ(J1540,J$3:J$1770),"N/A")</f>
        <v>708</v>
      </c>
      <c r="P1540" s="861" t="s">
        <v>7929</v>
      </c>
      <c r="Q1540" s="861" t="s">
        <v>7930</v>
      </c>
      <c r="R1540" s="861" t="s">
        <v>460</v>
      </c>
      <c r="S1540" s="861" t="s">
        <v>7931</v>
      </c>
      <c r="T1540" s="866" t="s">
        <v>7932</v>
      </c>
      <c r="U1540" s="865"/>
    </row>
    <row r="1541" spans="1:21" ht="15">
      <c r="A1541" s="857"/>
      <c r="B1541" s="861" t="s">
        <v>7933</v>
      </c>
      <c r="C1541" s="861" t="s">
        <v>7934</v>
      </c>
      <c r="D1541" s="861" t="s">
        <v>371</v>
      </c>
      <c r="E1541" s="861"/>
      <c r="F1541" s="862"/>
      <c r="G1541" s="869" t="e">
        <v>#DIV/0!</v>
      </c>
      <c r="H1541" s="874">
        <v>912541.4</v>
      </c>
      <c r="I1541" s="871"/>
      <c r="J1541" s="863"/>
      <c r="K1541" s="868">
        <f t="shared" si="118"/>
        <v>316</v>
      </c>
      <c r="L1541" s="861" t="s">
        <v>1230</v>
      </c>
      <c r="M1541" s="671">
        <f t="shared" si="119"/>
        <v>1539</v>
      </c>
      <c r="N1541" s="671" t="str">
        <f t="shared" si="120"/>
        <v>N/A</v>
      </c>
      <c r="O1541" s="671">
        <f t="shared" si="121"/>
        <v>708</v>
      </c>
      <c r="P1541" s="861" t="s">
        <v>1703</v>
      </c>
      <c r="Q1541" s="861" t="s">
        <v>7935</v>
      </c>
      <c r="R1541" s="861" t="s">
        <v>1574</v>
      </c>
      <c r="S1541" s="861" t="s">
        <v>3600</v>
      </c>
      <c r="T1541" s="866" t="s">
        <v>7936</v>
      </c>
      <c r="U1541" s="865"/>
    </row>
    <row r="1542" spans="1:21" ht="15">
      <c r="A1542" s="672"/>
      <c r="B1542" s="861" t="s">
        <v>7937</v>
      </c>
      <c r="C1542" s="861" t="s">
        <v>7938</v>
      </c>
      <c r="D1542" s="861" t="s">
        <v>371</v>
      </c>
      <c r="E1542" s="861"/>
      <c r="F1542" s="862"/>
      <c r="G1542" s="869" t="e">
        <v>#DIV/0!</v>
      </c>
      <c r="H1542" s="874">
        <v>910532.99</v>
      </c>
      <c r="I1542" s="871"/>
      <c r="J1542" s="861"/>
      <c r="K1542" s="868">
        <f t="shared" si="118"/>
        <v>316</v>
      </c>
      <c r="L1542" s="861"/>
      <c r="M1542" s="671">
        <f t="shared" si="119"/>
        <v>1540</v>
      </c>
      <c r="N1542" s="671" t="str">
        <f t="shared" si="120"/>
        <v>N/A</v>
      </c>
      <c r="O1542" s="671">
        <f t="shared" si="121"/>
        <v>708</v>
      </c>
      <c r="P1542" s="861" t="s">
        <v>7939</v>
      </c>
      <c r="Q1542" s="861" t="s">
        <v>7005</v>
      </c>
      <c r="R1542" s="861"/>
      <c r="S1542" s="861" t="s">
        <v>882</v>
      </c>
      <c r="T1542" s="866" t="s">
        <v>7940</v>
      </c>
      <c r="U1542" s="865"/>
    </row>
    <row r="1543" spans="1:21" ht="15">
      <c r="A1543" s="857"/>
      <c r="B1543" s="861" t="s">
        <v>7941</v>
      </c>
      <c r="C1543" s="861" t="s">
        <v>7942</v>
      </c>
      <c r="D1543" s="861" t="s">
        <v>371</v>
      </c>
      <c r="E1543" s="861"/>
      <c r="F1543" s="862"/>
      <c r="G1543" s="869" t="e">
        <v>#DIV/0!</v>
      </c>
      <c r="H1543" s="874">
        <v>896917.39</v>
      </c>
      <c r="I1543" s="871"/>
      <c r="J1543" s="863"/>
      <c r="K1543" s="868">
        <f t="shared" si="118"/>
        <v>316</v>
      </c>
      <c r="L1543" s="861" t="s">
        <v>1848</v>
      </c>
      <c r="M1543" s="671">
        <f t="shared" si="119"/>
        <v>1541</v>
      </c>
      <c r="N1543" s="671" t="str">
        <f t="shared" si="120"/>
        <v>N/A</v>
      </c>
      <c r="O1543" s="671">
        <f t="shared" si="121"/>
        <v>708</v>
      </c>
      <c r="P1543" s="861" t="s">
        <v>4263</v>
      </c>
      <c r="Q1543" s="861"/>
      <c r="R1543" s="863" t="s">
        <v>1032</v>
      </c>
      <c r="S1543" s="861" t="s">
        <v>7943</v>
      </c>
      <c r="T1543" s="866" t="s">
        <v>7944</v>
      </c>
      <c r="U1543" s="865"/>
    </row>
    <row r="1544" spans="1:21" ht="15">
      <c r="A1544" s="672"/>
      <c r="B1544" s="861" t="s">
        <v>7945</v>
      </c>
      <c r="C1544" s="861" t="s">
        <v>7946</v>
      </c>
      <c r="D1544" s="861" t="s">
        <v>371</v>
      </c>
      <c r="E1544" s="861"/>
      <c r="F1544" s="862"/>
      <c r="G1544" s="869" t="e">
        <v>#DIV/0!</v>
      </c>
      <c r="H1544" s="874">
        <v>891337.44</v>
      </c>
      <c r="I1544" s="871"/>
      <c r="J1544" s="863" t="s">
        <v>7947</v>
      </c>
      <c r="K1544" s="868">
        <f t="shared" si="118"/>
        <v>316</v>
      </c>
      <c r="L1544" s="861" t="s">
        <v>2062</v>
      </c>
      <c r="M1544" s="671">
        <f t="shared" si="119"/>
        <v>1542</v>
      </c>
      <c r="N1544" s="671" t="str">
        <f t="shared" si="120"/>
        <v>N/A</v>
      </c>
      <c r="O1544" s="671" t="str">
        <f t="shared" si="121"/>
        <v>N/A</v>
      </c>
      <c r="P1544" s="861" t="s">
        <v>5886</v>
      </c>
      <c r="Q1544" s="861" t="s">
        <v>7948</v>
      </c>
      <c r="R1544" s="861"/>
      <c r="S1544" s="861" t="s">
        <v>7949</v>
      </c>
      <c r="T1544" s="866" t="s">
        <v>7950</v>
      </c>
      <c r="U1544" s="865"/>
    </row>
    <row r="1545" spans="1:21" ht="15">
      <c r="A1545" s="857"/>
      <c r="B1545" s="861" t="s">
        <v>7951</v>
      </c>
      <c r="C1545" s="861" t="s">
        <v>7952</v>
      </c>
      <c r="D1545" s="861" t="s">
        <v>371</v>
      </c>
      <c r="E1545" s="861"/>
      <c r="F1545" s="862"/>
      <c r="G1545" s="870" t="s">
        <v>7953</v>
      </c>
      <c r="H1545" s="874">
        <v>869015.73</v>
      </c>
      <c r="I1545" s="871"/>
      <c r="J1545" s="863"/>
      <c r="K1545" s="868">
        <f t="shared" si="118"/>
        <v>316</v>
      </c>
      <c r="L1545" s="863" t="s">
        <v>4270</v>
      </c>
      <c r="M1545" s="671">
        <f t="shared" si="119"/>
        <v>1543</v>
      </c>
      <c r="N1545" s="671" t="str">
        <f t="shared" si="120"/>
        <v>N/A</v>
      </c>
      <c r="O1545" s="671">
        <f t="shared" si="121"/>
        <v>708</v>
      </c>
      <c r="P1545" s="861" t="s">
        <v>4137</v>
      </c>
      <c r="Q1545" s="861"/>
      <c r="R1545" s="863" t="s">
        <v>3508</v>
      </c>
      <c r="S1545" s="861" t="s">
        <v>7954</v>
      </c>
      <c r="T1545" s="866" t="s">
        <v>7955</v>
      </c>
      <c r="U1545" s="865"/>
    </row>
    <row r="1546" spans="1:21" ht="15">
      <c r="A1546" s="672"/>
      <c r="B1546" s="861" t="s">
        <v>7956</v>
      </c>
      <c r="C1546" s="861" t="s">
        <v>7957</v>
      </c>
      <c r="D1546" s="861" t="s">
        <v>371</v>
      </c>
      <c r="E1546" s="861"/>
      <c r="F1546" s="862"/>
      <c r="G1546" s="869" t="e">
        <v>#DIV/0!</v>
      </c>
      <c r="H1546" s="874">
        <v>829246.7</v>
      </c>
      <c r="I1546" s="871"/>
      <c r="J1546" s="863"/>
      <c r="K1546" s="868">
        <f t="shared" si="118"/>
        <v>316</v>
      </c>
      <c r="L1546" s="861"/>
      <c r="M1546" s="671">
        <f t="shared" si="119"/>
        <v>1544</v>
      </c>
      <c r="N1546" s="671" t="str">
        <f t="shared" si="120"/>
        <v>N/A</v>
      </c>
      <c r="O1546" s="671">
        <f t="shared" si="121"/>
        <v>708</v>
      </c>
      <c r="P1546" s="861" t="s">
        <v>5820</v>
      </c>
      <c r="Q1546" s="861" t="s">
        <v>7958</v>
      </c>
      <c r="R1546" s="863" t="s">
        <v>6552</v>
      </c>
      <c r="S1546" s="861" t="s">
        <v>1545</v>
      </c>
      <c r="T1546" s="866" t="s">
        <v>7959</v>
      </c>
      <c r="U1546" s="865"/>
    </row>
    <row r="1547" spans="1:21" ht="15">
      <c r="A1547" s="857"/>
      <c r="B1547" s="861" t="s">
        <v>7960</v>
      </c>
      <c r="C1547" s="861" t="s">
        <v>7961</v>
      </c>
      <c r="D1547" s="861" t="s">
        <v>371</v>
      </c>
      <c r="E1547" s="861"/>
      <c r="F1547" s="862"/>
      <c r="G1547" s="869" t="e">
        <v>#DIV/0!</v>
      </c>
      <c r="H1547" s="874">
        <v>786816.08</v>
      </c>
      <c r="I1547" s="871"/>
      <c r="J1547" s="863" t="s">
        <v>7962</v>
      </c>
      <c r="K1547" s="868">
        <f t="shared" si="118"/>
        <v>316</v>
      </c>
      <c r="L1547" s="861" t="s">
        <v>2062</v>
      </c>
      <c r="M1547" s="671">
        <f t="shared" si="119"/>
        <v>1545</v>
      </c>
      <c r="N1547" s="671" t="str">
        <f t="shared" si="120"/>
        <v>N/A</v>
      </c>
      <c r="O1547" s="671" t="str">
        <f t="shared" si="121"/>
        <v>N/A</v>
      </c>
      <c r="P1547" s="861" t="s">
        <v>981</v>
      </c>
      <c r="Q1547" s="861"/>
      <c r="R1547" s="861" t="s">
        <v>2459</v>
      </c>
      <c r="S1547" s="861" t="s">
        <v>7963</v>
      </c>
      <c r="T1547" s="866" t="s">
        <v>7964</v>
      </c>
      <c r="U1547" s="865"/>
    </row>
    <row r="1548" spans="1:21" ht="15">
      <c r="A1548" s="672"/>
      <c r="B1548" s="861" t="s">
        <v>7965</v>
      </c>
      <c r="C1548" s="861" t="s">
        <v>7966</v>
      </c>
      <c r="D1548" s="861" t="s">
        <v>371</v>
      </c>
      <c r="E1548" s="861"/>
      <c r="F1548" s="862"/>
      <c r="G1548" s="870" t="s">
        <v>7967</v>
      </c>
      <c r="H1548" s="874">
        <v>784116.92</v>
      </c>
      <c r="I1548" s="871"/>
      <c r="J1548" s="863" t="s">
        <v>7968</v>
      </c>
      <c r="K1548" s="868">
        <f t="shared" si="118"/>
        <v>316</v>
      </c>
      <c r="L1548" s="861"/>
      <c r="M1548" s="671">
        <f t="shared" si="119"/>
        <v>1546</v>
      </c>
      <c r="N1548" s="671" t="str">
        <f t="shared" si="120"/>
        <v>N/A</v>
      </c>
      <c r="O1548" s="671" t="str">
        <f t="shared" si="121"/>
        <v>N/A</v>
      </c>
      <c r="P1548" s="861" t="s">
        <v>4968</v>
      </c>
      <c r="Q1548" s="861"/>
      <c r="R1548" s="861"/>
      <c r="S1548" s="861" t="s">
        <v>424</v>
      </c>
      <c r="T1548" s="866" t="s">
        <v>7969</v>
      </c>
      <c r="U1548" s="865"/>
    </row>
    <row r="1549" spans="1:21" ht="15">
      <c r="A1549" s="857"/>
      <c r="B1549" s="861" t="s">
        <v>7970</v>
      </c>
      <c r="C1549" s="861" t="s">
        <v>7971</v>
      </c>
      <c r="D1549" s="861" t="s">
        <v>371</v>
      </c>
      <c r="E1549" s="861"/>
      <c r="F1549" s="862"/>
      <c r="G1549" s="870" t="s">
        <v>7972</v>
      </c>
      <c r="H1549" s="874">
        <v>774484.92</v>
      </c>
      <c r="I1549" s="871"/>
      <c r="J1549" s="863"/>
      <c r="K1549" s="868">
        <f t="shared" si="118"/>
        <v>316</v>
      </c>
      <c r="L1549" s="861"/>
      <c r="M1549" s="671">
        <f t="shared" si="119"/>
        <v>1547</v>
      </c>
      <c r="N1549" s="671" t="str">
        <f t="shared" si="120"/>
        <v>N/A</v>
      </c>
      <c r="O1549" s="671">
        <f t="shared" si="121"/>
        <v>708</v>
      </c>
      <c r="P1549" s="861" t="s">
        <v>1807</v>
      </c>
      <c r="Q1549" s="861"/>
      <c r="R1549" s="861"/>
      <c r="S1549" s="861" t="s">
        <v>661</v>
      </c>
      <c r="T1549" s="866" t="s">
        <v>7973</v>
      </c>
      <c r="U1549" s="865"/>
    </row>
    <row r="1550" spans="1:21" ht="15">
      <c r="A1550" s="672"/>
      <c r="B1550" s="861" t="s">
        <v>7974</v>
      </c>
      <c r="C1550" s="861" t="s">
        <v>7975</v>
      </c>
      <c r="D1550" s="861" t="s">
        <v>371</v>
      </c>
      <c r="E1550" s="861"/>
      <c r="F1550" s="862"/>
      <c r="G1550" s="869" t="e">
        <v>#DIV/0!</v>
      </c>
      <c r="H1550" s="874">
        <v>772256.13</v>
      </c>
      <c r="I1550" s="871"/>
      <c r="J1550" s="863"/>
      <c r="K1550" s="868">
        <f t="shared" si="118"/>
        <v>316</v>
      </c>
      <c r="L1550" s="863" t="s">
        <v>7976</v>
      </c>
      <c r="M1550" s="671">
        <f t="shared" si="119"/>
        <v>1548</v>
      </c>
      <c r="N1550" s="671" t="str">
        <f t="shared" si="120"/>
        <v>N/A</v>
      </c>
      <c r="O1550" s="671">
        <f t="shared" si="121"/>
        <v>708</v>
      </c>
      <c r="P1550" s="863" t="s">
        <v>5768</v>
      </c>
      <c r="Q1550" s="861"/>
      <c r="R1550" s="861"/>
      <c r="S1550" s="861" t="s">
        <v>1665</v>
      </c>
      <c r="T1550" s="866" t="s">
        <v>7977</v>
      </c>
      <c r="U1550" s="865"/>
    </row>
    <row r="1551" spans="1:21" ht="15">
      <c r="A1551" s="857"/>
      <c r="B1551" s="861" t="s">
        <v>7978</v>
      </c>
      <c r="C1551" s="861" t="s">
        <v>7979</v>
      </c>
      <c r="D1551" s="861" t="s">
        <v>371</v>
      </c>
      <c r="E1551" s="861"/>
      <c r="F1551" s="862"/>
      <c r="G1551" s="870" t="s">
        <v>7980</v>
      </c>
      <c r="H1551" s="874">
        <v>769808.01</v>
      </c>
      <c r="I1551" s="871"/>
      <c r="J1551" s="863"/>
      <c r="K1551" s="868">
        <f t="shared" si="118"/>
        <v>316</v>
      </c>
      <c r="L1551" s="861"/>
      <c r="M1551" s="671">
        <f t="shared" si="119"/>
        <v>1549</v>
      </c>
      <c r="N1551" s="671" t="str">
        <f t="shared" si="120"/>
        <v>N/A</v>
      </c>
      <c r="O1551" s="671">
        <f t="shared" si="121"/>
        <v>708</v>
      </c>
      <c r="P1551" s="861" t="s">
        <v>7981</v>
      </c>
      <c r="Q1551" s="861"/>
      <c r="R1551" s="861"/>
      <c r="S1551" s="861" t="s">
        <v>2851</v>
      </c>
      <c r="T1551" s="866" t="s">
        <v>7982</v>
      </c>
      <c r="U1551" s="865"/>
    </row>
    <row r="1552" spans="1:21" ht="15">
      <c r="A1552" s="672"/>
      <c r="B1552" s="861" t="s">
        <v>7983</v>
      </c>
      <c r="C1552" s="861" t="s">
        <v>7984</v>
      </c>
      <c r="D1552" s="861" t="s">
        <v>371</v>
      </c>
      <c r="E1552" s="861"/>
      <c r="F1552" s="862"/>
      <c r="G1552" s="869" t="e">
        <v>#DIV/0!</v>
      </c>
      <c r="H1552" s="874">
        <v>735423.21</v>
      </c>
      <c r="I1552" s="871"/>
      <c r="J1552" s="862">
        <v>0.26100000000000001</v>
      </c>
      <c r="K1552" s="868">
        <f t="shared" si="118"/>
        <v>316</v>
      </c>
      <c r="L1552" s="861"/>
      <c r="M1552" s="671">
        <f t="shared" si="119"/>
        <v>1550</v>
      </c>
      <c r="N1552" s="671" t="str">
        <f t="shared" si="120"/>
        <v>N/A</v>
      </c>
      <c r="O1552" s="671">
        <f t="shared" si="121"/>
        <v>164</v>
      </c>
      <c r="P1552" s="861"/>
      <c r="Q1552" s="861"/>
      <c r="R1552" s="861"/>
      <c r="S1552" s="861" t="s">
        <v>809</v>
      </c>
      <c r="T1552" s="866" t="s">
        <v>7985</v>
      </c>
      <c r="U1552" s="865"/>
    </row>
    <row r="1553" spans="1:21" ht="15">
      <c r="A1553" s="857"/>
      <c r="B1553" s="861" t="s">
        <v>7986</v>
      </c>
      <c r="C1553" s="861" t="s">
        <v>7987</v>
      </c>
      <c r="D1553" s="861" t="s">
        <v>371</v>
      </c>
      <c r="E1553" s="861"/>
      <c r="F1553" s="862"/>
      <c r="G1553" s="869">
        <v>2.4994896619999998</v>
      </c>
      <c r="H1553" s="874">
        <v>732712.38</v>
      </c>
      <c r="I1553" s="871"/>
      <c r="J1553" s="861"/>
      <c r="K1553" s="868">
        <f t="shared" si="118"/>
        <v>316</v>
      </c>
      <c r="L1553" s="861"/>
      <c r="M1553" s="671">
        <f t="shared" si="119"/>
        <v>1551</v>
      </c>
      <c r="N1553" s="671" t="str">
        <f t="shared" si="120"/>
        <v>N/A</v>
      </c>
      <c r="O1553" s="671">
        <f t="shared" si="121"/>
        <v>708</v>
      </c>
      <c r="P1553" s="861" t="s">
        <v>6036</v>
      </c>
      <c r="Q1553" s="861"/>
      <c r="R1553" s="861"/>
      <c r="S1553" s="861" t="s">
        <v>7988</v>
      </c>
      <c r="T1553" s="866" t="s">
        <v>7989</v>
      </c>
      <c r="U1553" s="865"/>
    </row>
    <row r="1554" spans="1:21" ht="15">
      <c r="A1554" s="672"/>
      <c r="B1554" s="861" t="s">
        <v>7990</v>
      </c>
      <c r="C1554" s="861" t="s">
        <v>7991</v>
      </c>
      <c r="D1554" s="861" t="s">
        <v>371</v>
      </c>
      <c r="E1554" s="861"/>
      <c r="F1554" s="862"/>
      <c r="G1554" s="869" t="e">
        <v>#DIV/0!</v>
      </c>
      <c r="H1554" s="874">
        <v>730047.15</v>
      </c>
      <c r="I1554" s="871"/>
      <c r="J1554" s="861"/>
      <c r="K1554" s="868">
        <f t="shared" si="118"/>
        <v>316</v>
      </c>
      <c r="L1554" s="861" t="s">
        <v>2069</v>
      </c>
      <c r="M1554" s="671">
        <f t="shared" si="119"/>
        <v>1552</v>
      </c>
      <c r="N1554" s="671" t="str">
        <f t="shared" si="120"/>
        <v>N/A</v>
      </c>
      <c r="O1554" s="671">
        <f t="shared" si="121"/>
        <v>708</v>
      </c>
      <c r="P1554" s="861" t="s">
        <v>2876</v>
      </c>
      <c r="Q1554" s="861" t="s">
        <v>7992</v>
      </c>
      <c r="R1554" s="861"/>
      <c r="S1554" s="861" t="s">
        <v>2937</v>
      </c>
      <c r="T1554" s="866" t="s">
        <v>7993</v>
      </c>
      <c r="U1554" s="865"/>
    </row>
    <row r="1555" spans="1:21" ht="15">
      <c r="A1555" s="857"/>
      <c r="B1555" s="861" t="s">
        <v>7994</v>
      </c>
      <c r="C1555" s="861" t="s">
        <v>7995</v>
      </c>
      <c r="D1555" s="861" t="s">
        <v>371</v>
      </c>
      <c r="E1555" s="861"/>
      <c r="F1555" s="862"/>
      <c r="G1555" s="869" t="e">
        <v>#DIV/0!</v>
      </c>
      <c r="H1555" s="874">
        <v>714686.74</v>
      </c>
      <c r="I1555" s="871"/>
      <c r="J1555" s="863"/>
      <c r="K1555" s="868">
        <f t="shared" si="118"/>
        <v>316</v>
      </c>
      <c r="L1555" s="863" t="s">
        <v>7797</v>
      </c>
      <c r="M1555" s="671">
        <f t="shared" si="119"/>
        <v>1553</v>
      </c>
      <c r="N1555" s="671" t="str">
        <f t="shared" si="120"/>
        <v>N/A</v>
      </c>
      <c r="O1555" s="671">
        <f t="shared" si="121"/>
        <v>708</v>
      </c>
      <c r="P1555" s="861" t="s">
        <v>5299</v>
      </c>
      <c r="Q1555" s="861"/>
      <c r="R1555" s="863" t="s">
        <v>6676</v>
      </c>
      <c r="S1555" s="861" t="s">
        <v>1529</v>
      </c>
      <c r="T1555" s="866" t="s">
        <v>7996</v>
      </c>
      <c r="U1555" s="865"/>
    </row>
    <row r="1556" spans="1:21" ht="15">
      <c r="A1556" s="672"/>
      <c r="B1556" s="861" t="s">
        <v>7997</v>
      </c>
      <c r="C1556" s="861" t="s">
        <v>7998</v>
      </c>
      <c r="D1556" s="861" t="s">
        <v>371</v>
      </c>
      <c r="E1556" s="861"/>
      <c r="F1556" s="862"/>
      <c r="G1556" s="870" t="s">
        <v>7999</v>
      </c>
      <c r="H1556" s="874">
        <v>711405.08</v>
      </c>
      <c r="I1556" s="871"/>
      <c r="J1556" s="863" t="s">
        <v>8000</v>
      </c>
      <c r="K1556" s="868">
        <f t="shared" si="118"/>
        <v>316</v>
      </c>
      <c r="L1556" s="861"/>
      <c r="M1556" s="671">
        <f t="shared" si="119"/>
        <v>1554</v>
      </c>
      <c r="N1556" s="671" t="str">
        <f t="shared" si="120"/>
        <v>N/A</v>
      </c>
      <c r="O1556" s="671" t="str">
        <f t="shared" si="121"/>
        <v>N/A</v>
      </c>
      <c r="P1556" s="861" t="s">
        <v>8001</v>
      </c>
      <c r="Q1556" s="861"/>
      <c r="R1556" s="861"/>
      <c r="S1556" s="861" t="s">
        <v>487</v>
      </c>
      <c r="T1556" s="866" t="s">
        <v>8002</v>
      </c>
      <c r="U1556" s="865"/>
    </row>
    <row r="1557" spans="1:21" ht="15">
      <c r="A1557" s="857"/>
      <c r="B1557" s="861" t="s">
        <v>8003</v>
      </c>
      <c r="C1557" s="861" t="s">
        <v>8004</v>
      </c>
      <c r="D1557" s="861" t="s">
        <v>371</v>
      </c>
      <c r="E1557" s="861"/>
      <c r="F1557" s="862"/>
      <c r="G1557" s="870" t="s">
        <v>8005</v>
      </c>
      <c r="H1557" s="874">
        <v>700000</v>
      </c>
      <c r="I1557" s="871"/>
      <c r="J1557" s="861"/>
      <c r="K1557" s="868">
        <f t="shared" si="118"/>
        <v>316</v>
      </c>
      <c r="L1557" s="861"/>
      <c r="M1557" s="671">
        <f t="shared" si="119"/>
        <v>1555</v>
      </c>
      <c r="N1557" s="671" t="str">
        <f t="shared" si="120"/>
        <v>N/A</v>
      </c>
      <c r="O1557" s="671">
        <f t="shared" si="121"/>
        <v>708</v>
      </c>
      <c r="P1557" s="861" t="s">
        <v>8006</v>
      </c>
      <c r="Q1557" s="861"/>
      <c r="R1557" s="861"/>
      <c r="S1557" s="861" t="s">
        <v>2134</v>
      </c>
      <c r="T1557" s="866" t="s">
        <v>8007</v>
      </c>
      <c r="U1557" s="865"/>
    </row>
    <row r="1558" spans="1:21" ht="15">
      <c r="A1558" s="672"/>
      <c r="B1558" s="861" t="s">
        <v>8008</v>
      </c>
      <c r="C1558" s="861" t="s">
        <v>8009</v>
      </c>
      <c r="D1558" s="861" t="s">
        <v>371</v>
      </c>
      <c r="E1558" s="861"/>
      <c r="F1558" s="862"/>
      <c r="G1558" s="869">
        <v>0</v>
      </c>
      <c r="H1558" s="874">
        <v>694646.18</v>
      </c>
      <c r="I1558" s="871"/>
      <c r="J1558" s="863"/>
      <c r="K1558" s="868">
        <f t="shared" si="118"/>
        <v>316</v>
      </c>
      <c r="L1558" s="861"/>
      <c r="M1558" s="671">
        <f t="shared" si="119"/>
        <v>1556</v>
      </c>
      <c r="N1558" s="671" t="str">
        <f t="shared" si="120"/>
        <v>N/A</v>
      </c>
      <c r="O1558" s="671">
        <f t="shared" si="121"/>
        <v>708</v>
      </c>
      <c r="P1558" s="861" t="s">
        <v>3220</v>
      </c>
      <c r="Q1558" s="861"/>
      <c r="R1558" s="861"/>
      <c r="S1558" s="861" t="s">
        <v>454</v>
      </c>
      <c r="T1558" s="866" t="s">
        <v>8010</v>
      </c>
      <c r="U1558" s="865"/>
    </row>
    <row r="1559" spans="1:21" ht="15">
      <c r="A1559" s="857"/>
      <c r="B1559" s="861" t="s">
        <v>8011</v>
      </c>
      <c r="C1559" s="861" t="s">
        <v>8012</v>
      </c>
      <c r="D1559" s="861" t="s">
        <v>371</v>
      </c>
      <c r="E1559" s="861"/>
      <c r="F1559" s="862"/>
      <c r="G1559" s="869" t="e">
        <v>#DIV/0!</v>
      </c>
      <c r="H1559" s="874">
        <v>683545.94</v>
      </c>
      <c r="I1559" s="871"/>
      <c r="J1559" s="863"/>
      <c r="K1559" s="868">
        <f t="shared" si="118"/>
        <v>316</v>
      </c>
      <c r="L1559" s="861"/>
      <c r="M1559" s="671">
        <f t="shared" si="119"/>
        <v>1557</v>
      </c>
      <c r="N1559" s="671" t="str">
        <f t="shared" si="120"/>
        <v>N/A</v>
      </c>
      <c r="O1559" s="671">
        <f t="shared" si="121"/>
        <v>708</v>
      </c>
      <c r="P1559" s="861" t="s">
        <v>1064</v>
      </c>
      <c r="Q1559" s="861"/>
      <c r="R1559" s="861"/>
      <c r="S1559" s="861" t="s">
        <v>5928</v>
      </c>
      <c r="T1559" s="866" t="s">
        <v>8013</v>
      </c>
      <c r="U1559" s="865"/>
    </row>
    <row r="1560" spans="1:21" ht="15">
      <c r="A1560" s="672"/>
      <c r="B1560" s="861" t="s">
        <v>8014</v>
      </c>
      <c r="C1560" s="861" t="s">
        <v>8015</v>
      </c>
      <c r="D1560" s="861" t="s">
        <v>371</v>
      </c>
      <c r="E1560" s="861"/>
      <c r="F1560" s="862"/>
      <c r="G1560" s="869">
        <v>0</v>
      </c>
      <c r="H1560" s="874">
        <v>680829.8</v>
      </c>
      <c r="I1560" s="871"/>
      <c r="J1560" s="863"/>
      <c r="K1560" s="868">
        <f t="shared" si="118"/>
        <v>316</v>
      </c>
      <c r="L1560" s="863" t="s">
        <v>8016</v>
      </c>
      <c r="M1560" s="671">
        <f t="shared" si="119"/>
        <v>1558</v>
      </c>
      <c r="N1560" s="671" t="str">
        <f t="shared" si="120"/>
        <v>N/A</v>
      </c>
      <c r="O1560" s="671">
        <f t="shared" si="121"/>
        <v>708</v>
      </c>
      <c r="P1560" s="861"/>
      <c r="Q1560" s="861"/>
      <c r="R1560" s="863" t="s">
        <v>4708</v>
      </c>
      <c r="S1560" s="861" t="s">
        <v>889</v>
      </c>
      <c r="T1560" s="866" t="s">
        <v>8017</v>
      </c>
      <c r="U1560" s="865"/>
    </row>
    <row r="1561" spans="1:21" ht="15">
      <c r="A1561" s="857"/>
      <c r="B1561" s="861" t="s">
        <v>8018</v>
      </c>
      <c r="C1561" s="861" t="s">
        <v>8019</v>
      </c>
      <c r="D1561" s="861" t="s">
        <v>371</v>
      </c>
      <c r="E1561" s="861"/>
      <c r="F1561" s="862"/>
      <c r="G1561" s="870" t="s">
        <v>8020</v>
      </c>
      <c r="H1561" s="874">
        <v>668907.21</v>
      </c>
      <c r="I1561" s="871"/>
      <c r="J1561" s="863"/>
      <c r="K1561" s="868">
        <f t="shared" si="118"/>
        <v>316</v>
      </c>
      <c r="L1561" s="861"/>
      <c r="M1561" s="671">
        <f t="shared" si="119"/>
        <v>1559</v>
      </c>
      <c r="N1561" s="671" t="str">
        <f t="shared" si="120"/>
        <v>N/A</v>
      </c>
      <c r="O1561" s="671">
        <f t="shared" si="121"/>
        <v>708</v>
      </c>
      <c r="P1561" s="861" t="s">
        <v>507</v>
      </c>
      <c r="Q1561" s="861"/>
      <c r="R1561" s="861"/>
      <c r="S1561" s="861" t="s">
        <v>690</v>
      </c>
      <c r="T1561" s="866" t="s">
        <v>8021</v>
      </c>
      <c r="U1561" s="865"/>
    </row>
    <row r="1562" spans="1:21" ht="15">
      <c r="A1562" s="672"/>
      <c r="B1562" s="861" t="s">
        <v>8022</v>
      </c>
      <c r="C1562" s="861" t="s">
        <v>8023</v>
      </c>
      <c r="D1562" s="861" t="s">
        <v>371</v>
      </c>
      <c r="E1562" s="861"/>
      <c r="F1562" s="862"/>
      <c r="G1562" s="869" t="e">
        <v>#DIV/0!</v>
      </c>
      <c r="H1562" s="874">
        <v>668860.54</v>
      </c>
      <c r="I1562" s="871"/>
      <c r="J1562" s="863"/>
      <c r="K1562" s="868">
        <f t="shared" si="118"/>
        <v>316</v>
      </c>
      <c r="L1562" s="861"/>
      <c r="M1562" s="671">
        <f t="shared" si="119"/>
        <v>1560</v>
      </c>
      <c r="N1562" s="671" t="str">
        <f t="shared" si="120"/>
        <v>N/A</v>
      </c>
      <c r="O1562" s="671">
        <f t="shared" si="121"/>
        <v>708</v>
      </c>
      <c r="P1562" s="861" t="s">
        <v>681</v>
      </c>
      <c r="Q1562" s="861"/>
      <c r="R1562" s="861"/>
      <c r="S1562" s="861" t="s">
        <v>2459</v>
      </c>
      <c r="T1562" s="866" t="s">
        <v>8024</v>
      </c>
      <c r="U1562" s="865"/>
    </row>
    <row r="1563" spans="1:21" ht="15">
      <c r="A1563" s="857"/>
      <c r="B1563" s="861" t="s">
        <v>8025</v>
      </c>
      <c r="C1563" s="861" t="s">
        <v>8026</v>
      </c>
      <c r="D1563" s="861" t="s">
        <v>371</v>
      </c>
      <c r="E1563" s="861"/>
      <c r="F1563" s="862"/>
      <c r="G1563" s="869" t="e">
        <v>#DIV/0!</v>
      </c>
      <c r="H1563" s="874">
        <v>665370.86</v>
      </c>
      <c r="I1563" s="871"/>
      <c r="J1563" s="861"/>
      <c r="K1563" s="868">
        <f t="shared" si="118"/>
        <v>316</v>
      </c>
      <c r="L1563" s="861"/>
      <c r="M1563" s="671">
        <f t="shared" si="119"/>
        <v>1561</v>
      </c>
      <c r="N1563" s="671" t="str">
        <f t="shared" si="120"/>
        <v>N/A</v>
      </c>
      <c r="O1563" s="671">
        <f t="shared" si="121"/>
        <v>708</v>
      </c>
      <c r="P1563" s="861"/>
      <c r="Q1563" s="861"/>
      <c r="R1563" s="861"/>
      <c r="S1563" s="861" t="s">
        <v>1150</v>
      </c>
      <c r="T1563" s="866" t="s">
        <v>8027</v>
      </c>
      <c r="U1563" s="865"/>
    </row>
    <row r="1564" spans="1:21" ht="15">
      <c r="A1564" s="672"/>
      <c r="B1564" s="861" t="s">
        <v>8028</v>
      </c>
      <c r="C1564" s="861" t="s">
        <v>8029</v>
      </c>
      <c r="D1564" s="861" t="s">
        <v>371</v>
      </c>
      <c r="E1564" s="861"/>
      <c r="F1564" s="862">
        <v>0.18099999999999999</v>
      </c>
      <c r="G1564" s="869" t="e">
        <v>#DIV/0!</v>
      </c>
      <c r="H1564" s="874">
        <v>662835.84</v>
      </c>
      <c r="I1564" s="871"/>
      <c r="J1564" s="863" t="s">
        <v>8030</v>
      </c>
      <c r="K1564" s="868">
        <f t="shared" si="118"/>
        <v>111</v>
      </c>
      <c r="L1564" s="861"/>
      <c r="M1564" s="671">
        <f t="shared" si="119"/>
        <v>1562</v>
      </c>
      <c r="N1564" s="671" t="str">
        <f t="shared" si="120"/>
        <v>N/A</v>
      </c>
      <c r="O1564" s="671" t="str">
        <f t="shared" si="121"/>
        <v>N/A</v>
      </c>
      <c r="P1564" s="861"/>
      <c r="Q1564" s="861"/>
      <c r="R1564" s="861"/>
      <c r="S1564" s="861" t="s">
        <v>563</v>
      </c>
      <c r="T1564" s="866" t="s">
        <v>8031</v>
      </c>
      <c r="U1564" s="865"/>
    </row>
    <row r="1565" spans="1:21" ht="15">
      <c r="A1565" s="857"/>
      <c r="B1565" s="861" t="s">
        <v>8032</v>
      </c>
      <c r="C1565" s="861" t="s">
        <v>8033</v>
      </c>
      <c r="D1565" s="861" t="s">
        <v>371</v>
      </c>
      <c r="E1565" s="861"/>
      <c r="F1565" s="862"/>
      <c r="G1565" s="870" t="s">
        <v>8034</v>
      </c>
      <c r="H1565" s="874">
        <v>642131.23</v>
      </c>
      <c r="I1565" s="871"/>
      <c r="J1565" s="863"/>
      <c r="K1565" s="868">
        <f t="shared" si="118"/>
        <v>316</v>
      </c>
      <c r="L1565" s="861" t="s">
        <v>1475</v>
      </c>
      <c r="M1565" s="671">
        <f t="shared" si="119"/>
        <v>1563</v>
      </c>
      <c r="N1565" s="671" t="str">
        <f t="shared" si="120"/>
        <v>N/A</v>
      </c>
      <c r="O1565" s="671">
        <f t="shared" si="121"/>
        <v>708</v>
      </c>
      <c r="P1565" s="863" t="s">
        <v>4456</v>
      </c>
      <c r="Q1565" s="861"/>
      <c r="R1565" s="861"/>
      <c r="S1565" s="861" t="s">
        <v>2876</v>
      </c>
      <c r="T1565" s="866" t="s">
        <v>8035</v>
      </c>
      <c r="U1565" s="865"/>
    </row>
    <row r="1566" spans="1:21" ht="15">
      <c r="A1566" s="672"/>
      <c r="B1566" s="861" t="s">
        <v>8036</v>
      </c>
      <c r="C1566" s="861" t="s">
        <v>8037</v>
      </c>
      <c r="D1566" s="861" t="s">
        <v>371</v>
      </c>
      <c r="E1566" s="861"/>
      <c r="F1566" s="862"/>
      <c r="G1566" s="869" t="e">
        <v>#DIV/0!</v>
      </c>
      <c r="H1566" s="874">
        <v>632003.98</v>
      </c>
      <c r="I1566" s="871"/>
      <c r="J1566" s="863"/>
      <c r="K1566" s="868">
        <f t="shared" si="118"/>
        <v>316</v>
      </c>
      <c r="L1566" s="863" t="s">
        <v>847</v>
      </c>
      <c r="M1566" s="671">
        <f t="shared" si="119"/>
        <v>1564</v>
      </c>
      <c r="N1566" s="671" t="str">
        <f t="shared" si="120"/>
        <v>N/A</v>
      </c>
      <c r="O1566" s="671">
        <f t="shared" si="121"/>
        <v>708</v>
      </c>
      <c r="P1566" s="861" t="s">
        <v>718</v>
      </c>
      <c r="Q1566" s="861"/>
      <c r="R1566" s="863" t="s">
        <v>8038</v>
      </c>
      <c r="S1566" s="861" t="s">
        <v>487</v>
      </c>
      <c r="T1566" s="866" t="s">
        <v>8039</v>
      </c>
      <c r="U1566" s="865"/>
    </row>
    <row r="1567" spans="1:21" ht="15">
      <c r="A1567" s="857"/>
      <c r="B1567" s="861" t="s">
        <v>8040</v>
      </c>
      <c r="C1567" s="861" t="s">
        <v>8041</v>
      </c>
      <c r="D1567" s="861" t="s">
        <v>371</v>
      </c>
      <c r="E1567" s="861"/>
      <c r="F1567" s="862"/>
      <c r="G1567" s="870" t="s">
        <v>8042</v>
      </c>
      <c r="H1567" s="874">
        <v>628150.16</v>
      </c>
      <c r="I1567" s="871"/>
      <c r="J1567" s="863"/>
      <c r="K1567" s="868">
        <f t="shared" si="118"/>
        <v>316</v>
      </c>
      <c r="L1567" s="863" t="s">
        <v>8043</v>
      </c>
      <c r="M1567" s="671">
        <f t="shared" si="119"/>
        <v>1565</v>
      </c>
      <c r="N1567" s="671" t="str">
        <f t="shared" si="120"/>
        <v>N/A</v>
      </c>
      <c r="O1567" s="671">
        <f t="shared" si="121"/>
        <v>708</v>
      </c>
      <c r="P1567" s="861" t="s">
        <v>8044</v>
      </c>
      <c r="Q1567" s="861"/>
      <c r="R1567" s="861"/>
      <c r="S1567" s="861" t="s">
        <v>6185</v>
      </c>
      <c r="T1567" s="866" t="s">
        <v>8045</v>
      </c>
      <c r="U1567" s="865"/>
    </row>
    <row r="1568" spans="1:21" ht="15">
      <c r="A1568" s="672"/>
      <c r="B1568" s="861" t="s">
        <v>8046</v>
      </c>
      <c r="C1568" s="861" t="s">
        <v>8047</v>
      </c>
      <c r="D1568" s="861" t="s">
        <v>371</v>
      </c>
      <c r="E1568" s="861"/>
      <c r="F1568" s="862"/>
      <c r="G1568" s="869" t="e">
        <v>#DIV/0!</v>
      </c>
      <c r="H1568" s="874">
        <v>627625.16</v>
      </c>
      <c r="I1568" s="871"/>
      <c r="J1568" s="863" t="s">
        <v>8048</v>
      </c>
      <c r="K1568" s="868">
        <f t="shared" si="118"/>
        <v>316</v>
      </c>
      <c r="L1568" s="861"/>
      <c r="M1568" s="671">
        <f t="shared" si="119"/>
        <v>1566</v>
      </c>
      <c r="N1568" s="671" t="str">
        <f t="shared" si="120"/>
        <v>N/A</v>
      </c>
      <c r="O1568" s="671" t="str">
        <f t="shared" si="121"/>
        <v>N/A</v>
      </c>
      <c r="P1568" s="861"/>
      <c r="Q1568" s="861"/>
      <c r="R1568" s="861"/>
      <c r="S1568" s="861" t="s">
        <v>494</v>
      </c>
      <c r="T1568" s="866" t="s">
        <v>8049</v>
      </c>
      <c r="U1568" s="865"/>
    </row>
    <row r="1569" spans="1:21" ht="15">
      <c r="A1569" s="857"/>
      <c r="B1569" s="861" t="s">
        <v>8050</v>
      </c>
      <c r="C1569" s="861" t="s">
        <v>8051</v>
      </c>
      <c r="D1569" s="861" t="s">
        <v>371</v>
      </c>
      <c r="E1569" s="861"/>
      <c r="F1569" s="862"/>
      <c r="G1569" s="870" t="s">
        <v>8052</v>
      </c>
      <c r="H1569" s="874">
        <v>604113.99</v>
      </c>
      <c r="I1569" s="871"/>
      <c r="J1569" s="863"/>
      <c r="K1569" s="868">
        <f t="shared" si="118"/>
        <v>316</v>
      </c>
      <c r="L1569" s="861" t="s">
        <v>487</v>
      </c>
      <c r="M1569" s="671">
        <f t="shared" si="119"/>
        <v>1567</v>
      </c>
      <c r="N1569" s="671" t="str">
        <f t="shared" si="120"/>
        <v>N/A</v>
      </c>
      <c r="O1569" s="671">
        <f t="shared" si="121"/>
        <v>708</v>
      </c>
      <c r="P1569" s="861" t="s">
        <v>7488</v>
      </c>
      <c r="Q1569" s="861"/>
      <c r="R1569" s="863" t="s">
        <v>6676</v>
      </c>
      <c r="S1569" s="861" t="s">
        <v>8053</v>
      </c>
      <c r="T1569" s="866" t="s">
        <v>8054</v>
      </c>
      <c r="U1569" s="865"/>
    </row>
    <row r="1570" spans="1:21" ht="15">
      <c r="A1570" s="672"/>
      <c r="B1570" s="861" t="s">
        <v>8055</v>
      </c>
      <c r="C1570" s="861" t="s">
        <v>8056</v>
      </c>
      <c r="D1570" s="861" t="s">
        <v>371</v>
      </c>
      <c r="E1570" s="861"/>
      <c r="F1570" s="862"/>
      <c r="G1570" s="869">
        <v>0</v>
      </c>
      <c r="H1570" s="874">
        <v>602243.04</v>
      </c>
      <c r="I1570" s="871"/>
      <c r="J1570" s="863"/>
      <c r="K1570" s="868">
        <f t="shared" si="118"/>
        <v>316</v>
      </c>
      <c r="L1570" s="861" t="s">
        <v>1252</v>
      </c>
      <c r="M1570" s="671">
        <f t="shared" si="119"/>
        <v>1568</v>
      </c>
      <c r="N1570" s="671" t="str">
        <f t="shared" si="120"/>
        <v>N/A</v>
      </c>
      <c r="O1570" s="671">
        <f t="shared" si="121"/>
        <v>708</v>
      </c>
      <c r="P1570" s="861" t="s">
        <v>8057</v>
      </c>
      <c r="Q1570" s="861" t="s">
        <v>8058</v>
      </c>
      <c r="R1570" s="861" t="s">
        <v>1475</v>
      </c>
      <c r="S1570" s="861" t="s">
        <v>4974</v>
      </c>
      <c r="T1570" s="866" t="s">
        <v>8059</v>
      </c>
      <c r="U1570" s="865"/>
    </row>
    <row r="1571" spans="1:21" ht="15">
      <c r="A1571" s="857"/>
      <c r="B1571" s="861" t="s">
        <v>8060</v>
      </c>
      <c r="C1571" s="861" t="s">
        <v>8061</v>
      </c>
      <c r="D1571" s="861" t="s">
        <v>371</v>
      </c>
      <c r="E1571" s="861"/>
      <c r="F1571" s="862"/>
      <c r="G1571" s="870" t="s">
        <v>8062</v>
      </c>
      <c r="H1571" s="874">
        <v>602085.15</v>
      </c>
      <c r="I1571" s="871"/>
      <c r="J1571" s="861"/>
      <c r="K1571" s="868">
        <f t="shared" si="118"/>
        <v>316</v>
      </c>
      <c r="L1571" s="861"/>
      <c r="M1571" s="671">
        <f t="shared" si="119"/>
        <v>1569</v>
      </c>
      <c r="N1571" s="671" t="str">
        <f t="shared" si="120"/>
        <v>N/A</v>
      </c>
      <c r="O1571" s="671">
        <f t="shared" si="121"/>
        <v>708</v>
      </c>
      <c r="P1571" s="861" t="s">
        <v>1469</v>
      </c>
      <c r="Q1571" s="861" t="s">
        <v>548</v>
      </c>
      <c r="R1571" s="861"/>
      <c r="S1571" s="861" t="s">
        <v>602</v>
      </c>
      <c r="T1571" s="866" t="s">
        <v>8063</v>
      </c>
      <c r="U1571" s="865"/>
    </row>
    <row r="1572" spans="1:21" ht="15">
      <c r="A1572" s="672"/>
      <c r="B1572" s="861" t="s">
        <v>8064</v>
      </c>
      <c r="C1572" s="861" t="s">
        <v>8065</v>
      </c>
      <c r="D1572" s="861" t="s">
        <v>371</v>
      </c>
      <c r="E1572" s="861"/>
      <c r="F1572" s="862"/>
      <c r="G1572" s="870" t="s">
        <v>8066</v>
      </c>
      <c r="H1572" s="874">
        <v>596097.54</v>
      </c>
      <c r="I1572" s="871"/>
      <c r="J1572" s="863"/>
      <c r="K1572" s="868">
        <f t="shared" si="118"/>
        <v>316</v>
      </c>
      <c r="L1572" s="861" t="s">
        <v>460</v>
      </c>
      <c r="M1572" s="671">
        <f t="shared" si="119"/>
        <v>1570</v>
      </c>
      <c r="N1572" s="671" t="str">
        <f t="shared" si="120"/>
        <v>N/A</v>
      </c>
      <c r="O1572" s="671">
        <f t="shared" si="121"/>
        <v>708</v>
      </c>
      <c r="P1572" s="861" t="s">
        <v>3716</v>
      </c>
      <c r="Q1572" s="861"/>
      <c r="R1572" s="863" t="s">
        <v>4076</v>
      </c>
      <c r="S1572" s="861" t="s">
        <v>8067</v>
      </c>
      <c r="T1572" s="866" t="s">
        <v>8068</v>
      </c>
      <c r="U1572" s="865"/>
    </row>
    <row r="1573" spans="1:21" ht="15">
      <c r="A1573" s="857"/>
      <c r="B1573" s="861" t="s">
        <v>8069</v>
      </c>
      <c r="C1573" s="861" t="s">
        <v>8070</v>
      </c>
      <c r="D1573" s="861" t="s">
        <v>371</v>
      </c>
      <c r="E1573" s="861"/>
      <c r="F1573" s="862"/>
      <c r="G1573" s="869" t="e">
        <v>#DIV/0!</v>
      </c>
      <c r="H1573" s="874">
        <v>594344.31999999995</v>
      </c>
      <c r="I1573" s="871"/>
      <c r="J1573" s="861"/>
      <c r="K1573" s="868">
        <f t="shared" si="118"/>
        <v>316</v>
      </c>
      <c r="L1573" s="861" t="s">
        <v>7901</v>
      </c>
      <c r="M1573" s="671">
        <f t="shared" si="119"/>
        <v>1571</v>
      </c>
      <c r="N1573" s="671" t="str">
        <f t="shared" si="120"/>
        <v>N/A</v>
      </c>
      <c r="O1573" s="671">
        <f t="shared" si="121"/>
        <v>708</v>
      </c>
      <c r="P1573" s="861" t="s">
        <v>951</v>
      </c>
      <c r="Q1573" s="861" t="s">
        <v>1790</v>
      </c>
      <c r="R1573" s="861" t="s">
        <v>2776</v>
      </c>
      <c r="S1573" s="861" t="s">
        <v>8071</v>
      </c>
      <c r="T1573" s="866" t="s">
        <v>8072</v>
      </c>
      <c r="U1573" s="865"/>
    </row>
    <row r="1574" spans="1:21" ht="15">
      <c r="A1574" s="672"/>
      <c r="B1574" s="861" t="s">
        <v>8073</v>
      </c>
      <c r="C1574" s="861" t="s">
        <v>8074</v>
      </c>
      <c r="D1574" s="861" t="s">
        <v>371</v>
      </c>
      <c r="E1574" s="861"/>
      <c r="F1574" s="862"/>
      <c r="G1574" s="870" t="s">
        <v>8075</v>
      </c>
      <c r="H1574" s="874">
        <v>558248.64</v>
      </c>
      <c r="I1574" s="871"/>
      <c r="J1574" s="861"/>
      <c r="K1574" s="868">
        <f t="shared" si="118"/>
        <v>316</v>
      </c>
      <c r="L1574" s="861"/>
      <c r="M1574" s="671">
        <f t="shared" si="119"/>
        <v>1572</v>
      </c>
      <c r="N1574" s="671" t="str">
        <f t="shared" si="120"/>
        <v>N/A</v>
      </c>
      <c r="O1574" s="671">
        <f t="shared" si="121"/>
        <v>708</v>
      </c>
      <c r="P1574" s="861"/>
      <c r="Q1574" s="861"/>
      <c r="R1574" s="861"/>
      <c r="S1574" s="861" t="s">
        <v>404</v>
      </c>
      <c r="T1574" s="866" t="s">
        <v>8076</v>
      </c>
      <c r="U1574" s="865"/>
    </row>
    <row r="1575" spans="1:21" ht="15">
      <c r="A1575" s="857"/>
      <c r="B1575" s="861" t="s">
        <v>8077</v>
      </c>
      <c r="C1575" s="861" t="s">
        <v>8078</v>
      </c>
      <c r="D1575" s="861" t="s">
        <v>371</v>
      </c>
      <c r="E1575" s="861"/>
      <c r="F1575" s="862"/>
      <c r="G1575" s="870" t="s">
        <v>8079</v>
      </c>
      <c r="H1575" s="874">
        <v>543250.64</v>
      </c>
      <c r="I1575" s="871"/>
      <c r="J1575" s="863" t="s">
        <v>2039</v>
      </c>
      <c r="K1575" s="868">
        <f t="shared" si="118"/>
        <v>316</v>
      </c>
      <c r="L1575" s="861" t="s">
        <v>2269</v>
      </c>
      <c r="M1575" s="671">
        <f t="shared" si="119"/>
        <v>1573</v>
      </c>
      <c r="N1575" s="671" t="str">
        <f t="shared" si="120"/>
        <v>N/A</v>
      </c>
      <c r="O1575" s="671" t="str">
        <f t="shared" si="121"/>
        <v>N/A</v>
      </c>
      <c r="P1575" s="861" t="s">
        <v>8080</v>
      </c>
      <c r="Q1575" s="861" t="s">
        <v>8081</v>
      </c>
      <c r="R1575" s="861" t="s">
        <v>827</v>
      </c>
      <c r="S1575" s="861" t="s">
        <v>8082</v>
      </c>
      <c r="T1575" s="866" t="s">
        <v>8083</v>
      </c>
      <c r="U1575" s="865"/>
    </row>
    <row r="1576" spans="1:21" ht="15">
      <c r="A1576" s="672"/>
      <c r="B1576" s="861" t="s">
        <v>8084</v>
      </c>
      <c r="C1576" s="861" t="s">
        <v>8085</v>
      </c>
      <c r="D1576" s="861" t="s">
        <v>371</v>
      </c>
      <c r="E1576" s="861"/>
      <c r="F1576" s="862"/>
      <c r="G1576" s="870" t="s">
        <v>8086</v>
      </c>
      <c r="H1576" s="874">
        <v>542028.72</v>
      </c>
      <c r="I1576" s="871"/>
      <c r="J1576" s="863"/>
      <c r="K1576" s="868">
        <f t="shared" si="118"/>
        <v>316</v>
      </c>
      <c r="L1576" s="861"/>
      <c r="M1576" s="671">
        <f t="shared" si="119"/>
        <v>1574</v>
      </c>
      <c r="N1576" s="671" t="str">
        <f t="shared" si="120"/>
        <v>N/A</v>
      </c>
      <c r="O1576" s="671">
        <f t="shared" si="121"/>
        <v>708</v>
      </c>
      <c r="P1576" s="861"/>
      <c r="Q1576" s="861"/>
      <c r="R1576" s="861"/>
      <c r="S1576" s="861" t="s">
        <v>1609</v>
      </c>
      <c r="T1576" s="866" t="s">
        <v>8087</v>
      </c>
      <c r="U1576" s="865"/>
    </row>
    <row r="1577" spans="1:21" ht="15">
      <c r="A1577" s="857"/>
      <c r="B1577" s="861" t="s">
        <v>8088</v>
      </c>
      <c r="C1577" s="861" t="s">
        <v>8089</v>
      </c>
      <c r="D1577" s="861" t="s">
        <v>371</v>
      </c>
      <c r="E1577" s="861"/>
      <c r="F1577" s="862"/>
      <c r="G1577" s="869">
        <v>0</v>
      </c>
      <c r="H1577" s="874">
        <v>540722.86</v>
      </c>
      <c r="I1577" s="871"/>
      <c r="J1577" s="861"/>
      <c r="K1577" s="868">
        <f t="shared" si="118"/>
        <v>316</v>
      </c>
      <c r="L1577" s="861" t="s">
        <v>487</v>
      </c>
      <c r="M1577" s="671">
        <f t="shared" si="119"/>
        <v>1575</v>
      </c>
      <c r="N1577" s="671" t="str">
        <f t="shared" si="120"/>
        <v>N/A</v>
      </c>
      <c r="O1577" s="671">
        <f t="shared" si="121"/>
        <v>708</v>
      </c>
      <c r="P1577" s="861" t="s">
        <v>7939</v>
      </c>
      <c r="Q1577" s="861" t="s">
        <v>8090</v>
      </c>
      <c r="R1577" s="861" t="s">
        <v>1252</v>
      </c>
      <c r="S1577" s="861" t="s">
        <v>8091</v>
      </c>
      <c r="T1577" s="866" t="s">
        <v>8092</v>
      </c>
      <c r="U1577" s="865"/>
    </row>
    <row r="1578" spans="1:21" ht="15">
      <c r="A1578" s="672"/>
      <c r="B1578" s="861" t="s">
        <v>8093</v>
      </c>
      <c r="C1578" s="861" t="s">
        <v>8094</v>
      </c>
      <c r="D1578" s="861" t="s">
        <v>371</v>
      </c>
      <c r="E1578" s="861"/>
      <c r="F1578" s="862"/>
      <c r="G1578" s="870" t="s">
        <v>8095</v>
      </c>
      <c r="H1578" s="874">
        <v>531388.68999999994</v>
      </c>
      <c r="I1578" s="871"/>
      <c r="J1578" s="863" t="s">
        <v>8096</v>
      </c>
      <c r="K1578" s="868">
        <f t="shared" si="118"/>
        <v>316</v>
      </c>
      <c r="L1578" s="863" t="s">
        <v>7650</v>
      </c>
      <c r="M1578" s="671">
        <f t="shared" si="119"/>
        <v>1576</v>
      </c>
      <c r="N1578" s="671" t="str">
        <f t="shared" si="120"/>
        <v>N/A</v>
      </c>
      <c r="O1578" s="671" t="str">
        <f t="shared" si="121"/>
        <v>N/A</v>
      </c>
      <c r="P1578" s="861" t="s">
        <v>8097</v>
      </c>
      <c r="Q1578" s="861"/>
      <c r="R1578" s="863" t="s">
        <v>4270</v>
      </c>
      <c r="S1578" s="861" t="s">
        <v>3547</v>
      </c>
      <c r="T1578" s="866" t="s">
        <v>8098</v>
      </c>
      <c r="U1578" s="865"/>
    </row>
    <row r="1579" spans="1:21" ht="15">
      <c r="A1579" s="857"/>
      <c r="B1579" s="861" t="s">
        <v>8099</v>
      </c>
      <c r="C1579" s="861" t="s">
        <v>8100</v>
      </c>
      <c r="D1579" s="861" t="s">
        <v>371</v>
      </c>
      <c r="E1579" s="861"/>
      <c r="F1579" s="862"/>
      <c r="G1579" s="870" t="s">
        <v>8101</v>
      </c>
      <c r="H1579" s="874">
        <v>523989.31</v>
      </c>
      <c r="I1579" s="871"/>
      <c r="J1579" s="861"/>
      <c r="K1579" s="868">
        <f t="shared" si="118"/>
        <v>316</v>
      </c>
      <c r="L1579" s="861"/>
      <c r="M1579" s="671">
        <f t="shared" si="119"/>
        <v>1577</v>
      </c>
      <c r="N1579" s="671" t="str">
        <f t="shared" si="120"/>
        <v>N/A</v>
      </c>
      <c r="O1579" s="671">
        <f t="shared" si="121"/>
        <v>708</v>
      </c>
      <c r="P1579" s="861"/>
      <c r="Q1579" s="861"/>
      <c r="R1579" s="861"/>
      <c r="S1579" s="861" t="s">
        <v>3901</v>
      </c>
      <c r="T1579" s="866" t="s">
        <v>8102</v>
      </c>
      <c r="U1579" s="865"/>
    </row>
    <row r="1580" spans="1:21" ht="15">
      <c r="A1580" s="672"/>
      <c r="B1580" s="861" t="s">
        <v>8103</v>
      </c>
      <c r="C1580" s="861" t="s">
        <v>8104</v>
      </c>
      <c r="D1580" s="861" t="s">
        <v>371</v>
      </c>
      <c r="E1580" s="861"/>
      <c r="F1580" s="862"/>
      <c r="G1580" s="869" t="e">
        <v>#DIV/0!</v>
      </c>
      <c r="H1580" s="874">
        <v>521175</v>
      </c>
      <c r="I1580" s="871"/>
      <c r="J1580" s="863" t="s">
        <v>8105</v>
      </c>
      <c r="K1580" s="868">
        <f t="shared" si="118"/>
        <v>316</v>
      </c>
      <c r="L1580" s="861"/>
      <c r="M1580" s="671">
        <f t="shared" si="119"/>
        <v>1578</v>
      </c>
      <c r="N1580" s="671" t="str">
        <f t="shared" si="120"/>
        <v>N/A</v>
      </c>
      <c r="O1580" s="671" t="str">
        <f t="shared" si="121"/>
        <v>N/A</v>
      </c>
      <c r="P1580" s="861" t="s">
        <v>8106</v>
      </c>
      <c r="Q1580" s="861" t="s">
        <v>8107</v>
      </c>
      <c r="R1580" s="861"/>
      <c r="S1580" s="861" t="s">
        <v>809</v>
      </c>
      <c r="T1580" s="866" t="s">
        <v>8108</v>
      </c>
      <c r="U1580" s="865"/>
    </row>
    <row r="1581" spans="1:21" ht="15">
      <c r="A1581" s="857"/>
      <c r="B1581" s="861" t="s">
        <v>8109</v>
      </c>
      <c r="C1581" s="861" t="s">
        <v>8110</v>
      </c>
      <c r="D1581" s="861" t="s">
        <v>371</v>
      </c>
      <c r="E1581" s="861"/>
      <c r="F1581" s="862"/>
      <c r="G1581" s="870" t="s">
        <v>8111</v>
      </c>
      <c r="H1581" s="874">
        <v>516083.5</v>
      </c>
      <c r="I1581" s="871"/>
      <c r="J1581" s="863" t="s">
        <v>8112</v>
      </c>
      <c r="K1581" s="868">
        <f t="shared" si="118"/>
        <v>316</v>
      </c>
      <c r="L1581" s="861" t="s">
        <v>1064</v>
      </c>
      <c r="M1581" s="671">
        <f t="shared" si="119"/>
        <v>1579</v>
      </c>
      <c r="N1581" s="671" t="str">
        <f t="shared" si="120"/>
        <v>N/A</v>
      </c>
      <c r="O1581" s="671" t="str">
        <f t="shared" si="121"/>
        <v>N/A</v>
      </c>
      <c r="P1581" s="861" t="s">
        <v>5372</v>
      </c>
      <c r="Q1581" s="861" t="s">
        <v>8113</v>
      </c>
      <c r="R1581" s="861" t="s">
        <v>2988</v>
      </c>
      <c r="S1581" s="861" t="s">
        <v>8114</v>
      </c>
      <c r="T1581" s="866" t="s">
        <v>8115</v>
      </c>
      <c r="U1581" s="865"/>
    </row>
    <row r="1582" spans="1:21" ht="15">
      <c r="A1582" s="672"/>
      <c r="B1582" s="861" t="s">
        <v>8116</v>
      </c>
      <c r="C1582" s="861" t="s">
        <v>8117</v>
      </c>
      <c r="D1582" s="861" t="s">
        <v>371</v>
      </c>
      <c r="E1582" s="861"/>
      <c r="F1582" s="862"/>
      <c r="G1582" s="870" t="s">
        <v>8118</v>
      </c>
      <c r="H1582" s="874">
        <v>514833.77</v>
      </c>
      <c r="I1582" s="871"/>
      <c r="J1582" s="863"/>
      <c r="K1582" s="868">
        <f t="shared" si="118"/>
        <v>316</v>
      </c>
      <c r="L1582" s="861"/>
      <c r="M1582" s="671">
        <f t="shared" si="119"/>
        <v>1580</v>
      </c>
      <c r="N1582" s="671" t="str">
        <f t="shared" si="120"/>
        <v>N/A</v>
      </c>
      <c r="O1582" s="671">
        <f t="shared" si="121"/>
        <v>708</v>
      </c>
      <c r="P1582" s="863" t="s">
        <v>5420</v>
      </c>
      <c r="Q1582" s="861"/>
      <c r="R1582" s="861"/>
      <c r="S1582" s="861" t="s">
        <v>979</v>
      </c>
      <c r="T1582" s="866" t="s">
        <v>8119</v>
      </c>
      <c r="U1582" s="865"/>
    </row>
    <row r="1583" spans="1:21" ht="15">
      <c r="A1583" s="857"/>
      <c r="B1583" s="861" t="s">
        <v>8120</v>
      </c>
      <c r="C1583" s="861" t="s">
        <v>8121</v>
      </c>
      <c r="D1583" s="861" t="s">
        <v>371</v>
      </c>
      <c r="E1583" s="861"/>
      <c r="F1583" s="862"/>
      <c r="G1583" s="870" t="s">
        <v>8122</v>
      </c>
      <c r="H1583" s="874">
        <v>512102.6</v>
      </c>
      <c r="I1583" s="871"/>
      <c r="J1583" s="863"/>
      <c r="K1583" s="868">
        <f t="shared" si="118"/>
        <v>316</v>
      </c>
      <c r="L1583" s="861"/>
      <c r="M1583" s="671">
        <f t="shared" si="119"/>
        <v>1581</v>
      </c>
      <c r="N1583" s="671" t="str">
        <f t="shared" si="120"/>
        <v>N/A</v>
      </c>
      <c r="O1583" s="671">
        <f t="shared" si="121"/>
        <v>708</v>
      </c>
      <c r="P1583" s="861" t="s">
        <v>1558</v>
      </c>
      <c r="Q1583" s="861"/>
      <c r="R1583" s="861"/>
      <c r="S1583" s="861" t="s">
        <v>454</v>
      </c>
      <c r="T1583" s="866" t="s">
        <v>8123</v>
      </c>
      <c r="U1583" s="865"/>
    </row>
    <row r="1584" spans="1:21" ht="15">
      <c r="A1584" s="672"/>
      <c r="B1584" s="861" t="s">
        <v>8124</v>
      </c>
      <c r="C1584" s="861" t="s">
        <v>8125</v>
      </c>
      <c r="D1584" s="861" t="s">
        <v>371</v>
      </c>
      <c r="E1584" s="861"/>
      <c r="F1584" s="862"/>
      <c r="G1584" s="870" t="s">
        <v>8126</v>
      </c>
      <c r="H1584" s="874">
        <v>511997.27</v>
      </c>
      <c r="I1584" s="871"/>
      <c r="J1584" s="863" t="s">
        <v>4820</v>
      </c>
      <c r="K1584" s="868">
        <f t="shared" si="118"/>
        <v>316</v>
      </c>
      <c r="L1584" s="861" t="s">
        <v>506</v>
      </c>
      <c r="M1584" s="671">
        <f t="shared" si="119"/>
        <v>1582</v>
      </c>
      <c r="N1584" s="671" t="str">
        <f t="shared" si="120"/>
        <v>N/A</v>
      </c>
      <c r="O1584" s="671" t="str">
        <f t="shared" si="121"/>
        <v>N/A</v>
      </c>
      <c r="P1584" s="861" t="s">
        <v>8127</v>
      </c>
      <c r="Q1584" s="861" t="s">
        <v>8128</v>
      </c>
      <c r="R1584" s="861" t="s">
        <v>506</v>
      </c>
      <c r="S1584" s="861" t="s">
        <v>3345</v>
      </c>
      <c r="T1584" s="866" t="s">
        <v>8129</v>
      </c>
      <c r="U1584" s="865"/>
    </row>
    <row r="1585" spans="1:21" ht="15">
      <c r="A1585" s="857"/>
      <c r="B1585" s="861" t="s">
        <v>8130</v>
      </c>
      <c r="C1585" s="861" t="s">
        <v>8131</v>
      </c>
      <c r="D1585" s="861" t="s">
        <v>371</v>
      </c>
      <c r="E1585" s="861"/>
      <c r="F1585" s="862"/>
      <c r="G1585" s="869">
        <v>0</v>
      </c>
      <c r="H1585" s="874">
        <v>478617.65</v>
      </c>
      <c r="I1585" s="871"/>
      <c r="J1585" s="863" t="s">
        <v>8132</v>
      </c>
      <c r="K1585" s="868">
        <f t="shared" si="118"/>
        <v>316</v>
      </c>
      <c r="L1585" s="861"/>
      <c r="M1585" s="671">
        <f t="shared" si="119"/>
        <v>1583</v>
      </c>
      <c r="N1585" s="671" t="str">
        <f t="shared" si="120"/>
        <v>N/A</v>
      </c>
      <c r="O1585" s="671" t="str">
        <f t="shared" si="121"/>
        <v>N/A</v>
      </c>
      <c r="P1585" s="861" t="s">
        <v>1816</v>
      </c>
      <c r="Q1585" s="861" t="s">
        <v>8133</v>
      </c>
      <c r="R1585" s="861"/>
      <c r="S1585" s="861" t="s">
        <v>6475</v>
      </c>
      <c r="T1585" s="866" t="s">
        <v>8134</v>
      </c>
      <c r="U1585" s="865"/>
    </row>
    <row r="1586" spans="1:21" ht="15">
      <c r="A1586" s="672"/>
      <c r="B1586" s="861" t="s">
        <v>8135</v>
      </c>
      <c r="C1586" s="861" t="s">
        <v>8136</v>
      </c>
      <c r="D1586" s="861" t="s">
        <v>371</v>
      </c>
      <c r="E1586" s="861"/>
      <c r="F1586" s="862"/>
      <c r="G1586" s="869">
        <v>0</v>
      </c>
      <c r="H1586" s="874">
        <v>458667.53</v>
      </c>
      <c r="I1586" s="871"/>
      <c r="J1586" s="863" t="s">
        <v>8137</v>
      </c>
      <c r="K1586" s="868">
        <f t="shared" si="118"/>
        <v>316</v>
      </c>
      <c r="L1586" s="861"/>
      <c r="M1586" s="671">
        <f t="shared" si="119"/>
        <v>1584</v>
      </c>
      <c r="N1586" s="671" t="str">
        <f t="shared" si="120"/>
        <v>N/A</v>
      </c>
      <c r="O1586" s="671" t="str">
        <f t="shared" si="121"/>
        <v>N/A</v>
      </c>
      <c r="P1586" s="861" t="s">
        <v>1707</v>
      </c>
      <c r="Q1586" s="861"/>
      <c r="R1586" s="861"/>
      <c r="S1586" s="861" t="s">
        <v>4984</v>
      </c>
      <c r="T1586" s="866" t="s">
        <v>8138</v>
      </c>
      <c r="U1586" s="865"/>
    </row>
    <row r="1587" spans="1:21" ht="15">
      <c r="A1587" s="857"/>
      <c r="B1587" s="861" t="s">
        <v>8139</v>
      </c>
      <c r="C1587" s="861" t="s">
        <v>8140</v>
      </c>
      <c r="D1587" s="861" t="s">
        <v>371</v>
      </c>
      <c r="E1587" s="861"/>
      <c r="F1587" s="862"/>
      <c r="G1587" s="870" t="s">
        <v>8141</v>
      </c>
      <c r="H1587" s="874">
        <v>451364.8</v>
      </c>
      <c r="I1587" s="871"/>
      <c r="J1587" s="861" t="s">
        <v>3441</v>
      </c>
      <c r="K1587" s="868">
        <f t="shared" si="118"/>
        <v>316</v>
      </c>
      <c r="L1587" s="861"/>
      <c r="M1587" s="671">
        <f t="shared" si="119"/>
        <v>1585</v>
      </c>
      <c r="N1587" s="671" t="str">
        <f t="shared" si="120"/>
        <v>N/A</v>
      </c>
      <c r="O1587" s="671" t="str">
        <f t="shared" si="121"/>
        <v>N/A</v>
      </c>
      <c r="P1587" s="861" t="s">
        <v>3159</v>
      </c>
      <c r="Q1587" s="861" t="s">
        <v>8142</v>
      </c>
      <c r="R1587" s="861"/>
      <c r="S1587" s="861" t="s">
        <v>1440</v>
      </c>
      <c r="T1587" s="866" t="s">
        <v>8143</v>
      </c>
      <c r="U1587" s="865"/>
    </row>
    <row r="1588" spans="1:21" ht="15">
      <c r="A1588" s="672"/>
      <c r="B1588" s="861" t="s">
        <v>8144</v>
      </c>
      <c r="C1588" s="861" t="s">
        <v>8145</v>
      </c>
      <c r="D1588" s="861" t="s">
        <v>371</v>
      </c>
      <c r="E1588" s="861"/>
      <c r="F1588" s="862"/>
      <c r="G1588" s="869">
        <v>30.752438730000001</v>
      </c>
      <c r="H1588" s="874">
        <v>450740.64</v>
      </c>
      <c r="I1588" s="871"/>
      <c r="J1588" s="861"/>
      <c r="K1588" s="868">
        <f t="shared" si="118"/>
        <v>316</v>
      </c>
      <c r="L1588" s="861"/>
      <c r="M1588" s="671">
        <f t="shared" si="119"/>
        <v>1586</v>
      </c>
      <c r="N1588" s="671" t="str">
        <f t="shared" si="120"/>
        <v>N/A</v>
      </c>
      <c r="O1588" s="671">
        <f t="shared" si="121"/>
        <v>708</v>
      </c>
      <c r="P1588" s="861"/>
      <c r="Q1588" s="861"/>
      <c r="R1588" s="861"/>
      <c r="S1588" s="861" t="s">
        <v>550</v>
      </c>
      <c r="T1588" s="866" t="s">
        <v>8146</v>
      </c>
      <c r="U1588" s="865"/>
    </row>
    <row r="1589" spans="1:21" ht="15">
      <c r="A1589" s="857"/>
      <c r="B1589" s="861" t="s">
        <v>8147</v>
      </c>
      <c r="C1589" s="861" t="s">
        <v>8148</v>
      </c>
      <c r="D1589" s="861" t="s">
        <v>371</v>
      </c>
      <c r="E1589" s="861"/>
      <c r="F1589" s="862"/>
      <c r="G1589" s="869" t="e">
        <v>#DIV/0!</v>
      </c>
      <c r="H1589" s="874">
        <v>441823.31</v>
      </c>
      <c r="I1589" s="871"/>
      <c r="J1589" s="861"/>
      <c r="K1589" s="868">
        <f t="shared" si="118"/>
        <v>316</v>
      </c>
      <c r="L1589" s="861"/>
      <c r="M1589" s="671">
        <f t="shared" si="119"/>
        <v>1587</v>
      </c>
      <c r="N1589" s="671" t="str">
        <f t="shared" si="120"/>
        <v>N/A</v>
      </c>
      <c r="O1589" s="671">
        <f t="shared" si="121"/>
        <v>708</v>
      </c>
      <c r="P1589" s="861"/>
      <c r="Q1589" s="861"/>
      <c r="R1589" s="861"/>
      <c r="S1589" s="861" t="s">
        <v>2675</v>
      </c>
      <c r="T1589" s="866" t="s">
        <v>8149</v>
      </c>
      <c r="U1589" s="865"/>
    </row>
    <row r="1590" spans="1:21" ht="15">
      <c r="A1590" s="672"/>
      <c r="B1590" s="861" t="s">
        <v>8150</v>
      </c>
      <c r="C1590" s="861" t="s">
        <v>8151</v>
      </c>
      <c r="D1590" s="861" t="s">
        <v>371</v>
      </c>
      <c r="E1590" s="861"/>
      <c r="F1590" s="862"/>
      <c r="G1590" s="869" t="e">
        <v>#DIV/0!</v>
      </c>
      <c r="H1590" s="874">
        <v>411678.34</v>
      </c>
      <c r="I1590" s="871"/>
      <c r="J1590" s="863" t="s">
        <v>8152</v>
      </c>
      <c r="K1590" s="868">
        <f t="shared" si="118"/>
        <v>316</v>
      </c>
      <c r="L1590" s="863" t="s">
        <v>1520</v>
      </c>
      <c r="M1590" s="671">
        <f t="shared" si="119"/>
        <v>1588</v>
      </c>
      <c r="N1590" s="671" t="str">
        <f t="shared" si="120"/>
        <v>N/A</v>
      </c>
      <c r="O1590" s="671" t="str">
        <f t="shared" si="121"/>
        <v>N/A</v>
      </c>
      <c r="P1590" s="861" t="s">
        <v>2434</v>
      </c>
      <c r="Q1590" s="861"/>
      <c r="R1590" s="863" t="s">
        <v>937</v>
      </c>
      <c r="S1590" s="861" t="s">
        <v>2920</v>
      </c>
      <c r="T1590" s="866" t="s">
        <v>8153</v>
      </c>
      <c r="U1590" s="865"/>
    </row>
    <row r="1591" spans="1:21" ht="15">
      <c r="A1591" s="857"/>
      <c r="B1591" s="861" t="s">
        <v>8154</v>
      </c>
      <c r="C1591" s="861" t="s">
        <v>8155</v>
      </c>
      <c r="D1591" s="861" t="s">
        <v>371</v>
      </c>
      <c r="E1591" s="861"/>
      <c r="F1591" s="862"/>
      <c r="G1591" s="869" t="e">
        <v>#DIV/0!</v>
      </c>
      <c r="H1591" s="874">
        <v>386885.25</v>
      </c>
      <c r="I1591" s="871"/>
      <c r="J1591" s="863"/>
      <c r="K1591" s="868">
        <f t="shared" si="118"/>
        <v>316</v>
      </c>
      <c r="L1591" s="861" t="s">
        <v>2069</v>
      </c>
      <c r="M1591" s="671">
        <f t="shared" si="119"/>
        <v>1589</v>
      </c>
      <c r="N1591" s="671" t="str">
        <f t="shared" si="120"/>
        <v>N/A</v>
      </c>
      <c r="O1591" s="671">
        <f t="shared" si="121"/>
        <v>708</v>
      </c>
      <c r="P1591" s="861" t="s">
        <v>2140</v>
      </c>
      <c r="Q1591" s="861"/>
      <c r="R1591" s="863" t="s">
        <v>8156</v>
      </c>
      <c r="S1591" s="861" t="s">
        <v>6464</v>
      </c>
      <c r="T1591" s="866" t="s">
        <v>8157</v>
      </c>
      <c r="U1591" s="865"/>
    </row>
    <row r="1592" spans="1:21" ht="15">
      <c r="A1592" s="672"/>
      <c r="B1592" s="861" t="s">
        <v>8158</v>
      </c>
      <c r="C1592" s="861" t="s">
        <v>8159</v>
      </c>
      <c r="D1592" s="861" t="s">
        <v>371</v>
      </c>
      <c r="E1592" s="861"/>
      <c r="F1592" s="862"/>
      <c r="G1592" s="870" t="s">
        <v>8160</v>
      </c>
      <c r="H1592" s="874">
        <v>385072.76</v>
      </c>
      <c r="I1592" s="871"/>
      <c r="J1592" s="863" t="s">
        <v>8161</v>
      </c>
      <c r="K1592" s="868">
        <f t="shared" si="118"/>
        <v>316</v>
      </c>
      <c r="L1592" s="863" t="s">
        <v>6552</v>
      </c>
      <c r="M1592" s="671">
        <f t="shared" si="119"/>
        <v>1590</v>
      </c>
      <c r="N1592" s="671" t="str">
        <f t="shared" si="120"/>
        <v>N/A</v>
      </c>
      <c r="O1592" s="671" t="str">
        <f t="shared" si="121"/>
        <v>N/A</v>
      </c>
      <c r="P1592" s="861" t="s">
        <v>6482</v>
      </c>
      <c r="Q1592" s="861"/>
      <c r="R1592" s="863" t="s">
        <v>1030</v>
      </c>
      <c r="S1592" s="861" t="s">
        <v>1530</v>
      </c>
      <c r="T1592" s="866" t="s">
        <v>8162</v>
      </c>
      <c r="U1592" s="865"/>
    </row>
    <row r="1593" spans="1:21" ht="15">
      <c r="A1593" s="857"/>
      <c r="B1593" s="861" t="s">
        <v>8163</v>
      </c>
      <c r="C1593" s="861" t="s">
        <v>8164</v>
      </c>
      <c r="D1593" s="861" t="s">
        <v>371</v>
      </c>
      <c r="E1593" s="861"/>
      <c r="F1593" s="862"/>
      <c r="G1593" s="870" t="s">
        <v>8165</v>
      </c>
      <c r="H1593" s="874">
        <v>375402.78</v>
      </c>
      <c r="I1593" s="871"/>
      <c r="J1593" s="863"/>
      <c r="K1593" s="868">
        <f t="shared" si="118"/>
        <v>316</v>
      </c>
      <c r="L1593" s="863" t="s">
        <v>1030</v>
      </c>
      <c r="M1593" s="671">
        <f t="shared" si="119"/>
        <v>1591</v>
      </c>
      <c r="N1593" s="671" t="str">
        <f t="shared" si="120"/>
        <v>N/A</v>
      </c>
      <c r="O1593" s="671">
        <f t="shared" si="121"/>
        <v>708</v>
      </c>
      <c r="P1593" s="861" t="s">
        <v>672</v>
      </c>
      <c r="Q1593" s="861"/>
      <c r="R1593" s="861" t="s">
        <v>819</v>
      </c>
      <c r="S1593" s="861" t="s">
        <v>2497</v>
      </c>
      <c r="T1593" s="866" t="s">
        <v>8166</v>
      </c>
      <c r="U1593" s="865"/>
    </row>
    <row r="1594" spans="1:21" ht="15">
      <c r="A1594" s="672"/>
      <c r="B1594" s="861" t="s">
        <v>8167</v>
      </c>
      <c r="C1594" s="861" t="s">
        <v>8168</v>
      </c>
      <c r="D1594" s="861" t="s">
        <v>371</v>
      </c>
      <c r="E1594" s="861"/>
      <c r="F1594" s="862"/>
      <c r="G1594" s="870" t="s">
        <v>8169</v>
      </c>
      <c r="H1594" s="874">
        <v>358839.15</v>
      </c>
      <c r="I1594" s="871"/>
      <c r="J1594" s="863"/>
      <c r="K1594" s="868">
        <f t="shared" si="118"/>
        <v>316</v>
      </c>
      <c r="L1594" s="863" t="s">
        <v>945</v>
      </c>
      <c r="M1594" s="671">
        <f t="shared" si="119"/>
        <v>1592</v>
      </c>
      <c r="N1594" s="671" t="str">
        <f t="shared" si="120"/>
        <v>N/A</v>
      </c>
      <c r="O1594" s="671">
        <f t="shared" si="121"/>
        <v>708</v>
      </c>
      <c r="P1594" s="861" t="s">
        <v>8170</v>
      </c>
      <c r="Q1594" s="861"/>
      <c r="R1594" s="863" t="s">
        <v>6552</v>
      </c>
      <c r="S1594" s="861" t="s">
        <v>2772</v>
      </c>
      <c r="T1594" s="866" t="s">
        <v>8171</v>
      </c>
      <c r="U1594" s="865"/>
    </row>
    <row r="1595" spans="1:21" ht="15">
      <c r="A1595" s="857"/>
      <c r="B1595" s="861" t="s">
        <v>8172</v>
      </c>
      <c r="C1595" s="861" t="s">
        <v>8173</v>
      </c>
      <c r="D1595" s="861" t="s">
        <v>371</v>
      </c>
      <c r="E1595" s="861"/>
      <c r="F1595" s="862"/>
      <c r="G1595" s="870" t="s">
        <v>8174</v>
      </c>
      <c r="H1595" s="874">
        <v>347220.55</v>
      </c>
      <c r="I1595" s="871"/>
      <c r="J1595" s="861"/>
      <c r="K1595" s="868">
        <f t="shared" si="118"/>
        <v>316</v>
      </c>
      <c r="L1595" s="861" t="s">
        <v>2062</v>
      </c>
      <c r="M1595" s="671">
        <f t="shared" si="119"/>
        <v>1593</v>
      </c>
      <c r="N1595" s="671" t="str">
        <f t="shared" si="120"/>
        <v>N/A</v>
      </c>
      <c r="O1595" s="671">
        <f t="shared" si="121"/>
        <v>708</v>
      </c>
      <c r="P1595" s="861" t="s">
        <v>8175</v>
      </c>
      <c r="Q1595" s="861" t="s">
        <v>8176</v>
      </c>
      <c r="R1595" s="861" t="s">
        <v>1848</v>
      </c>
      <c r="S1595" s="861" t="s">
        <v>8177</v>
      </c>
      <c r="T1595" s="866" t="s">
        <v>8178</v>
      </c>
      <c r="U1595" s="865"/>
    </row>
    <row r="1596" spans="1:21" ht="15">
      <c r="A1596" s="672"/>
      <c r="B1596" s="861" t="s">
        <v>8179</v>
      </c>
      <c r="C1596" s="861" t="s">
        <v>8180</v>
      </c>
      <c r="D1596" s="861" t="s">
        <v>371</v>
      </c>
      <c r="E1596" s="861"/>
      <c r="F1596" s="862"/>
      <c r="G1596" s="869" t="e">
        <v>#DIV/0!</v>
      </c>
      <c r="H1596" s="874">
        <v>334610.86</v>
      </c>
      <c r="I1596" s="871"/>
      <c r="J1596" s="863"/>
      <c r="K1596" s="868">
        <f t="shared" si="118"/>
        <v>316</v>
      </c>
      <c r="L1596" s="861"/>
      <c r="M1596" s="671">
        <f t="shared" si="119"/>
        <v>1594</v>
      </c>
      <c r="N1596" s="671" t="str">
        <f t="shared" si="120"/>
        <v>N/A</v>
      </c>
      <c r="O1596" s="671">
        <f t="shared" si="121"/>
        <v>708</v>
      </c>
      <c r="P1596" s="861" t="s">
        <v>2459</v>
      </c>
      <c r="Q1596" s="861" t="s">
        <v>762</v>
      </c>
      <c r="R1596" s="861"/>
      <c r="S1596" s="861" t="s">
        <v>1665</v>
      </c>
      <c r="T1596" s="866" t="s">
        <v>8181</v>
      </c>
      <c r="U1596" s="865"/>
    </row>
    <row r="1597" spans="1:21" ht="15">
      <c r="A1597" s="857"/>
      <c r="B1597" s="861" t="s">
        <v>8182</v>
      </c>
      <c r="C1597" s="861" t="s">
        <v>8183</v>
      </c>
      <c r="D1597" s="861" t="s">
        <v>371</v>
      </c>
      <c r="E1597" s="861"/>
      <c r="F1597" s="862"/>
      <c r="G1597" s="869" t="e">
        <v>#DIV/0!</v>
      </c>
      <c r="H1597" s="874">
        <v>334475.81</v>
      </c>
      <c r="I1597" s="871"/>
      <c r="J1597" s="861" t="s">
        <v>3441</v>
      </c>
      <c r="K1597" s="868">
        <f t="shared" si="118"/>
        <v>316</v>
      </c>
      <c r="L1597" s="863" t="s">
        <v>1520</v>
      </c>
      <c r="M1597" s="671">
        <f t="shared" si="119"/>
        <v>1595</v>
      </c>
      <c r="N1597" s="671" t="str">
        <f t="shared" si="120"/>
        <v>N/A</v>
      </c>
      <c r="O1597" s="671" t="str">
        <f t="shared" si="121"/>
        <v>N/A</v>
      </c>
      <c r="P1597" s="861" t="s">
        <v>1645</v>
      </c>
      <c r="Q1597" s="861"/>
      <c r="R1597" s="863" t="s">
        <v>4564</v>
      </c>
      <c r="S1597" s="861" t="s">
        <v>8184</v>
      </c>
      <c r="T1597" s="866" t="s">
        <v>8185</v>
      </c>
      <c r="U1597" s="865"/>
    </row>
    <row r="1598" spans="1:21" ht="15">
      <c r="A1598" s="672"/>
      <c r="B1598" s="861" t="s">
        <v>8186</v>
      </c>
      <c r="C1598" s="861" t="s">
        <v>8187</v>
      </c>
      <c r="D1598" s="861" t="s">
        <v>371</v>
      </c>
      <c r="E1598" s="861"/>
      <c r="F1598" s="862"/>
      <c r="G1598" s="870" t="s">
        <v>8188</v>
      </c>
      <c r="H1598" s="874">
        <v>331506.11</v>
      </c>
      <c r="I1598" s="871"/>
      <c r="J1598" s="861"/>
      <c r="K1598" s="868">
        <f t="shared" si="118"/>
        <v>316</v>
      </c>
      <c r="L1598" s="861" t="s">
        <v>1665</v>
      </c>
      <c r="M1598" s="671">
        <f t="shared" si="119"/>
        <v>1596</v>
      </c>
      <c r="N1598" s="671" t="str">
        <f t="shared" si="120"/>
        <v>N/A</v>
      </c>
      <c r="O1598" s="671">
        <f t="shared" si="121"/>
        <v>708</v>
      </c>
      <c r="P1598" s="861" t="s">
        <v>2937</v>
      </c>
      <c r="Q1598" s="861" t="s">
        <v>673</v>
      </c>
      <c r="R1598" s="861" t="s">
        <v>819</v>
      </c>
      <c r="S1598" s="861" t="s">
        <v>3024</v>
      </c>
      <c r="T1598" s="866" t="s">
        <v>8189</v>
      </c>
      <c r="U1598" s="865"/>
    </row>
    <row r="1599" spans="1:21" ht="15">
      <c r="A1599" s="857"/>
      <c r="B1599" s="861" t="s">
        <v>8190</v>
      </c>
      <c r="C1599" s="861" t="s">
        <v>8191</v>
      </c>
      <c r="D1599" s="861" t="s">
        <v>371</v>
      </c>
      <c r="E1599" s="861"/>
      <c r="F1599" s="862"/>
      <c r="G1599" s="870" t="s">
        <v>8192</v>
      </c>
      <c r="H1599" s="874">
        <v>318324.7</v>
      </c>
      <c r="I1599" s="871"/>
      <c r="J1599" s="863"/>
      <c r="K1599" s="868">
        <f t="shared" si="118"/>
        <v>316</v>
      </c>
      <c r="L1599" s="863" t="s">
        <v>4078</v>
      </c>
      <c r="M1599" s="671">
        <f t="shared" si="119"/>
        <v>1597</v>
      </c>
      <c r="N1599" s="671" t="str">
        <f t="shared" si="120"/>
        <v>N/A</v>
      </c>
      <c r="O1599" s="671">
        <f t="shared" si="121"/>
        <v>708</v>
      </c>
      <c r="P1599" s="861" t="s">
        <v>3241</v>
      </c>
      <c r="Q1599" s="861"/>
      <c r="R1599" s="863" t="s">
        <v>8193</v>
      </c>
      <c r="S1599" s="861" t="s">
        <v>8194</v>
      </c>
      <c r="T1599" s="866" t="s">
        <v>8195</v>
      </c>
      <c r="U1599" s="865"/>
    </row>
    <row r="1600" spans="1:21" ht="15">
      <c r="A1600" s="672"/>
      <c r="B1600" s="861" t="s">
        <v>8196</v>
      </c>
      <c r="C1600" s="861" t="s">
        <v>8197</v>
      </c>
      <c r="D1600" s="861" t="s">
        <v>371</v>
      </c>
      <c r="E1600" s="861"/>
      <c r="F1600" s="862"/>
      <c r="G1600" s="869" t="e">
        <v>#DIV/0!</v>
      </c>
      <c r="H1600" s="874">
        <v>305950.06</v>
      </c>
      <c r="I1600" s="871"/>
      <c r="J1600" s="863" t="s">
        <v>8198</v>
      </c>
      <c r="K1600" s="868">
        <f t="shared" si="118"/>
        <v>316</v>
      </c>
      <c r="L1600" s="863" t="s">
        <v>1032</v>
      </c>
      <c r="M1600" s="671">
        <f t="shared" si="119"/>
        <v>1598</v>
      </c>
      <c r="N1600" s="671" t="str">
        <f t="shared" si="120"/>
        <v>N/A</v>
      </c>
      <c r="O1600" s="671" t="str">
        <f t="shared" si="121"/>
        <v>N/A</v>
      </c>
      <c r="P1600" s="861" t="s">
        <v>1311</v>
      </c>
      <c r="Q1600" s="861"/>
      <c r="R1600" s="863" t="s">
        <v>6098</v>
      </c>
      <c r="S1600" s="861" t="s">
        <v>8199</v>
      </c>
      <c r="T1600" s="866" t="s">
        <v>8200</v>
      </c>
      <c r="U1600" s="865"/>
    </row>
    <row r="1601" spans="1:21" ht="15">
      <c r="A1601" s="857"/>
      <c r="B1601" s="861" t="s">
        <v>8201</v>
      </c>
      <c r="C1601" s="861" t="s">
        <v>8202</v>
      </c>
      <c r="D1601" s="861" t="s">
        <v>371</v>
      </c>
      <c r="E1601" s="861"/>
      <c r="F1601" s="862"/>
      <c r="G1601" s="870" t="s">
        <v>8203</v>
      </c>
      <c r="H1601" s="874">
        <v>301350.98</v>
      </c>
      <c r="I1601" s="871"/>
      <c r="J1601" s="863"/>
      <c r="K1601" s="868">
        <f t="shared" si="118"/>
        <v>316</v>
      </c>
      <c r="L1601" s="861"/>
      <c r="M1601" s="671">
        <f t="shared" si="119"/>
        <v>1599</v>
      </c>
      <c r="N1601" s="671" t="str">
        <f t="shared" si="120"/>
        <v>N/A</v>
      </c>
      <c r="O1601" s="671">
        <f t="shared" si="121"/>
        <v>708</v>
      </c>
      <c r="P1601" s="861" t="s">
        <v>1893</v>
      </c>
      <c r="Q1601" s="861" t="s">
        <v>8204</v>
      </c>
      <c r="R1601" s="861"/>
      <c r="S1601" s="861" t="s">
        <v>1165</v>
      </c>
      <c r="T1601" s="866" t="s">
        <v>8205</v>
      </c>
      <c r="U1601" s="865"/>
    </row>
    <row r="1602" spans="1:21" ht="15">
      <c r="A1602" s="672"/>
      <c r="B1602" s="861" t="s">
        <v>8206</v>
      </c>
      <c r="C1602" s="861" t="s">
        <v>8207</v>
      </c>
      <c r="D1602" s="861" t="s">
        <v>371</v>
      </c>
      <c r="E1602" s="861"/>
      <c r="F1602" s="862"/>
      <c r="G1602" s="870" t="s">
        <v>8208</v>
      </c>
      <c r="H1602" s="874">
        <v>301340.65000000002</v>
      </c>
      <c r="I1602" s="871"/>
      <c r="J1602" s="861"/>
      <c r="K1602" s="868">
        <f t="shared" si="118"/>
        <v>316</v>
      </c>
      <c r="L1602" s="861"/>
      <c r="M1602" s="671">
        <f t="shared" si="119"/>
        <v>1600</v>
      </c>
      <c r="N1602" s="671" t="str">
        <f t="shared" si="120"/>
        <v>N/A</v>
      </c>
      <c r="O1602" s="671">
        <f t="shared" si="121"/>
        <v>708</v>
      </c>
      <c r="P1602" s="861" t="s">
        <v>5363</v>
      </c>
      <c r="Q1602" s="861" t="s">
        <v>8209</v>
      </c>
      <c r="R1602" s="861"/>
      <c r="S1602" s="861" t="s">
        <v>4637</v>
      </c>
      <c r="T1602" s="866" t="s">
        <v>3478</v>
      </c>
      <c r="U1602" s="865"/>
    </row>
    <row r="1603" spans="1:21" ht="15">
      <c r="A1603" s="857"/>
      <c r="B1603" s="861" t="s">
        <v>8210</v>
      </c>
      <c r="C1603" s="861" t="s">
        <v>8211</v>
      </c>
      <c r="D1603" s="861" t="s">
        <v>371</v>
      </c>
      <c r="E1603" s="861"/>
      <c r="F1603" s="862">
        <v>-3.91</v>
      </c>
      <c r="G1603" s="870" t="s">
        <v>8212</v>
      </c>
      <c r="H1603" s="874">
        <v>300876.99</v>
      </c>
      <c r="I1603" s="871"/>
      <c r="J1603" s="861"/>
      <c r="K1603" s="868">
        <f t="shared" si="118"/>
        <v>502</v>
      </c>
      <c r="L1603" s="861" t="s">
        <v>2269</v>
      </c>
      <c r="M1603" s="671">
        <f t="shared" si="119"/>
        <v>1601</v>
      </c>
      <c r="N1603" s="671" t="str">
        <f t="shared" si="120"/>
        <v>N/A</v>
      </c>
      <c r="O1603" s="671">
        <f t="shared" si="121"/>
        <v>708</v>
      </c>
      <c r="P1603" s="861" t="s">
        <v>3721</v>
      </c>
      <c r="Q1603" s="861" t="s">
        <v>8213</v>
      </c>
      <c r="R1603" s="861"/>
      <c r="S1603" s="861" t="s">
        <v>8214</v>
      </c>
      <c r="T1603" s="866" t="s">
        <v>8215</v>
      </c>
      <c r="U1603" s="865"/>
    </row>
    <row r="1604" spans="1:21" ht="15">
      <c r="A1604" s="672"/>
      <c r="B1604" s="861" t="s">
        <v>8216</v>
      </c>
      <c r="C1604" s="861" t="s">
        <v>8217</v>
      </c>
      <c r="D1604" s="861" t="s">
        <v>371</v>
      </c>
      <c r="E1604" s="861"/>
      <c r="F1604" s="862"/>
      <c r="G1604" s="869">
        <v>0</v>
      </c>
      <c r="H1604" s="874">
        <v>295187.20000000001</v>
      </c>
      <c r="I1604" s="871"/>
      <c r="J1604" s="863"/>
      <c r="K1604" s="868">
        <f t="shared" ref="K1604:K1667" si="122">IFERROR(_xlfn.RANK.EQ(F1604,F$3:F$1770),"N/A")</f>
        <v>316</v>
      </c>
      <c r="L1604" s="861"/>
      <c r="M1604" s="671">
        <f t="shared" ref="M1604:M1667" si="123">IFERROR(_xlfn.RANK.EQ(H1604,H$3:H$1770),"N/A")</f>
        <v>1602</v>
      </c>
      <c r="N1604" s="671" t="str">
        <f t="shared" ref="N1604:N1667" si="124">IFERROR(_xlfn.RANK.EQ(I1604,I$3:I$1770),"N/A")</f>
        <v>N/A</v>
      </c>
      <c r="O1604" s="671">
        <f t="shared" ref="O1604:O1667" si="125">IFERROR(_xlfn.RANK.EQ(J1604,J$3:J$1770),"N/A")</f>
        <v>708</v>
      </c>
      <c r="P1604" s="861" t="s">
        <v>8218</v>
      </c>
      <c r="Q1604" s="861"/>
      <c r="R1604" s="861"/>
      <c r="S1604" s="861" t="s">
        <v>833</v>
      </c>
      <c r="T1604" s="866" t="s">
        <v>8219</v>
      </c>
      <c r="U1604" s="865"/>
    </row>
    <row r="1605" spans="1:21" ht="15">
      <c r="A1605" s="857"/>
      <c r="B1605" s="861" t="s">
        <v>8220</v>
      </c>
      <c r="C1605" s="861" t="s">
        <v>8221</v>
      </c>
      <c r="D1605" s="861" t="s">
        <v>371</v>
      </c>
      <c r="E1605" s="861"/>
      <c r="F1605" s="862"/>
      <c r="G1605" s="870" t="s">
        <v>8222</v>
      </c>
      <c r="H1605" s="874">
        <v>288061.02</v>
      </c>
      <c r="I1605" s="871"/>
      <c r="J1605" s="863"/>
      <c r="K1605" s="868">
        <f t="shared" si="122"/>
        <v>316</v>
      </c>
      <c r="L1605" s="863" t="s">
        <v>2094</v>
      </c>
      <c r="M1605" s="671">
        <f t="shared" si="123"/>
        <v>1603</v>
      </c>
      <c r="N1605" s="671" t="str">
        <f t="shared" si="124"/>
        <v>N/A</v>
      </c>
      <c r="O1605" s="671">
        <f t="shared" si="125"/>
        <v>708</v>
      </c>
      <c r="P1605" s="861" t="s">
        <v>8223</v>
      </c>
      <c r="Q1605" s="861"/>
      <c r="R1605" s="863" t="s">
        <v>8016</v>
      </c>
      <c r="S1605" s="861" t="s">
        <v>8224</v>
      </c>
      <c r="T1605" s="866" t="s">
        <v>8225</v>
      </c>
      <c r="U1605" s="865"/>
    </row>
    <row r="1606" spans="1:21" ht="15">
      <c r="A1606" s="672"/>
      <c r="B1606" s="861" t="s">
        <v>8226</v>
      </c>
      <c r="C1606" s="861" t="s">
        <v>8227</v>
      </c>
      <c r="D1606" s="861" t="s">
        <v>371</v>
      </c>
      <c r="E1606" s="861"/>
      <c r="F1606" s="862"/>
      <c r="G1606" s="870" t="s">
        <v>8228</v>
      </c>
      <c r="H1606" s="874">
        <v>279778.14</v>
      </c>
      <c r="I1606" s="871"/>
      <c r="J1606" s="863"/>
      <c r="K1606" s="868">
        <f t="shared" si="122"/>
        <v>316</v>
      </c>
      <c r="L1606" s="863" t="s">
        <v>4456</v>
      </c>
      <c r="M1606" s="671">
        <f t="shared" si="123"/>
        <v>1604</v>
      </c>
      <c r="N1606" s="671" t="str">
        <f t="shared" si="124"/>
        <v>N/A</v>
      </c>
      <c r="O1606" s="671">
        <f t="shared" si="125"/>
        <v>708</v>
      </c>
      <c r="P1606" s="861" t="s">
        <v>2103</v>
      </c>
      <c r="Q1606" s="861"/>
      <c r="R1606" s="861"/>
      <c r="S1606" s="861" t="s">
        <v>979</v>
      </c>
      <c r="T1606" s="866" t="s">
        <v>8229</v>
      </c>
      <c r="U1606" s="865"/>
    </row>
    <row r="1607" spans="1:21" ht="15">
      <c r="A1607" s="857"/>
      <c r="B1607" s="861" t="s">
        <v>8230</v>
      </c>
      <c r="C1607" s="861" t="s">
        <v>8231</v>
      </c>
      <c r="D1607" s="861" t="s">
        <v>371</v>
      </c>
      <c r="E1607" s="861"/>
      <c r="F1607" s="862"/>
      <c r="G1607" s="869">
        <v>0</v>
      </c>
      <c r="H1607" s="874">
        <v>273640.65000000002</v>
      </c>
      <c r="I1607" s="871"/>
      <c r="J1607" s="861"/>
      <c r="K1607" s="868">
        <f t="shared" si="122"/>
        <v>316</v>
      </c>
      <c r="L1607" s="861" t="s">
        <v>690</v>
      </c>
      <c r="M1607" s="671">
        <f t="shared" si="123"/>
        <v>1605</v>
      </c>
      <c r="N1607" s="671" t="str">
        <f t="shared" si="124"/>
        <v>N/A</v>
      </c>
      <c r="O1607" s="671">
        <f t="shared" si="125"/>
        <v>708</v>
      </c>
      <c r="P1607" s="861" t="s">
        <v>4548</v>
      </c>
      <c r="Q1607" s="861" t="s">
        <v>2104</v>
      </c>
      <c r="R1607" s="861" t="s">
        <v>819</v>
      </c>
      <c r="S1607" s="861" t="s">
        <v>1654</v>
      </c>
      <c r="T1607" s="866" t="s">
        <v>8232</v>
      </c>
      <c r="U1607" s="865"/>
    </row>
    <row r="1608" spans="1:21" ht="15">
      <c r="A1608" s="672"/>
      <c r="B1608" s="861" t="s">
        <v>8233</v>
      </c>
      <c r="C1608" s="861" t="s">
        <v>8234</v>
      </c>
      <c r="D1608" s="861" t="s">
        <v>371</v>
      </c>
      <c r="E1608" s="861"/>
      <c r="F1608" s="862"/>
      <c r="G1608" s="869" t="e">
        <v>#DIV/0!</v>
      </c>
      <c r="H1608" s="874">
        <v>264310.59999999998</v>
      </c>
      <c r="I1608" s="871"/>
      <c r="J1608" s="861"/>
      <c r="K1608" s="868">
        <f t="shared" si="122"/>
        <v>316</v>
      </c>
      <c r="L1608" s="861"/>
      <c r="M1608" s="671">
        <f t="shared" si="123"/>
        <v>1606</v>
      </c>
      <c r="N1608" s="671" t="str">
        <f t="shared" si="124"/>
        <v>N/A</v>
      </c>
      <c r="O1608" s="671">
        <f t="shared" si="125"/>
        <v>708</v>
      </c>
      <c r="P1608" s="861" t="s">
        <v>487</v>
      </c>
      <c r="Q1608" s="861" t="s">
        <v>8235</v>
      </c>
      <c r="R1608" s="861"/>
      <c r="S1608" s="861" t="s">
        <v>2851</v>
      </c>
      <c r="T1608" s="866" t="s">
        <v>8236</v>
      </c>
      <c r="U1608" s="865"/>
    </row>
    <row r="1609" spans="1:21" ht="15">
      <c r="A1609" s="857"/>
      <c r="B1609" s="861" t="s">
        <v>8237</v>
      </c>
      <c r="C1609" s="861" t="s">
        <v>8238</v>
      </c>
      <c r="D1609" s="861" t="s">
        <v>371</v>
      </c>
      <c r="E1609" s="861"/>
      <c r="F1609" s="862"/>
      <c r="G1609" s="869" t="e">
        <v>#DIV/0!</v>
      </c>
      <c r="H1609" s="874">
        <v>252911.23</v>
      </c>
      <c r="I1609" s="871"/>
      <c r="J1609" s="863"/>
      <c r="K1609" s="868">
        <f t="shared" si="122"/>
        <v>316</v>
      </c>
      <c r="L1609" s="863" t="s">
        <v>945</v>
      </c>
      <c r="M1609" s="671">
        <f t="shared" si="123"/>
        <v>1607</v>
      </c>
      <c r="N1609" s="671" t="str">
        <f t="shared" si="124"/>
        <v>N/A</v>
      </c>
      <c r="O1609" s="671">
        <f t="shared" si="125"/>
        <v>708</v>
      </c>
      <c r="P1609" s="861" t="s">
        <v>8239</v>
      </c>
      <c r="Q1609" s="861"/>
      <c r="R1609" s="863" t="s">
        <v>1675</v>
      </c>
      <c r="S1609" s="861" t="s">
        <v>5294</v>
      </c>
      <c r="T1609" s="866" t="s">
        <v>8240</v>
      </c>
      <c r="U1609" s="865"/>
    </row>
    <row r="1610" spans="1:21" ht="15">
      <c r="A1610" s="672"/>
      <c r="B1610" s="861" t="s">
        <v>8241</v>
      </c>
      <c r="C1610" s="861" t="s">
        <v>8242</v>
      </c>
      <c r="D1610" s="861" t="s">
        <v>371</v>
      </c>
      <c r="E1610" s="861"/>
      <c r="F1610" s="862"/>
      <c r="G1610" s="869" t="e">
        <v>#DIV/0!</v>
      </c>
      <c r="H1610" s="874">
        <v>230181.58</v>
      </c>
      <c r="I1610" s="871"/>
      <c r="J1610" s="861"/>
      <c r="K1610" s="868">
        <f t="shared" si="122"/>
        <v>316</v>
      </c>
      <c r="L1610" s="861"/>
      <c r="M1610" s="671">
        <f t="shared" si="123"/>
        <v>1608</v>
      </c>
      <c r="N1610" s="671" t="str">
        <f t="shared" si="124"/>
        <v>N/A</v>
      </c>
      <c r="O1610" s="671">
        <f t="shared" si="125"/>
        <v>708</v>
      </c>
      <c r="P1610" s="861" t="s">
        <v>1020</v>
      </c>
      <c r="Q1610" s="861" t="s">
        <v>8243</v>
      </c>
      <c r="R1610" s="861"/>
      <c r="S1610" s="861" t="s">
        <v>2069</v>
      </c>
      <c r="T1610" s="866" t="s">
        <v>8244</v>
      </c>
      <c r="U1610" s="865"/>
    </row>
    <row r="1611" spans="1:21" ht="15">
      <c r="A1611" s="857"/>
      <c r="B1611" s="861" t="s">
        <v>8245</v>
      </c>
      <c r="C1611" s="861" t="s">
        <v>8246</v>
      </c>
      <c r="D1611" s="861" t="s">
        <v>371</v>
      </c>
      <c r="E1611" s="861"/>
      <c r="F1611" s="862"/>
      <c r="G1611" s="870" t="s">
        <v>8247</v>
      </c>
      <c r="H1611" s="874">
        <v>222467.58</v>
      </c>
      <c r="I1611" s="871"/>
      <c r="J1611" s="863" t="s">
        <v>5102</v>
      </c>
      <c r="K1611" s="868">
        <f t="shared" si="122"/>
        <v>316</v>
      </c>
      <c r="L1611" s="861"/>
      <c r="M1611" s="671">
        <f t="shared" si="123"/>
        <v>1609</v>
      </c>
      <c r="N1611" s="671" t="str">
        <f t="shared" si="124"/>
        <v>N/A</v>
      </c>
      <c r="O1611" s="671" t="str">
        <f t="shared" si="125"/>
        <v>N/A</v>
      </c>
      <c r="P1611" s="861"/>
      <c r="Q1611" s="861"/>
      <c r="R1611" s="861"/>
      <c r="S1611" s="861"/>
      <c r="T1611" s="866" t="s">
        <v>8248</v>
      </c>
      <c r="U1611" s="865"/>
    </row>
    <row r="1612" spans="1:21" ht="15">
      <c r="A1612" s="672"/>
      <c r="B1612" s="861" t="s">
        <v>8249</v>
      </c>
      <c r="C1612" s="861" t="s">
        <v>8250</v>
      </c>
      <c r="D1612" s="861" t="s">
        <v>371</v>
      </c>
      <c r="E1612" s="861"/>
      <c r="F1612" s="862"/>
      <c r="G1612" s="870" t="s">
        <v>8251</v>
      </c>
      <c r="H1612" s="874">
        <v>216173.24</v>
      </c>
      <c r="I1612" s="871"/>
      <c r="J1612" s="863"/>
      <c r="K1612" s="868">
        <f t="shared" si="122"/>
        <v>316</v>
      </c>
      <c r="L1612" s="861"/>
      <c r="M1612" s="671">
        <f t="shared" si="123"/>
        <v>1610</v>
      </c>
      <c r="N1612" s="671" t="str">
        <f t="shared" si="124"/>
        <v>N/A</v>
      </c>
      <c r="O1612" s="671">
        <f t="shared" si="125"/>
        <v>708</v>
      </c>
      <c r="P1612" s="861"/>
      <c r="Q1612" s="861"/>
      <c r="R1612" s="861"/>
      <c r="S1612" s="861" t="s">
        <v>2147</v>
      </c>
      <c r="T1612" s="866" t="s">
        <v>8252</v>
      </c>
      <c r="U1612" s="865"/>
    </row>
    <row r="1613" spans="1:21" ht="15">
      <c r="A1613" s="857"/>
      <c r="B1613" s="861" t="s">
        <v>8253</v>
      </c>
      <c r="C1613" s="861" t="s">
        <v>8254</v>
      </c>
      <c r="D1613" s="861" t="s">
        <v>371</v>
      </c>
      <c r="E1613" s="861"/>
      <c r="F1613" s="862"/>
      <c r="G1613" s="870" t="s">
        <v>8255</v>
      </c>
      <c r="H1613" s="874">
        <v>215143.43</v>
      </c>
      <c r="I1613" s="871"/>
      <c r="J1613" s="861"/>
      <c r="K1613" s="868">
        <f t="shared" si="122"/>
        <v>316</v>
      </c>
      <c r="L1613" s="861"/>
      <c r="M1613" s="671">
        <f t="shared" si="123"/>
        <v>1611</v>
      </c>
      <c r="N1613" s="671" t="str">
        <f t="shared" si="124"/>
        <v>N/A</v>
      </c>
      <c r="O1613" s="671">
        <f t="shared" si="125"/>
        <v>708</v>
      </c>
      <c r="P1613" s="861" t="s">
        <v>6997</v>
      </c>
      <c r="Q1613" s="861" t="s">
        <v>8256</v>
      </c>
      <c r="R1613" s="861"/>
      <c r="S1613" s="861" t="s">
        <v>8257</v>
      </c>
      <c r="T1613" s="866" t="s">
        <v>8258</v>
      </c>
      <c r="U1613" s="865"/>
    </row>
    <row r="1614" spans="1:21" ht="15">
      <c r="A1614" s="672"/>
      <c r="B1614" s="861" t="s">
        <v>8259</v>
      </c>
      <c r="C1614" s="861" t="s">
        <v>8260</v>
      </c>
      <c r="D1614" s="861" t="s">
        <v>371</v>
      </c>
      <c r="E1614" s="861"/>
      <c r="F1614" s="862"/>
      <c r="G1614" s="869" t="e">
        <v>#DIV/0!</v>
      </c>
      <c r="H1614" s="874">
        <v>213669.41</v>
      </c>
      <c r="I1614" s="871"/>
      <c r="J1614" s="861"/>
      <c r="K1614" s="868">
        <f t="shared" si="122"/>
        <v>316</v>
      </c>
      <c r="L1614" s="861"/>
      <c r="M1614" s="671">
        <f t="shared" si="123"/>
        <v>1612</v>
      </c>
      <c r="N1614" s="671" t="str">
        <f t="shared" si="124"/>
        <v>N/A</v>
      </c>
      <c r="O1614" s="671">
        <f t="shared" si="125"/>
        <v>708</v>
      </c>
      <c r="P1614" s="861" t="s">
        <v>3693</v>
      </c>
      <c r="Q1614" s="861" t="s">
        <v>8261</v>
      </c>
      <c r="R1614" s="861"/>
      <c r="S1614" s="861" t="s">
        <v>4268</v>
      </c>
      <c r="T1614" s="866" t="s">
        <v>8262</v>
      </c>
      <c r="U1614" s="865"/>
    </row>
    <row r="1615" spans="1:21" ht="15">
      <c r="A1615" s="857"/>
      <c r="B1615" s="861" t="s">
        <v>8263</v>
      </c>
      <c r="C1615" s="861" t="s">
        <v>8264</v>
      </c>
      <c r="D1615" s="861" t="s">
        <v>371</v>
      </c>
      <c r="E1615" s="861"/>
      <c r="F1615" s="862"/>
      <c r="G1615" s="869" t="e">
        <v>#DIV/0!</v>
      </c>
      <c r="H1615" s="874">
        <v>204828.11</v>
      </c>
      <c r="I1615" s="871"/>
      <c r="J1615" s="861"/>
      <c r="K1615" s="868">
        <f t="shared" si="122"/>
        <v>316</v>
      </c>
      <c r="L1615" s="861"/>
      <c r="M1615" s="671">
        <f t="shared" si="123"/>
        <v>1613</v>
      </c>
      <c r="N1615" s="671" t="str">
        <f t="shared" si="124"/>
        <v>N/A</v>
      </c>
      <c r="O1615" s="671">
        <f t="shared" si="125"/>
        <v>708</v>
      </c>
      <c r="P1615" s="863" t="s">
        <v>3167</v>
      </c>
      <c r="Q1615" s="863" t="s">
        <v>7160</v>
      </c>
      <c r="R1615" s="861"/>
      <c r="S1615" s="861" t="s">
        <v>3721</v>
      </c>
      <c r="T1615" s="866" t="s">
        <v>8265</v>
      </c>
      <c r="U1615" s="865"/>
    </row>
    <row r="1616" spans="1:21" ht="15">
      <c r="A1616" s="672"/>
      <c r="B1616" s="861" t="s">
        <v>8266</v>
      </c>
      <c r="C1616" s="861" t="s">
        <v>8267</v>
      </c>
      <c r="D1616" s="861" t="s">
        <v>371</v>
      </c>
      <c r="E1616" s="861"/>
      <c r="F1616" s="862"/>
      <c r="G1616" s="870" t="s">
        <v>8268</v>
      </c>
      <c r="H1616" s="874">
        <v>166024.79</v>
      </c>
      <c r="I1616" s="871"/>
      <c r="J1616" s="861"/>
      <c r="K1616" s="868">
        <f t="shared" si="122"/>
        <v>316</v>
      </c>
      <c r="L1616" s="863" t="s">
        <v>937</v>
      </c>
      <c r="M1616" s="671">
        <f t="shared" si="123"/>
        <v>1614</v>
      </c>
      <c r="N1616" s="671" t="str">
        <f t="shared" si="124"/>
        <v>N/A</v>
      </c>
      <c r="O1616" s="671">
        <f t="shared" si="125"/>
        <v>708</v>
      </c>
      <c r="P1616" s="861"/>
      <c r="Q1616" s="861"/>
      <c r="R1616" s="863" t="s">
        <v>1675</v>
      </c>
      <c r="S1616" s="861" t="s">
        <v>622</v>
      </c>
      <c r="T1616" s="866" t="s">
        <v>8269</v>
      </c>
      <c r="U1616" s="865"/>
    </row>
    <row r="1617" spans="1:21" ht="15">
      <c r="A1617" s="857"/>
      <c r="B1617" s="861" t="s">
        <v>8270</v>
      </c>
      <c r="C1617" s="861" t="s">
        <v>8271</v>
      </c>
      <c r="D1617" s="861" t="s">
        <v>371</v>
      </c>
      <c r="E1617" s="861"/>
      <c r="F1617" s="862"/>
      <c r="G1617" s="869" t="e">
        <v>#DIV/0!</v>
      </c>
      <c r="H1617" s="874">
        <v>156889.93</v>
      </c>
      <c r="I1617" s="871"/>
      <c r="J1617" s="861"/>
      <c r="K1617" s="868">
        <f t="shared" si="122"/>
        <v>316</v>
      </c>
      <c r="L1617" s="861" t="s">
        <v>1475</v>
      </c>
      <c r="M1617" s="671">
        <f t="shared" si="123"/>
        <v>1615</v>
      </c>
      <c r="N1617" s="671" t="str">
        <f t="shared" si="124"/>
        <v>N/A</v>
      </c>
      <c r="O1617" s="671">
        <f t="shared" si="125"/>
        <v>708</v>
      </c>
      <c r="P1617" s="861" t="s">
        <v>2396</v>
      </c>
      <c r="Q1617" s="861" t="s">
        <v>8272</v>
      </c>
      <c r="R1617" s="861" t="s">
        <v>2851</v>
      </c>
      <c r="S1617" s="861" t="s">
        <v>8273</v>
      </c>
      <c r="T1617" s="866" t="s">
        <v>8274</v>
      </c>
      <c r="U1617" s="865"/>
    </row>
    <row r="1618" spans="1:21" ht="15">
      <c r="A1618" s="672"/>
      <c r="B1618" s="861" t="s">
        <v>8275</v>
      </c>
      <c r="C1618" s="861" t="s">
        <v>8276</v>
      </c>
      <c r="D1618" s="861" t="s">
        <v>371</v>
      </c>
      <c r="E1618" s="861"/>
      <c r="F1618" s="862"/>
      <c r="G1618" s="869" t="e">
        <v>#DIV/0!</v>
      </c>
      <c r="H1618" s="874">
        <v>144119.03</v>
      </c>
      <c r="I1618" s="871"/>
      <c r="J1618" s="863"/>
      <c r="K1618" s="868">
        <f t="shared" si="122"/>
        <v>316</v>
      </c>
      <c r="L1618" s="861"/>
      <c r="M1618" s="671">
        <f t="shared" si="123"/>
        <v>1616</v>
      </c>
      <c r="N1618" s="671" t="str">
        <f t="shared" si="124"/>
        <v>N/A</v>
      </c>
      <c r="O1618" s="671">
        <f t="shared" si="125"/>
        <v>708</v>
      </c>
      <c r="P1618" s="861" t="s">
        <v>1805</v>
      </c>
      <c r="Q1618" s="861"/>
      <c r="R1618" s="861"/>
      <c r="S1618" s="861" t="s">
        <v>820</v>
      </c>
      <c r="T1618" s="866" t="s">
        <v>8277</v>
      </c>
      <c r="U1618" s="865"/>
    </row>
    <row r="1619" spans="1:21" ht="15">
      <c r="A1619" s="857"/>
      <c r="B1619" s="861" t="s">
        <v>8278</v>
      </c>
      <c r="C1619" s="861" t="s">
        <v>8279</v>
      </c>
      <c r="D1619" s="861" t="s">
        <v>371</v>
      </c>
      <c r="E1619" s="861"/>
      <c r="F1619" s="862"/>
      <c r="G1619" s="869" t="e">
        <v>#DIV/0!</v>
      </c>
      <c r="H1619" s="874">
        <v>118699.27</v>
      </c>
      <c r="I1619" s="871"/>
      <c r="J1619" s="863" t="s">
        <v>8280</v>
      </c>
      <c r="K1619" s="868">
        <f t="shared" si="122"/>
        <v>316</v>
      </c>
      <c r="L1619" s="861"/>
      <c r="M1619" s="671">
        <f t="shared" si="123"/>
        <v>1617</v>
      </c>
      <c r="N1619" s="671" t="str">
        <f t="shared" si="124"/>
        <v>N/A</v>
      </c>
      <c r="O1619" s="671" t="str">
        <f t="shared" si="125"/>
        <v>N/A</v>
      </c>
      <c r="P1619" s="861"/>
      <c r="Q1619" s="861"/>
      <c r="R1619" s="861"/>
      <c r="S1619" s="861" t="s">
        <v>392</v>
      </c>
      <c r="T1619" s="866" t="s">
        <v>8281</v>
      </c>
      <c r="U1619" s="865"/>
    </row>
    <row r="1620" spans="1:21" ht="15">
      <c r="A1620" s="672"/>
      <c r="B1620" s="861" t="s">
        <v>8282</v>
      </c>
      <c r="C1620" s="861" t="s">
        <v>8283</v>
      </c>
      <c r="D1620" s="861" t="s">
        <v>371</v>
      </c>
      <c r="E1620" s="861"/>
      <c r="F1620" s="862"/>
      <c r="G1620" s="869">
        <v>0</v>
      </c>
      <c r="H1620" s="874">
        <v>109468.12</v>
      </c>
      <c r="I1620" s="871"/>
      <c r="J1620" s="861"/>
      <c r="K1620" s="868">
        <f t="shared" si="122"/>
        <v>316</v>
      </c>
      <c r="L1620" s="861"/>
      <c r="M1620" s="671">
        <f t="shared" si="123"/>
        <v>1618</v>
      </c>
      <c r="N1620" s="671" t="str">
        <f t="shared" si="124"/>
        <v>N/A</v>
      </c>
      <c r="O1620" s="671">
        <f t="shared" si="125"/>
        <v>708</v>
      </c>
      <c r="P1620" s="861"/>
      <c r="Q1620" s="861"/>
      <c r="R1620" s="861"/>
      <c r="S1620" s="861" t="s">
        <v>2062</v>
      </c>
      <c r="T1620" s="866" t="s">
        <v>8284</v>
      </c>
      <c r="U1620" s="865"/>
    </row>
    <row r="1621" spans="1:21" ht="15">
      <c r="A1621" s="857"/>
      <c r="B1621" s="861" t="s">
        <v>8285</v>
      </c>
      <c r="C1621" s="861" t="s">
        <v>8286</v>
      </c>
      <c r="D1621" s="861" t="s">
        <v>371</v>
      </c>
      <c r="E1621" s="861"/>
      <c r="F1621" s="862"/>
      <c r="G1621" s="869">
        <v>0</v>
      </c>
      <c r="H1621" s="874">
        <v>107728.61</v>
      </c>
      <c r="I1621" s="871"/>
      <c r="J1621" s="863"/>
      <c r="K1621" s="868">
        <f t="shared" si="122"/>
        <v>316</v>
      </c>
      <c r="L1621" s="861"/>
      <c r="M1621" s="671">
        <f t="shared" si="123"/>
        <v>1619</v>
      </c>
      <c r="N1621" s="671" t="str">
        <f t="shared" si="124"/>
        <v>N/A</v>
      </c>
      <c r="O1621" s="671">
        <f t="shared" si="125"/>
        <v>708</v>
      </c>
      <c r="P1621" s="861" t="s">
        <v>8287</v>
      </c>
      <c r="Q1621" s="861"/>
      <c r="R1621" s="861"/>
      <c r="S1621" s="861" t="s">
        <v>1475</v>
      </c>
      <c r="T1621" s="866" t="s">
        <v>8288</v>
      </c>
      <c r="U1621" s="865"/>
    </row>
    <row r="1622" spans="1:21" ht="15">
      <c r="A1622" s="672"/>
      <c r="B1622" s="861" t="s">
        <v>8289</v>
      </c>
      <c r="C1622" s="861" t="s">
        <v>8290</v>
      </c>
      <c r="D1622" s="861" t="s">
        <v>371</v>
      </c>
      <c r="E1622" s="861"/>
      <c r="F1622" s="862"/>
      <c r="G1622" s="870" t="s">
        <v>8291</v>
      </c>
      <c r="H1622" s="874">
        <v>102205.52</v>
      </c>
      <c r="I1622" s="871"/>
      <c r="J1622" s="863"/>
      <c r="K1622" s="868">
        <f t="shared" si="122"/>
        <v>316</v>
      </c>
      <c r="L1622" s="863" t="s">
        <v>5931</v>
      </c>
      <c r="M1622" s="671">
        <f t="shared" si="123"/>
        <v>1620</v>
      </c>
      <c r="N1622" s="671" t="str">
        <f t="shared" si="124"/>
        <v>N/A</v>
      </c>
      <c r="O1622" s="671">
        <f t="shared" si="125"/>
        <v>708</v>
      </c>
      <c r="P1622" s="861" t="s">
        <v>6489</v>
      </c>
      <c r="Q1622" s="861"/>
      <c r="R1622" s="863" t="s">
        <v>6098</v>
      </c>
      <c r="S1622" s="861" t="s">
        <v>8292</v>
      </c>
      <c r="T1622" s="866" t="s">
        <v>8293</v>
      </c>
      <c r="U1622" s="865"/>
    </row>
    <row r="1623" spans="1:21" ht="15">
      <c r="A1623" s="857"/>
      <c r="B1623" s="861" t="s">
        <v>8294</v>
      </c>
      <c r="C1623" s="861" t="s">
        <v>8295</v>
      </c>
      <c r="D1623" s="861" t="s">
        <v>371</v>
      </c>
      <c r="E1623" s="861"/>
      <c r="F1623" s="862"/>
      <c r="G1623" s="869">
        <v>0</v>
      </c>
      <c r="H1623" s="874">
        <v>98067.3</v>
      </c>
      <c r="I1623" s="871"/>
      <c r="J1623" s="861"/>
      <c r="K1623" s="868">
        <f t="shared" si="122"/>
        <v>316</v>
      </c>
      <c r="L1623" s="861"/>
      <c r="M1623" s="671">
        <f t="shared" si="123"/>
        <v>1621</v>
      </c>
      <c r="N1623" s="671" t="str">
        <f t="shared" si="124"/>
        <v>N/A</v>
      </c>
      <c r="O1623" s="671">
        <f t="shared" si="125"/>
        <v>708</v>
      </c>
      <c r="P1623" s="861"/>
      <c r="Q1623" s="861"/>
      <c r="R1623" s="861"/>
      <c r="S1623" s="861" t="s">
        <v>2459</v>
      </c>
      <c r="T1623" s="866" t="s">
        <v>8296</v>
      </c>
      <c r="U1623" s="865"/>
    </row>
    <row r="1624" spans="1:21" ht="15">
      <c r="A1624" s="672"/>
      <c r="B1624" s="861" t="s">
        <v>8297</v>
      </c>
      <c r="C1624" s="861" t="s">
        <v>8298</v>
      </c>
      <c r="D1624" s="861" t="s">
        <v>371</v>
      </c>
      <c r="E1624" s="861"/>
      <c r="F1624" s="862"/>
      <c r="G1624" s="869" t="e">
        <v>#DIV/0!</v>
      </c>
      <c r="H1624" s="874">
        <v>91801.47</v>
      </c>
      <c r="I1624" s="871"/>
      <c r="J1624" s="863"/>
      <c r="K1624" s="868">
        <f t="shared" si="122"/>
        <v>316</v>
      </c>
      <c r="L1624" s="863" t="s">
        <v>8299</v>
      </c>
      <c r="M1624" s="671">
        <f t="shared" si="123"/>
        <v>1622</v>
      </c>
      <c r="N1624" s="671" t="str">
        <f t="shared" si="124"/>
        <v>N/A</v>
      </c>
      <c r="O1624" s="671">
        <f t="shared" si="125"/>
        <v>708</v>
      </c>
      <c r="P1624" s="861" t="s">
        <v>1807</v>
      </c>
      <c r="Q1624" s="861"/>
      <c r="R1624" s="863" t="s">
        <v>8300</v>
      </c>
      <c r="S1624" s="861" t="s">
        <v>2762</v>
      </c>
      <c r="T1624" s="866" t="s">
        <v>8301</v>
      </c>
      <c r="U1624" s="865"/>
    </row>
    <row r="1625" spans="1:21" ht="15">
      <c r="A1625" s="857"/>
      <c r="B1625" s="861" t="s">
        <v>8302</v>
      </c>
      <c r="C1625" s="861" t="s">
        <v>8303</v>
      </c>
      <c r="D1625" s="861" t="s">
        <v>371</v>
      </c>
      <c r="E1625" s="861"/>
      <c r="F1625" s="862"/>
      <c r="G1625" s="869" t="e">
        <v>#DIV/0!</v>
      </c>
      <c r="H1625" s="874">
        <v>85032.04</v>
      </c>
      <c r="I1625" s="871"/>
      <c r="J1625" s="861"/>
      <c r="K1625" s="868">
        <f t="shared" si="122"/>
        <v>316</v>
      </c>
      <c r="L1625" s="861"/>
      <c r="M1625" s="671">
        <f t="shared" si="123"/>
        <v>1623</v>
      </c>
      <c r="N1625" s="671" t="str">
        <f t="shared" si="124"/>
        <v>N/A</v>
      </c>
      <c r="O1625" s="671">
        <f t="shared" si="125"/>
        <v>708</v>
      </c>
      <c r="P1625" s="861" t="s">
        <v>2460</v>
      </c>
      <c r="Q1625" s="861" t="s">
        <v>4360</v>
      </c>
      <c r="R1625" s="861"/>
      <c r="S1625" s="861" t="s">
        <v>1384</v>
      </c>
      <c r="T1625" s="866" t="s">
        <v>8304</v>
      </c>
      <c r="U1625" s="865"/>
    </row>
    <row r="1626" spans="1:21" ht="15">
      <c r="A1626" s="672"/>
      <c r="B1626" s="861" t="s">
        <v>8305</v>
      </c>
      <c r="C1626" s="861" t="s">
        <v>8306</v>
      </c>
      <c r="D1626" s="861" t="s">
        <v>371</v>
      </c>
      <c r="E1626" s="861"/>
      <c r="F1626" s="862"/>
      <c r="G1626" s="869" t="e">
        <v>#DIV/0!</v>
      </c>
      <c r="H1626" s="874">
        <v>76335.740000000005</v>
      </c>
      <c r="I1626" s="871"/>
      <c r="J1626" s="861"/>
      <c r="K1626" s="868">
        <f t="shared" si="122"/>
        <v>316</v>
      </c>
      <c r="L1626" s="861"/>
      <c r="M1626" s="671">
        <f t="shared" si="123"/>
        <v>1624</v>
      </c>
      <c r="N1626" s="671" t="str">
        <f t="shared" si="124"/>
        <v>N/A</v>
      </c>
      <c r="O1626" s="671">
        <f t="shared" si="125"/>
        <v>708</v>
      </c>
      <c r="P1626" s="861" t="s">
        <v>2111</v>
      </c>
      <c r="Q1626" s="861" t="s">
        <v>1378</v>
      </c>
      <c r="R1626" s="861"/>
      <c r="S1626" s="861" t="s">
        <v>2376</v>
      </c>
      <c r="T1626" s="866" t="s">
        <v>8307</v>
      </c>
      <c r="U1626" s="865"/>
    </row>
    <row r="1627" spans="1:21" ht="15">
      <c r="A1627" s="857"/>
      <c r="B1627" s="861" t="s">
        <v>8308</v>
      </c>
      <c r="C1627" s="861" t="s">
        <v>8309</v>
      </c>
      <c r="D1627" s="861" t="s">
        <v>371</v>
      </c>
      <c r="E1627" s="861"/>
      <c r="F1627" s="862"/>
      <c r="G1627" s="869">
        <v>0</v>
      </c>
      <c r="H1627" s="874">
        <v>50793.15</v>
      </c>
      <c r="I1627" s="871"/>
      <c r="J1627" s="861"/>
      <c r="K1627" s="868">
        <f t="shared" si="122"/>
        <v>316</v>
      </c>
      <c r="L1627" s="861"/>
      <c r="M1627" s="671">
        <f t="shared" si="123"/>
        <v>1625</v>
      </c>
      <c r="N1627" s="671" t="str">
        <f t="shared" si="124"/>
        <v>N/A</v>
      </c>
      <c r="O1627" s="671">
        <f t="shared" si="125"/>
        <v>708</v>
      </c>
      <c r="P1627" s="861" t="s">
        <v>2348</v>
      </c>
      <c r="Q1627" s="861" t="s">
        <v>8310</v>
      </c>
      <c r="R1627" s="861"/>
      <c r="S1627" s="861" t="s">
        <v>8311</v>
      </c>
      <c r="T1627" s="866" t="s">
        <v>8312</v>
      </c>
      <c r="U1627" s="865"/>
    </row>
    <row r="1628" spans="1:21" ht="15">
      <c r="A1628" s="672"/>
      <c r="B1628" s="861" t="s">
        <v>8313</v>
      </c>
      <c r="C1628" s="861" t="s">
        <v>8314</v>
      </c>
      <c r="D1628" s="861" t="s">
        <v>371</v>
      </c>
      <c r="E1628" s="861"/>
      <c r="F1628" s="862"/>
      <c r="G1628" s="869" t="e">
        <v>#DIV/0!</v>
      </c>
      <c r="H1628" s="874">
        <v>45701.63</v>
      </c>
      <c r="I1628" s="871"/>
      <c r="J1628" s="863" t="s">
        <v>8315</v>
      </c>
      <c r="K1628" s="868">
        <f t="shared" si="122"/>
        <v>316</v>
      </c>
      <c r="L1628" s="863" t="s">
        <v>2330</v>
      </c>
      <c r="M1628" s="671">
        <f t="shared" si="123"/>
        <v>1626</v>
      </c>
      <c r="N1628" s="671" t="str">
        <f t="shared" si="124"/>
        <v>N/A</v>
      </c>
      <c r="O1628" s="671" t="str">
        <f t="shared" si="125"/>
        <v>N/A</v>
      </c>
      <c r="P1628" s="861" t="s">
        <v>8316</v>
      </c>
      <c r="Q1628" s="861"/>
      <c r="R1628" s="863" t="s">
        <v>2330</v>
      </c>
      <c r="S1628" s="861" t="s">
        <v>1497</v>
      </c>
      <c r="T1628" s="866" t="s">
        <v>8317</v>
      </c>
      <c r="U1628" s="865"/>
    </row>
    <row r="1629" spans="1:21" ht="15">
      <c r="A1629" s="857"/>
      <c r="B1629" s="861" t="s">
        <v>8318</v>
      </c>
      <c r="C1629" s="861" t="s">
        <v>8319</v>
      </c>
      <c r="D1629" s="861" t="s">
        <v>371</v>
      </c>
      <c r="E1629" s="861"/>
      <c r="F1629" s="862"/>
      <c r="G1629" s="870" t="s">
        <v>8320</v>
      </c>
      <c r="H1629" s="874">
        <v>40663.410000000003</v>
      </c>
      <c r="I1629" s="871"/>
      <c r="J1629" s="861"/>
      <c r="K1629" s="868">
        <f t="shared" si="122"/>
        <v>316</v>
      </c>
      <c r="L1629" s="861"/>
      <c r="M1629" s="671">
        <f t="shared" si="123"/>
        <v>1627</v>
      </c>
      <c r="N1629" s="671" t="str">
        <f t="shared" si="124"/>
        <v>N/A</v>
      </c>
      <c r="O1629" s="671">
        <f t="shared" si="125"/>
        <v>708</v>
      </c>
      <c r="P1629" s="861"/>
      <c r="Q1629" s="861"/>
      <c r="R1629" s="861"/>
      <c r="S1629" s="861" t="s">
        <v>1369</v>
      </c>
      <c r="T1629" s="866" t="s">
        <v>8321</v>
      </c>
      <c r="U1629" s="865"/>
    </row>
    <row r="1630" spans="1:21" ht="15">
      <c r="A1630" s="672"/>
      <c r="B1630" s="861" t="s">
        <v>8322</v>
      </c>
      <c r="C1630" s="861" t="s">
        <v>8323</v>
      </c>
      <c r="D1630" s="861" t="s">
        <v>371</v>
      </c>
      <c r="E1630" s="861"/>
      <c r="F1630" s="862"/>
      <c r="G1630" s="870" t="s">
        <v>8324</v>
      </c>
      <c r="H1630" s="874">
        <v>34796.269999999997</v>
      </c>
      <c r="I1630" s="871"/>
      <c r="J1630" s="863" t="s">
        <v>8325</v>
      </c>
      <c r="K1630" s="868">
        <f t="shared" si="122"/>
        <v>316</v>
      </c>
      <c r="L1630" s="861"/>
      <c r="M1630" s="671">
        <f t="shared" si="123"/>
        <v>1628</v>
      </c>
      <c r="N1630" s="671" t="str">
        <f t="shared" si="124"/>
        <v>N/A</v>
      </c>
      <c r="O1630" s="671" t="str">
        <f t="shared" si="125"/>
        <v>N/A</v>
      </c>
      <c r="P1630" s="861" t="s">
        <v>8326</v>
      </c>
      <c r="Q1630" s="861"/>
      <c r="R1630" s="861"/>
      <c r="S1630" s="861" t="s">
        <v>4094</v>
      </c>
      <c r="T1630" s="866" t="s">
        <v>8327</v>
      </c>
      <c r="U1630" s="865"/>
    </row>
    <row r="1631" spans="1:21" ht="15">
      <c r="A1631" s="857"/>
      <c r="B1631" s="861" t="s">
        <v>8328</v>
      </c>
      <c r="C1631" s="861" t="s">
        <v>8329</v>
      </c>
      <c r="D1631" s="861" t="s">
        <v>371</v>
      </c>
      <c r="E1631" s="861"/>
      <c r="F1631" s="862"/>
      <c r="G1631" s="870" t="s">
        <v>8330</v>
      </c>
      <c r="H1631" s="874">
        <v>32742.91</v>
      </c>
      <c r="I1631" s="871"/>
      <c r="J1631" s="863" t="s">
        <v>8331</v>
      </c>
      <c r="K1631" s="868">
        <f t="shared" si="122"/>
        <v>316</v>
      </c>
      <c r="L1631" s="861" t="s">
        <v>2069</v>
      </c>
      <c r="M1631" s="671">
        <f t="shared" si="123"/>
        <v>1629</v>
      </c>
      <c r="N1631" s="671" t="str">
        <f t="shared" si="124"/>
        <v>N/A</v>
      </c>
      <c r="O1631" s="671" t="str">
        <f t="shared" si="125"/>
        <v>N/A</v>
      </c>
      <c r="P1631" s="861" t="s">
        <v>8332</v>
      </c>
      <c r="Q1631" s="861"/>
      <c r="R1631" s="863" t="s">
        <v>937</v>
      </c>
      <c r="S1631" s="861" t="s">
        <v>8333</v>
      </c>
      <c r="T1631" s="866" t="s">
        <v>8334</v>
      </c>
      <c r="U1631" s="865"/>
    </row>
    <row r="1632" spans="1:21" ht="15">
      <c r="A1632" s="672"/>
      <c r="B1632" s="861" t="s">
        <v>8335</v>
      </c>
      <c r="C1632" s="861" t="s">
        <v>8336</v>
      </c>
      <c r="D1632" s="861" t="s">
        <v>371</v>
      </c>
      <c r="E1632" s="861"/>
      <c r="F1632" s="862"/>
      <c r="G1632" s="870" t="s">
        <v>8337</v>
      </c>
      <c r="H1632" s="874">
        <v>20831.91</v>
      </c>
      <c r="I1632" s="871"/>
      <c r="J1632" s="863" t="s">
        <v>8338</v>
      </c>
      <c r="K1632" s="868">
        <f t="shared" si="122"/>
        <v>316</v>
      </c>
      <c r="L1632" s="861"/>
      <c r="M1632" s="671">
        <f t="shared" si="123"/>
        <v>1630</v>
      </c>
      <c r="N1632" s="671" t="str">
        <f t="shared" si="124"/>
        <v>N/A</v>
      </c>
      <c r="O1632" s="671" t="str">
        <f t="shared" si="125"/>
        <v>N/A</v>
      </c>
      <c r="P1632" s="861"/>
      <c r="Q1632" s="861"/>
      <c r="R1632" s="861"/>
      <c r="S1632" s="861" t="s">
        <v>809</v>
      </c>
      <c r="T1632" s="866" t="s">
        <v>8339</v>
      </c>
      <c r="U1632" s="865"/>
    </row>
    <row r="1633" spans="1:21" ht="15">
      <c r="A1633" s="857"/>
      <c r="B1633" s="861" t="s">
        <v>8340</v>
      </c>
      <c r="C1633" s="861" t="s">
        <v>8341</v>
      </c>
      <c r="D1633" s="861" t="s">
        <v>371</v>
      </c>
      <c r="E1633" s="861"/>
      <c r="F1633" s="862"/>
      <c r="G1633" s="870" t="s">
        <v>8342</v>
      </c>
      <c r="H1633" s="874">
        <v>16293.3</v>
      </c>
      <c r="I1633" s="871"/>
      <c r="J1633" s="861"/>
      <c r="K1633" s="868">
        <f t="shared" si="122"/>
        <v>316</v>
      </c>
      <c r="L1633" s="861" t="s">
        <v>392</v>
      </c>
      <c r="M1633" s="671">
        <f t="shared" si="123"/>
        <v>1631</v>
      </c>
      <c r="N1633" s="671" t="str">
        <f t="shared" si="124"/>
        <v>N/A</v>
      </c>
      <c r="O1633" s="671">
        <f t="shared" si="125"/>
        <v>708</v>
      </c>
      <c r="P1633" s="861" t="s">
        <v>492</v>
      </c>
      <c r="Q1633" s="861" t="s">
        <v>8343</v>
      </c>
      <c r="R1633" s="861" t="s">
        <v>460</v>
      </c>
      <c r="S1633" s="861" t="s">
        <v>2117</v>
      </c>
      <c r="T1633" s="866" t="s">
        <v>8344</v>
      </c>
      <c r="U1633" s="865"/>
    </row>
    <row r="1634" spans="1:21" ht="15">
      <c r="A1634" s="672"/>
      <c r="B1634" s="861" t="s">
        <v>8345</v>
      </c>
      <c r="C1634" s="861" t="s">
        <v>8346</v>
      </c>
      <c r="D1634" s="861" t="s">
        <v>371</v>
      </c>
      <c r="E1634" s="861"/>
      <c r="F1634" s="862"/>
      <c r="G1634" s="870" t="s">
        <v>8347</v>
      </c>
      <c r="H1634" s="874">
        <v>15986.77</v>
      </c>
      <c r="I1634" s="871"/>
      <c r="J1634" s="863"/>
      <c r="K1634" s="868">
        <f t="shared" si="122"/>
        <v>316</v>
      </c>
      <c r="L1634" s="863" t="s">
        <v>4456</v>
      </c>
      <c r="M1634" s="671">
        <f t="shared" si="123"/>
        <v>1632</v>
      </c>
      <c r="N1634" s="671" t="str">
        <f t="shared" si="124"/>
        <v>N/A</v>
      </c>
      <c r="O1634" s="671">
        <f t="shared" si="125"/>
        <v>708</v>
      </c>
      <c r="P1634" s="861" t="s">
        <v>1538</v>
      </c>
      <c r="Q1634" s="861"/>
      <c r="R1634" s="861"/>
      <c r="S1634" s="861" t="s">
        <v>819</v>
      </c>
      <c r="T1634" s="866" t="s">
        <v>8348</v>
      </c>
      <c r="U1634" s="865"/>
    </row>
    <row r="1635" spans="1:21" ht="15">
      <c r="A1635" s="857"/>
      <c r="B1635" s="861" t="s">
        <v>8349</v>
      </c>
      <c r="C1635" s="861" t="s">
        <v>8350</v>
      </c>
      <c r="D1635" s="861" t="s">
        <v>371</v>
      </c>
      <c r="E1635" s="861"/>
      <c r="F1635" s="862"/>
      <c r="G1635" s="869" t="e">
        <v>#DIV/0!</v>
      </c>
      <c r="H1635" s="874">
        <v>14948.02</v>
      </c>
      <c r="I1635" s="871"/>
      <c r="J1635" s="861" t="s">
        <v>3441</v>
      </c>
      <c r="K1635" s="868">
        <f t="shared" si="122"/>
        <v>316</v>
      </c>
      <c r="L1635" s="861"/>
      <c r="M1635" s="671">
        <f t="shared" si="123"/>
        <v>1633</v>
      </c>
      <c r="N1635" s="671" t="str">
        <f t="shared" si="124"/>
        <v>N/A</v>
      </c>
      <c r="O1635" s="671" t="str">
        <f t="shared" si="125"/>
        <v>N/A</v>
      </c>
      <c r="P1635" s="861" t="s">
        <v>8351</v>
      </c>
      <c r="Q1635" s="861"/>
      <c r="R1635" s="861"/>
      <c r="S1635" s="861" t="s">
        <v>572</v>
      </c>
      <c r="T1635" s="866" t="s">
        <v>8352</v>
      </c>
      <c r="U1635" s="865"/>
    </row>
    <row r="1636" spans="1:21" ht="15">
      <c r="A1636" s="672"/>
      <c r="B1636" s="861" t="s">
        <v>8353</v>
      </c>
      <c r="C1636" s="861" t="s">
        <v>8354</v>
      </c>
      <c r="D1636" s="861" t="s">
        <v>371</v>
      </c>
      <c r="E1636" s="861"/>
      <c r="F1636" s="862"/>
      <c r="G1636" s="870" t="s">
        <v>8355</v>
      </c>
      <c r="H1636" s="874">
        <v>14269.72</v>
      </c>
      <c r="I1636" s="871"/>
      <c r="J1636" s="863" t="s">
        <v>2472</v>
      </c>
      <c r="K1636" s="868">
        <f t="shared" si="122"/>
        <v>316</v>
      </c>
      <c r="L1636" s="861"/>
      <c r="M1636" s="671">
        <f t="shared" si="123"/>
        <v>1634</v>
      </c>
      <c r="N1636" s="671" t="str">
        <f t="shared" si="124"/>
        <v>N/A</v>
      </c>
      <c r="O1636" s="671" t="str">
        <f t="shared" si="125"/>
        <v>N/A</v>
      </c>
      <c r="P1636" s="861"/>
      <c r="Q1636" s="861"/>
      <c r="R1636" s="861"/>
      <c r="S1636" s="861" t="s">
        <v>2290</v>
      </c>
      <c r="T1636" s="866" t="s">
        <v>8356</v>
      </c>
      <c r="U1636" s="865"/>
    </row>
    <row r="1637" spans="1:21" ht="15">
      <c r="A1637" s="857"/>
      <c r="B1637" s="861" t="s">
        <v>8357</v>
      </c>
      <c r="C1637" s="861" t="s">
        <v>8358</v>
      </c>
      <c r="D1637" s="861" t="s">
        <v>371</v>
      </c>
      <c r="E1637" s="861"/>
      <c r="F1637" s="862"/>
      <c r="G1637" s="870" t="s">
        <v>8359</v>
      </c>
      <c r="H1637" s="874">
        <v>13073.41</v>
      </c>
      <c r="I1637" s="871"/>
      <c r="J1637" s="861"/>
      <c r="K1637" s="868">
        <f t="shared" si="122"/>
        <v>316</v>
      </c>
      <c r="L1637" s="861"/>
      <c r="M1637" s="671">
        <f t="shared" si="123"/>
        <v>1635</v>
      </c>
      <c r="N1637" s="671" t="str">
        <f t="shared" si="124"/>
        <v>N/A</v>
      </c>
      <c r="O1637" s="671">
        <f t="shared" si="125"/>
        <v>708</v>
      </c>
      <c r="P1637" s="861" t="s">
        <v>3168</v>
      </c>
      <c r="Q1637" s="861" t="s">
        <v>8360</v>
      </c>
      <c r="R1637" s="861"/>
      <c r="S1637" s="861" t="s">
        <v>4413</v>
      </c>
      <c r="T1637" s="866" t="s">
        <v>8361</v>
      </c>
      <c r="U1637" s="865"/>
    </row>
    <row r="1638" spans="1:21" ht="15">
      <c r="A1638" s="672"/>
      <c r="B1638" s="861" t="s">
        <v>8362</v>
      </c>
      <c r="C1638" s="861" t="s">
        <v>8363</v>
      </c>
      <c r="D1638" s="861" t="s">
        <v>371</v>
      </c>
      <c r="E1638" s="861"/>
      <c r="F1638" s="862"/>
      <c r="G1638" s="869" t="e">
        <v>#DIV/0!</v>
      </c>
      <c r="H1638" s="874">
        <v>12729.37</v>
      </c>
      <c r="I1638" s="871"/>
      <c r="J1638" s="861"/>
      <c r="K1638" s="868">
        <f t="shared" si="122"/>
        <v>316</v>
      </c>
      <c r="L1638" s="861"/>
      <c r="M1638" s="671">
        <f t="shared" si="123"/>
        <v>1636</v>
      </c>
      <c r="N1638" s="671" t="str">
        <f t="shared" si="124"/>
        <v>N/A</v>
      </c>
      <c r="O1638" s="671">
        <f t="shared" si="125"/>
        <v>708</v>
      </c>
      <c r="P1638" s="861"/>
      <c r="Q1638" s="861"/>
      <c r="R1638" s="861"/>
      <c r="S1638" s="861" t="s">
        <v>434</v>
      </c>
      <c r="T1638" s="866" t="s">
        <v>8364</v>
      </c>
      <c r="U1638" s="865"/>
    </row>
    <row r="1639" spans="1:21" ht="15">
      <c r="A1639" s="857"/>
      <c r="B1639" s="861" t="s">
        <v>8365</v>
      </c>
      <c r="C1639" s="861" t="s">
        <v>8366</v>
      </c>
      <c r="D1639" s="861" t="s">
        <v>371</v>
      </c>
      <c r="E1639" s="861"/>
      <c r="F1639" s="862"/>
      <c r="G1639" s="870" t="s">
        <v>8367</v>
      </c>
      <c r="H1639" s="874">
        <v>12097.64</v>
      </c>
      <c r="I1639" s="871"/>
      <c r="J1639" s="863"/>
      <c r="K1639" s="868">
        <f t="shared" si="122"/>
        <v>316</v>
      </c>
      <c r="L1639" s="861"/>
      <c r="M1639" s="671">
        <f t="shared" si="123"/>
        <v>1637</v>
      </c>
      <c r="N1639" s="671" t="str">
        <f t="shared" si="124"/>
        <v>N/A</v>
      </c>
      <c r="O1639" s="671">
        <f t="shared" si="125"/>
        <v>708</v>
      </c>
      <c r="P1639" s="861" t="s">
        <v>8368</v>
      </c>
      <c r="Q1639" s="861"/>
      <c r="R1639" s="861"/>
      <c r="S1639" s="861" t="s">
        <v>4428</v>
      </c>
      <c r="T1639" s="866" t="s">
        <v>8369</v>
      </c>
      <c r="U1639" s="865"/>
    </row>
    <row r="1640" spans="1:21" ht="15">
      <c r="A1640" s="672"/>
      <c r="B1640" s="861" t="s">
        <v>8370</v>
      </c>
      <c r="C1640" s="861" t="s">
        <v>8371</v>
      </c>
      <c r="D1640" s="861" t="s">
        <v>371</v>
      </c>
      <c r="E1640" s="861"/>
      <c r="F1640" s="862"/>
      <c r="G1640" s="869" t="e">
        <v>#DIV/0!</v>
      </c>
      <c r="H1640" s="874">
        <v>10077.290000000001</v>
      </c>
      <c r="I1640" s="871"/>
      <c r="J1640" s="863"/>
      <c r="K1640" s="868">
        <f t="shared" si="122"/>
        <v>316</v>
      </c>
      <c r="L1640" s="861"/>
      <c r="M1640" s="671">
        <f t="shared" si="123"/>
        <v>1638</v>
      </c>
      <c r="N1640" s="671" t="str">
        <f t="shared" si="124"/>
        <v>N/A</v>
      </c>
      <c r="O1640" s="671">
        <f t="shared" si="125"/>
        <v>708</v>
      </c>
      <c r="P1640" s="861" t="s">
        <v>8372</v>
      </c>
      <c r="Q1640" s="861"/>
      <c r="R1640" s="861"/>
      <c r="S1640" s="861" t="s">
        <v>5045</v>
      </c>
      <c r="T1640" s="866" t="s">
        <v>8373</v>
      </c>
      <c r="U1640" s="865"/>
    </row>
    <row r="1641" spans="1:21" ht="15">
      <c r="A1641" s="857"/>
      <c r="B1641" s="861" t="s">
        <v>8374</v>
      </c>
      <c r="C1641" s="861" t="s">
        <v>8375</v>
      </c>
      <c r="D1641" s="861" t="s">
        <v>371</v>
      </c>
      <c r="E1641" s="861"/>
      <c r="F1641" s="862"/>
      <c r="G1641" s="869" t="e">
        <v>#DIV/0!</v>
      </c>
      <c r="H1641" s="874">
        <v>9863.16</v>
      </c>
      <c r="I1641" s="871"/>
      <c r="J1641" s="863"/>
      <c r="K1641" s="868">
        <f t="shared" si="122"/>
        <v>316</v>
      </c>
      <c r="L1641" s="861"/>
      <c r="M1641" s="671">
        <f t="shared" si="123"/>
        <v>1639</v>
      </c>
      <c r="N1641" s="671" t="str">
        <f t="shared" si="124"/>
        <v>N/A</v>
      </c>
      <c r="O1641" s="671">
        <f t="shared" si="125"/>
        <v>708</v>
      </c>
      <c r="P1641" s="861"/>
      <c r="Q1641" s="861"/>
      <c r="R1641" s="861"/>
      <c r="S1641" s="861" t="s">
        <v>424</v>
      </c>
      <c r="T1641" s="866" t="s">
        <v>8376</v>
      </c>
      <c r="U1641" s="865"/>
    </row>
    <row r="1642" spans="1:21" ht="15">
      <c r="A1642" s="672"/>
      <c r="B1642" s="861" t="s">
        <v>8377</v>
      </c>
      <c r="C1642" s="861" t="s">
        <v>8378</v>
      </c>
      <c r="D1642" s="861" t="s">
        <v>371</v>
      </c>
      <c r="E1642" s="861"/>
      <c r="F1642" s="862"/>
      <c r="G1642" s="869" t="e">
        <v>#DIV/0!</v>
      </c>
      <c r="H1642" s="874">
        <v>8837</v>
      </c>
      <c r="I1642" s="871"/>
      <c r="J1642" s="863"/>
      <c r="K1642" s="868">
        <f t="shared" si="122"/>
        <v>316</v>
      </c>
      <c r="L1642" s="861"/>
      <c r="M1642" s="671">
        <f t="shared" si="123"/>
        <v>1640</v>
      </c>
      <c r="N1642" s="671" t="str">
        <f t="shared" si="124"/>
        <v>N/A</v>
      </c>
      <c r="O1642" s="671">
        <f t="shared" si="125"/>
        <v>708</v>
      </c>
      <c r="P1642" s="861"/>
      <c r="Q1642" s="861"/>
      <c r="R1642" s="863" t="s">
        <v>3670</v>
      </c>
      <c r="S1642" s="861" t="s">
        <v>1230</v>
      </c>
      <c r="T1642" s="866" t="s">
        <v>8379</v>
      </c>
      <c r="U1642" s="865"/>
    </row>
    <row r="1643" spans="1:21" ht="15">
      <c r="A1643" s="857"/>
      <c r="B1643" s="861" t="s">
        <v>8380</v>
      </c>
      <c r="C1643" s="861" t="s">
        <v>8381</v>
      </c>
      <c r="D1643" s="861" t="s">
        <v>371</v>
      </c>
      <c r="E1643" s="861"/>
      <c r="F1643" s="862"/>
      <c r="G1643" s="870" t="s">
        <v>8382</v>
      </c>
      <c r="H1643" s="874">
        <v>8397.18</v>
      </c>
      <c r="I1643" s="871"/>
      <c r="J1643" s="863"/>
      <c r="K1643" s="868">
        <f t="shared" si="122"/>
        <v>316</v>
      </c>
      <c r="L1643" s="861"/>
      <c r="M1643" s="671">
        <f t="shared" si="123"/>
        <v>1641</v>
      </c>
      <c r="N1643" s="671" t="str">
        <f t="shared" si="124"/>
        <v>N/A</v>
      </c>
      <c r="O1643" s="671">
        <f t="shared" si="125"/>
        <v>708</v>
      </c>
      <c r="P1643" s="861"/>
      <c r="Q1643" s="861"/>
      <c r="R1643" s="861"/>
      <c r="S1643" s="861" t="s">
        <v>404</v>
      </c>
      <c r="T1643" s="866" t="s">
        <v>8383</v>
      </c>
      <c r="U1643" s="865"/>
    </row>
    <row r="1644" spans="1:21" ht="15">
      <c r="A1644" s="672"/>
      <c r="B1644" s="861" t="s">
        <v>8384</v>
      </c>
      <c r="C1644" s="861" t="s">
        <v>8385</v>
      </c>
      <c r="D1644" s="861" t="s">
        <v>371</v>
      </c>
      <c r="E1644" s="861"/>
      <c r="F1644" s="862"/>
      <c r="G1644" s="869" t="e">
        <v>#DIV/0!</v>
      </c>
      <c r="H1644" s="874">
        <v>7828.77</v>
      </c>
      <c r="I1644" s="871"/>
      <c r="J1644" s="863"/>
      <c r="K1644" s="868">
        <f t="shared" si="122"/>
        <v>316</v>
      </c>
      <c r="L1644" s="861"/>
      <c r="M1644" s="671">
        <f t="shared" si="123"/>
        <v>1642</v>
      </c>
      <c r="N1644" s="671" t="str">
        <f t="shared" si="124"/>
        <v>N/A</v>
      </c>
      <c r="O1644" s="671">
        <f t="shared" si="125"/>
        <v>708</v>
      </c>
      <c r="P1644" s="861" t="s">
        <v>8386</v>
      </c>
      <c r="Q1644" s="861"/>
      <c r="R1644" s="861"/>
      <c r="S1644" s="861" t="s">
        <v>424</v>
      </c>
      <c r="T1644" s="866" t="s">
        <v>8387</v>
      </c>
      <c r="U1644" s="865"/>
    </row>
    <row r="1645" spans="1:21" ht="15">
      <c r="A1645" s="857"/>
      <c r="B1645" s="861" t="s">
        <v>8388</v>
      </c>
      <c r="C1645" s="861" t="s">
        <v>8389</v>
      </c>
      <c r="D1645" s="861" t="s">
        <v>371</v>
      </c>
      <c r="E1645" s="861"/>
      <c r="F1645" s="862"/>
      <c r="G1645" s="870" t="s">
        <v>8390</v>
      </c>
      <c r="H1645" s="874">
        <v>7629.24</v>
      </c>
      <c r="I1645" s="871"/>
      <c r="J1645" s="863"/>
      <c r="K1645" s="868">
        <f t="shared" si="122"/>
        <v>316</v>
      </c>
      <c r="L1645" s="861" t="s">
        <v>734</v>
      </c>
      <c r="M1645" s="671">
        <f t="shared" si="123"/>
        <v>1643</v>
      </c>
      <c r="N1645" s="671" t="str">
        <f t="shared" si="124"/>
        <v>N/A</v>
      </c>
      <c r="O1645" s="671">
        <f t="shared" si="125"/>
        <v>708</v>
      </c>
      <c r="P1645" s="861" t="s">
        <v>959</v>
      </c>
      <c r="Q1645" s="861"/>
      <c r="R1645" s="863" t="s">
        <v>8391</v>
      </c>
      <c r="S1645" s="861" t="s">
        <v>1406</v>
      </c>
      <c r="T1645" s="866" t="s">
        <v>8392</v>
      </c>
      <c r="U1645" s="865"/>
    </row>
    <row r="1646" spans="1:21" ht="15">
      <c r="A1646" s="672"/>
      <c r="B1646" s="861" t="s">
        <v>8393</v>
      </c>
      <c r="C1646" s="861" t="s">
        <v>8394</v>
      </c>
      <c r="D1646" s="861" t="s">
        <v>371</v>
      </c>
      <c r="E1646" s="861"/>
      <c r="F1646" s="862"/>
      <c r="G1646" s="870" t="s">
        <v>8395</v>
      </c>
      <c r="H1646" s="874">
        <v>6750.35</v>
      </c>
      <c r="I1646" s="871"/>
      <c r="J1646" s="863"/>
      <c r="K1646" s="868">
        <f t="shared" si="122"/>
        <v>316</v>
      </c>
      <c r="L1646" s="861"/>
      <c r="M1646" s="671">
        <f t="shared" si="123"/>
        <v>1644</v>
      </c>
      <c r="N1646" s="671" t="str">
        <f t="shared" si="124"/>
        <v>N/A</v>
      </c>
      <c r="O1646" s="671">
        <f t="shared" si="125"/>
        <v>708</v>
      </c>
      <c r="P1646" s="861" t="s">
        <v>8396</v>
      </c>
      <c r="Q1646" s="861"/>
      <c r="R1646" s="861"/>
      <c r="S1646" s="861" t="s">
        <v>6482</v>
      </c>
      <c r="T1646" s="866" t="s">
        <v>8397</v>
      </c>
      <c r="U1646" s="865"/>
    </row>
    <row r="1647" spans="1:21" ht="15">
      <c r="A1647" s="857"/>
      <c r="B1647" s="861" t="s">
        <v>8398</v>
      </c>
      <c r="C1647" s="861" t="s">
        <v>8399</v>
      </c>
      <c r="D1647" s="861" t="s">
        <v>371</v>
      </c>
      <c r="E1647" s="861"/>
      <c r="F1647" s="862"/>
      <c r="G1647" s="870" t="s">
        <v>8400</v>
      </c>
      <c r="H1647" s="874">
        <v>6603.19</v>
      </c>
      <c r="I1647" s="871"/>
      <c r="J1647" s="861"/>
      <c r="K1647" s="868">
        <f t="shared" si="122"/>
        <v>316</v>
      </c>
      <c r="L1647" s="861"/>
      <c r="M1647" s="671">
        <f t="shared" si="123"/>
        <v>1645</v>
      </c>
      <c r="N1647" s="671" t="str">
        <f t="shared" si="124"/>
        <v>N/A</v>
      </c>
      <c r="O1647" s="671">
        <f t="shared" si="125"/>
        <v>708</v>
      </c>
      <c r="P1647" s="861"/>
      <c r="Q1647" s="861"/>
      <c r="R1647" s="861"/>
      <c r="S1647" s="861" t="s">
        <v>1063</v>
      </c>
      <c r="T1647" s="866" t="s">
        <v>8401</v>
      </c>
      <c r="U1647" s="865"/>
    </row>
    <row r="1648" spans="1:21" ht="15">
      <c r="A1648" s="672"/>
      <c r="B1648" s="861" t="s">
        <v>8402</v>
      </c>
      <c r="C1648" s="861" t="s">
        <v>8403</v>
      </c>
      <c r="D1648" s="861" t="s">
        <v>371</v>
      </c>
      <c r="E1648" s="861"/>
      <c r="F1648" s="862"/>
      <c r="G1648" s="870" t="s">
        <v>8404</v>
      </c>
      <c r="H1648" s="874">
        <v>6238.65</v>
      </c>
      <c r="I1648" s="871"/>
      <c r="J1648" s="863"/>
      <c r="K1648" s="868">
        <f t="shared" si="122"/>
        <v>316</v>
      </c>
      <c r="L1648" s="861"/>
      <c r="M1648" s="671">
        <f t="shared" si="123"/>
        <v>1646</v>
      </c>
      <c r="N1648" s="671" t="str">
        <f t="shared" si="124"/>
        <v>N/A</v>
      </c>
      <c r="O1648" s="671">
        <f t="shared" si="125"/>
        <v>708</v>
      </c>
      <c r="P1648" s="861" t="s">
        <v>2234</v>
      </c>
      <c r="Q1648" s="861"/>
      <c r="R1648" s="861"/>
      <c r="S1648" s="861" t="s">
        <v>8405</v>
      </c>
      <c r="T1648" s="866" t="s">
        <v>8406</v>
      </c>
      <c r="U1648" s="865"/>
    </row>
    <row r="1649" spans="1:21" ht="15">
      <c r="A1649" s="857"/>
      <c r="B1649" s="861" t="s">
        <v>8407</v>
      </c>
      <c r="C1649" s="861" t="s">
        <v>8408</v>
      </c>
      <c r="D1649" s="861" t="s">
        <v>371</v>
      </c>
      <c r="E1649" s="861"/>
      <c r="F1649" s="862"/>
      <c r="G1649" s="869" t="e">
        <v>#DIV/0!</v>
      </c>
      <c r="H1649" s="874">
        <v>5920.98</v>
      </c>
      <c r="I1649" s="871"/>
      <c r="J1649" s="861"/>
      <c r="K1649" s="868">
        <f t="shared" si="122"/>
        <v>316</v>
      </c>
      <c r="L1649" s="861"/>
      <c r="M1649" s="671">
        <f t="shared" si="123"/>
        <v>1647</v>
      </c>
      <c r="N1649" s="671" t="str">
        <f t="shared" si="124"/>
        <v>N/A</v>
      </c>
      <c r="O1649" s="671">
        <f t="shared" si="125"/>
        <v>708</v>
      </c>
      <c r="P1649" s="861"/>
      <c r="Q1649" s="861"/>
      <c r="R1649" s="861"/>
      <c r="S1649" s="861" t="s">
        <v>1121</v>
      </c>
      <c r="T1649" s="866"/>
      <c r="U1649" s="865"/>
    </row>
    <row r="1650" spans="1:21" ht="15">
      <c r="A1650" s="672"/>
      <c r="B1650" s="861" t="s">
        <v>8409</v>
      </c>
      <c r="C1650" s="861" t="s">
        <v>8410</v>
      </c>
      <c r="D1650" s="861" t="s">
        <v>371</v>
      </c>
      <c r="E1650" s="861"/>
      <c r="F1650" s="862"/>
      <c r="G1650" s="869" t="e">
        <v>#DIV/0!</v>
      </c>
      <c r="H1650" s="874">
        <v>5057.75</v>
      </c>
      <c r="I1650" s="871"/>
      <c r="J1650" s="861"/>
      <c r="K1650" s="868">
        <f t="shared" si="122"/>
        <v>316</v>
      </c>
      <c r="L1650" s="861"/>
      <c r="M1650" s="671">
        <f t="shared" si="123"/>
        <v>1648</v>
      </c>
      <c r="N1650" s="671" t="str">
        <f t="shared" si="124"/>
        <v>N/A</v>
      </c>
      <c r="O1650" s="671">
        <f t="shared" si="125"/>
        <v>708</v>
      </c>
      <c r="P1650" s="861" t="s">
        <v>1621</v>
      </c>
      <c r="Q1650" s="861" t="s">
        <v>8411</v>
      </c>
      <c r="R1650" s="861"/>
      <c r="S1650" s="861" t="s">
        <v>1419</v>
      </c>
      <c r="T1650" s="866" t="s">
        <v>8412</v>
      </c>
      <c r="U1650" s="865"/>
    </row>
    <row r="1651" spans="1:21" ht="15">
      <c r="A1651" s="857"/>
      <c r="B1651" s="861" t="s">
        <v>8413</v>
      </c>
      <c r="C1651" s="861" t="s">
        <v>8414</v>
      </c>
      <c r="D1651" s="861" t="s">
        <v>371</v>
      </c>
      <c r="E1651" s="861"/>
      <c r="F1651" s="862"/>
      <c r="G1651" s="869" t="e">
        <v>#DIV/0!</v>
      </c>
      <c r="H1651" s="874">
        <v>4833.5200000000004</v>
      </c>
      <c r="I1651" s="871"/>
      <c r="J1651" s="863"/>
      <c r="K1651" s="868">
        <f t="shared" si="122"/>
        <v>316</v>
      </c>
      <c r="L1651" s="861"/>
      <c r="M1651" s="671">
        <f t="shared" si="123"/>
        <v>1649</v>
      </c>
      <c r="N1651" s="671" t="str">
        <f t="shared" si="124"/>
        <v>N/A</v>
      </c>
      <c r="O1651" s="671">
        <f t="shared" si="125"/>
        <v>708</v>
      </c>
      <c r="P1651" s="861" t="s">
        <v>2823</v>
      </c>
      <c r="Q1651" s="861"/>
      <c r="R1651" s="861"/>
      <c r="S1651" s="861" t="s">
        <v>8415</v>
      </c>
      <c r="T1651" s="866" t="s">
        <v>8416</v>
      </c>
      <c r="U1651" s="865"/>
    </row>
    <row r="1652" spans="1:21" ht="15">
      <c r="A1652" s="672"/>
      <c r="B1652" s="861" t="s">
        <v>8417</v>
      </c>
      <c r="C1652" s="861" t="s">
        <v>8418</v>
      </c>
      <c r="D1652" s="861" t="s">
        <v>371</v>
      </c>
      <c r="E1652" s="861"/>
      <c r="F1652" s="862"/>
      <c r="G1652" s="869" t="e">
        <v>#DIV/0!</v>
      </c>
      <c r="H1652" s="874">
        <v>4745.7299999999996</v>
      </c>
      <c r="I1652" s="871"/>
      <c r="J1652" s="863"/>
      <c r="K1652" s="868">
        <f t="shared" si="122"/>
        <v>316</v>
      </c>
      <c r="L1652" s="861"/>
      <c r="M1652" s="671">
        <f t="shared" si="123"/>
        <v>1650</v>
      </c>
      <c r="N1652" s="671" t="str">
        <f t="shared" si="124"/>
        <v>N/A</v>
      </c>
      <c r="O1652" s="671">
        <f t="shared" si="125"/>
        <v>708</v>
      </c>
      <c r="P1652" s="861"/>
      <c r="Q1652" s="861"/>
      <c r="R1652" s="861"/>
      <c r="S1652" s="861" t="s">
        <v>6117</v>
      </c>
      <c r="T1652" s="866" t="s">
        <v>8419</v>
      </c>
      <c r="U1652" s="865"/>
    </row>
    <row r="1653" spans="1:21" ht="15">
      <c r="A1653" s="857"/>
      <c r="B1653" s="861" t="s">
        <v>8420</v>
      </c>
      <c r="C1653" s="861" t="s">
        <v>8421</v>
      </c>
      <c r="D1653" s="861" t="s">
        <v>371</v>
      </c>
      <c r="E1653" s="861"/>
      <c r="F1653" s="862"/>
      <c r="G1653" s="870" t="s">
        <v>8422</v>
      </c>
      <c r="H1653" s="874">
        <v>4530</v>
      </c>
      <c r="I1653" s="871"/>
      <c r="J1653" s="863"/>
      <c r="K1653" s="868">
        <f t="shared" si="122"/>
        <v>316</v>
      </c>
      <c r="L1653" s="861"/>
      <c r="M1653" s="671">
        <f t="shared" si="123"/>
        <v>1651</v>
      </c>
      <c r="N1653" s="671" t="str">
        <f t="shared" si="124"/>
        <v>N/A</v>
      </c>
      <c r="O1653" s="671">
        <f t="shared" si="125"/>
        <v>708</v>
      </c>
      <c r="P1653" s="861" t="s">
        <v>763</v>
      </c>
      <c r="Q1653" s="861"/>
      <c r="R1653" s="861"/>
      <c r="S1653" s="861" t="s">
        <v>424</v>
      </c>
      <c r="T1653" s="866" t="s">
        <v>8423</v>
      </c>
      <c r="U1653" s="865"/>
    </row>
    <row r="1654" spans="1:21" ht="15">
      <c r="A1654" s="672"/>
      <c r="B1654" s="861" t="s">
        <v>8424</v>
      </c>
      <c r="C1654" s="861" t="s">
        <v>8425</v>
      </c>
      <c r="D1654" s="861" t="s">
        <v>371</v>
      </c>
      <c r="E1654" s="861"/>
      <c r="F1654" s="862"/>
      <c r="G1654" s="870" t="s">
        <v>8426</v>
      </c>
      <c r="H1654" s="874">
        <v>4384.74</v>
      </c>
      <c r="I1654" s="871"/>
      <c r="J1654" s="861"/>
      <c r="K1654" s="868">
        <f t="shared" si="122"/>
        <v>316</v>
      </c>
      <c r="L1654" s="861"/>
      <c r="M1654" s="671">
        <f t="shared" si="123"/>
        <v>1652</v>
      </c>
      <c r="N1654" s="671" t="str">
        <f t="shared" si="124"/>
        <v>N/A</v>
      </c>
      <c r="O1654" s="671">
        <f t="shared" si="125"/>
        <v>708</v>
      </c>
      <c r="P1654" s="861"/>
      <c r="Q1654" s="861"/>
      <c r="R1654" s="861"/>
      <c r="S1654" s="861" t="s">
        <v>5787</v>
      </c>
      <c r="T1654" s="866" t="s">
        <v>8427</v>
      </c>
      <c r="U1654" s="865"/>
    </row>
    <row r="1655" spans="1:21" ht="15">
      <c r="A1655" s="857"/>
      <c r="B1655" s="861" t="s">
        <v>8428</v>
      </c>
      <c r="C1655" s="861" t="s">
        <v>8429</v>
      </c>
      <c r="D1655" s="861" t="s">
        <v>371</v>
      </c>
      <c r="E1655" s="861"/>
      <c r="F1655" s="862"/>
      <c r="G1655" s="869" t="e">
        <v>#DIV/0!</v>
      </c>
      <c r="H1655" s="874">
        <v>4223.32</v>
      </c>
      <c r="I1655" s="871"/>
      <c r="J1655" s="861"/>
      <c r="K1655" s="868">
        <f t="shared" si="122"/>
        <v>316</v>
      </c>
      <c r="L1655" s="861"/>
      <c r="M1655" s="671">
        <f t="shared" si="123"/>
        <v>1653</v>
      </c>
      <c r="N1655" s="671" t="str">
        <f t="shared" si="124"/>
        <v>N/A</v>
      </c>
      <c r="O1655" s="671">
        <f t="shared" si="125"/>
        <v>708</v>
      </c>
      <c r="P1655" s="861" t="s">
        <v>3552</v>
      </c>
      <c r="Q1655" s="861" t="s">
        <v>8430</v>
      </c>
      <c r="R1655" s="861"/>
      <c r="S1655" s="861" t="s">
        <v>5170</v>
      </c>
      <c r="T1655" s="866" t="s">
        <v>8431</v>
      </c>
      <c r="U1655" s="865"/>
    </row>
    <row r="1656" spans="1:21" ht="15">
      <c r="A1656" s="672"/>
      <c r="B1656" s="861" t="s">
        <v>8432</v>
      </c>
      <c r="C1656" s="861" t="s">
        <v>8433</v>
      </c>
      <c r="D1656" s="861" t="s">
        <v>371</v>
      </c>
      <c r="E1656" s="861"/>
      <c r="F1656" s="862"/>
      <c r="G1656" s="869" t="e">
        <v>#DIV/0!</v>
      </c>
      <c r="H1656" s="874">
        <v>3057.45</v>
      </c>
      <c r="I1656" s="871"/>
      <c r="J1656" s="863"/>
      <c r="K1656" s="868">
        <f t="shared" si="122"/>
        <v>316</v>
      </c>
      <c r="L1656" s="861"/>
      <c r="M1656" s="671">
        <f t="shared" si="123"/>
        <v>1654</v>
      </c>
      <c r="N1656" s="671" t="str">
        <f t="shared" si="124"/>
        <v>N/A</v>
      </c>
      <c r="O1656" s="671">
        <f t="shared" si="125"/>
        <v>708</v>
      </c>
      <c r="P1656" s="861" t="s">
        <v>2290</v>
      </c>
      <c r="Q1656" s="861"/>
      <c r="R1656" s="861"/>
      <c r="S1656" s="861" t="s">
        <v>563</v>
      </c>
      <c r="T1656" s="866" t="s">
        <v>8434</v>
      </c>
      <c r="U1656" s="865"/>
    </row>
    <row r="1657" spans="1:21" ht="15">
      <c r="A1657" s="857"/>
      <c r="B1657" s="861" t="s">
        <v>8435</v>
      </c>
      <c r="C1657" s="861" t="s">
        <v>8436</v>
      </c>
      <c r="D1657" s="861" t="s">
        <v>371</v>
      </c>
      <c r="E1657" s="861"/>
      <c r="F1657" s="862"/>
      <c r="G1657" s="870" t="s">
        <v>8437</v>
      </c>
      <c r="H1657" s="874">
        <v>2599.0700000000002</v>
      </c>
      <c r="I1657" s="871"/>
      <c r="J1657" s="863"/>
      <c r="K1657" s="868">
        <f t="shared" si="122"/>
        <v>316</v>
      </c>
      <c r="L1657" s="861"/>
      <c r="M1657" s="671">
        <f t="shared" si="123"/>
        <v>1655</v>
      </c>
      <c r="N1657" s="671" t="str">
        <f t="shared" si="124"/>
        <v>N/A</v>
      </c>
      <c r="O1657" s="671">
        <f t="shared" si="125"/>
        <v>708</v>
      </c>
      <c r="P1657" s="861" t="s">
        <v>8438</v>
      </c>
      <c r="Q1657" s="861"/>
      <c r="R1657" s="861"/>
      <c r="S1657" s="861" t="s">
        <v>2613</v>
      </c>
      <c r="T1657" s="866" t="s">
        <v>8439</v>
      </c>
      <c r="U1657" s="865"/>
    </row>
    <row r="1658" spans="1:21" ht="15">
      <c r="A1658" s="672"/>
      <c r="B1658" s="861" t="s">
        <v>8440</v>
      </c>
      <c r="C1658" s="861" t="s">
        <v>8441</v>
      </c>
      <c r="D1658" s="861" t="s">
        <v>371</v>
      </c>
      <c r="E1658" s="861"/>
      <c r="F1658" s="862"/>
      <c r="G1658" s="869" t="e">
        <v>#DIV/0!</v>
      </c>
      <c r="H1658" s="874">
        <v>2335.61</v>
      </c>
      <c r="I1658" s="871"/>
      <c r="J1658" s="861"/>
      <c r="K1658" s="868">
        <f t="shared" si="122"/>
        <v>316</v>
      </c>
      <c r="L1658" s="861"/>
      <c r="M1658" s="671">
        <f t="shared" si="123"/>
        <v>1656</v>
      </c>
      <c r="N1658" s="671" t="str">
        <f t="shared" si="124"/>
        <v>N/A</v>
      </c>
      <c r="O1658" s="671">
        <f t="shared" si="125"/>
        <v>708</v>
      </c>
      <c r="P1658" s="861" t="s">
        <v>3239</v>
      </c>
      <c r="Q1658" s="861" t="s">
        <v>2792</v>
      </c>
      <c r="R1658" s="861"/>
      <c r="S1658" s="861" t="s">
        <v>931</v>
      </c>
      <c r="T1658" s="866" t="s">
        <v>8442</v>
      </c>
      <c r="U1658" s="865"/>
    </row>
    <row r="1659" spans="1:21" ht="15">
      <c r="A1659" s="857"/>
      <c r="B1659" s="861" t="s">
        <v>8443</v>
      </c>
      <c r="C1659" s="861" t="s">
        <v>8444</v>
      </c>
      <c r="D1659" s="861" t="s">
        <v>371</v>
      </c>
      <c r="E1659" s="861"/>
      <c r="F1659" s="862"/>
      <c r="G1659" s="869" t="e">
        <v>#DIV/0!</v>
      </c>
      <c r="H1659" s="874">
        <v>2241.2600000000002</v>
      </c>
      <c r="I1659" s="871"/>
      <c r="J1659" s="861"/>
      <c r="K1659" s="868">
        <f t="shared" si="122"/>
        <v>316</v>
      </c>
      <c r="L1659" s="861"/>
      <c r="M1659" s="671">
        <f t="shared" si="123"/>
        <v>1657</v>
      </c>
      <c r="N1659" s="671" t="str">
        <f t="shared" si="124"/>
        <v>N/A</v>
      </c>
      <c r="O1659" s="671">
        <f t="shared" si="125"/>
        <v>708</v>
      </c>
      <c r="P1659" s="861" t="s">
        <v>690</v>
      </c>
      <c r="Q1659" s="861" t="s">
        <v>5481</v>
      </c>
      <c r="R1659" s="861"/>
      <c r="S1659" s="861" t="s">
        <v>8445</v>
      </c>
      <c r="T1659" s="866" t="s">
        <v>8446</v>
      </c>
      <c r="U1659" s="865"/>
    </row>
    <row r="1660" spans="1:21" ht="15">
      <c r="A1660" s="672"/>
      <c r="B1660" s="861" t="s">
        <v>8447</v>
      </c>
      <c r="C1660" s="861" t="s">
        <v>8448</v>
      </c>
      <c r="D1660" s="861" t="s">
        <v>371</v>
      </c>
      <c r="E1660" s="861"/>
      <c r="F1660" s="862">
        <v>-6.4000000000000001E-2</v>
      </c>
      <c r="G1660" s="869" t="e">
        <v>#DIV/0!</v>
      </c>
      <c r="H1660" s="874">
        <v>2221.2199999999998</v>
      </c>
      <c r="I1660" s="871"/>
      <c r="J1660" s="861"/>
      <c r="K1660" s="868">
        <f t="shared" si="122"/>
        <v>356</v>
      </c>
      <c r="L1660" s="861"/>
      <c r="M1660" s="671">
        <f t="shared" si="123"/>
        <v>1658</v>
      </c>
      <c r="N1660" s="671" t="str">
        <f t="shared" si="124"/>
        <v>N/A</v>
      </c>
      <c r="O1660" s="671">
        <f t="shared" si="125"/>
        <v>708</v>
      </c>
      <c r="P1660" s="861"/>
      <c r="Q1660" s="861"/>
      <c r="R1660" s="861"/>
      <c r="S1660" s="861" t="s">
        <v>572</v>
      </c>
      <c r="T1660" s="866"/>
      <c r="U1660" s="865"/>
    </row>
    <row r="1661" spans="1:21" ht="15">
      <c r="A1661" s="857"/>
      <c r="B1661" s="861" t="s">
        <v>8449</v>
      </c>
      <c r="C1661" s="861" t="s">
        <v>8450</v>
      </c>
      <c r="D1661" s="861" t="s">
        <v>371</v>
      </c>
      <c r="E1661" s="861"/>
      <c r="F1661" s="862"/>
      <c r="G1661" s="869">
        <v>2.8133336660000001</v>
      </c>
      <c r="H1661" s="874">
        <v>2160.5300000000002</v>
      </c>
      <c r="I1661" s="871"/>
      <c r="J1661" s="861"/>
      <c r="K1661" s="868">
        <f t="shared" si="122"/>
        <v>316</v>
      </c>
      <c r="L1661" s="861"/>
      <c r="M1661" s="671">
        <f t="shared" si="123"/>
        <v>1659</v>
      </c>
      <c r="N1661" s="671" t="str">
        <f t="shared" si="124"/>
        <v>N/A</v>
      </c>
      <c r="O1661" s="671">
        <f t="shared" si="125"/>
        <v>708</v>
      </c>
      <c r="P1661" s="861"/>
      <c r="Q1661" s="861"/>
      <c r="R1661" s="861"/>
      <c r="S1661" s="861" t="s">
        <v>563</v>
      </c>
      <c r="T1661" s="866" t="s">
        <v>8451</v>
      </c>
      <c r="U1661" s="865"/>
    </row>
    <row r="1662" spans="1:21" ht="15">
      <c r="A1662" s="672"/>
      <c r="B1662" s="861" t="s">
        <v>8452</v>
      </c>
      <c r="C1662" s="861" t="s">
        <v>8453</v>
      </c>
      <c r="D1662" s="861" t="s">
        <v>371</v>
      </c>
      <c r="E1662" s="861"/>
      <c r="F1662" s="862"/>
      <c r="G1662" s="870" t="s">
        <v>8454</v>
      </c>
      <c r="H1662" s="874">
        <v>2000</v>
      </c>
      <c r="I1662" s="871"/>
      <c r="J1662" s="863"/>
      <c r="K1662" s="868">
        <f t="shared" si="122"/>
        <v>316</v>
      </c>
      <c r="L1662" s="861"/>
      <c r="M1662" s="671">
        <f t="shared" si="123"/>
        <v>1660</v>
      </c>
      <c r="N1662" s="671" t="str">
        <f t="shared" si="124"/>
        <v>N/A</v>
      </c>
      <c r="O1662" s="671">
        <f t="shared" si="125"/>
        <v>708</v>
      </c>
      <c r="P1662" s="861" t="s">
        <v>4255</v>
      </c>
      <c r="Q1662" s="861"/>
      <c r="R1662" s="861"/>
      <c r="S1662" s="861" t="s">
        <v>1738</v>
      </c>
      <c r="T1662" s="866" t="s">
        <v>8455</v>
      </c>
      <c r="U1662" s="865"/>
    </row>
    <row r="1663" spans="1:21" ht="15">
      <c r="A1663" s="857"/>
      <c r="B1663" s="861" t="s">
        <v>8456</v>
      </c>
      <c r="C1663" s="861" t="s">
        <v>8457</v>
      </c>
      <c r="D1663" s="861" t="s">
        <v>371</v>
      </c>
      <c r="E1663" s="861"/>
      <c r="F1663" s="862"/>
      <c r="G1663" s="870" t="s">
        <v>8458</v>
      </c>
      <c r="H1663" s="874">
        <v>1896.51</v>
      </c>
      <c r="I1663" s="871"/>
      <c r="J1663" s="863"/>
      <c r="K1663" s="868">
        <f t="shared" si="122"/>
        <v>316</v>
      </c>
      <c r="L1663" s="861"/>
      <c r="M1663" s="671">
        <f t="shared" si="123"/>
        <v>1661</v>
      </c>
      <c r="N1663" s="671" t="str">
        <f t="shared" si="124"/>
        <v>N/A</v>
      </c>
      <c r="O1663" s="671">
        <f t="shared" si="125"/>
        <v>708</v>
      </c>
      <c r="P1663" s="863" t="s">
        <v>8459</v>
      </c>
      <c r="Q1663" s="861"/>
      <c r="R1663" s="861"/>
      <c r="S1663" s="861" t="s">
        <v>708</v>
      </c>
      <c r="T1663" s="866" t="s">
        <v>8460</v>
      </c>
      <c r="U1663" s="865"/>
    </row>
    <row r="1664" spans="1:21" ht="15">
      <c r="A1664" s="672"/>
      <c r="B1664" s="861" t="s">
        <v>8461</v>
      </c>
      <c r="C1664" s="861" t="s">
        <v>8462</v>
      </c>
      <c r="D1664" s="861" t="s">
        <v>371</v>
      </c>
      <c r="E1664" s="861"/>
      <c r="F1664" s="862"/>
      <c r="G1664" s="869" t="e">
        <v>#DIV/0!</v>
      </c>
      <c r="H1664" s="874">
        <v>1834.4</v>
      </c>
      <c r="I1664" s="871"/>
      <c r="J1664" s="863"/>
      <c r="K1664" s="868">
        <f t="shared" si="122"/>
        <v>316</v>
      </c>
      <c r="L1664" s="861"/>
      <c r="M1664" s="671">
        <f t="shared" si="123"/>
        <v>1662</v>
      </c>
      <c r="N1664" s="671" t="str">
        <f t="shared" si="124"/>
        <v>N/A</v>
      </c>
      <c r="O1664" s="671">
        <f t="shared" si="125"/>
        <v>708</v>
      </c>
      <c r="P1664" s="861" t="s">
        <v>2290</v>
      </c>
      <c r="Q1664" s="861"/>
      <c r="R1664" s="861"/>
      <c r="S1664" s="861" t="s">
        <v>3248</v>
      </c>
      <c r="T1664" s="866" t="s">
        <v>8463</v>
      </c>
      <c r="U1664" s="865"/>
    </row>
    <row r="1665" spans="1:21" ht="15">
      <c r="A1665" s="857"/>
      <c r="B1665" s="861" t="s">
        <v>8464</v>
      </c>
      <c r="C1665" s="861" t="s">
        <v>8465</v>
      </c>
      <c r="D1665" s="861" t="s">
        <v>371</v>
      </c>
      <c r="E1665" s="861"/>
      <c r="F1665" s="862"/>
      <c r="G1665" s="869" t="e">
        <v>#DIV/0!</v>
      </c>
      <c r="H1665" s="874">
        <v>1794.45</v>
      </c>
      <c r="I1665" s="871"/>
      <c r="J1665" s="863" t="s">
        <v>8466</v>
      </c>
      <c r="K1665" s="868">
        <f t="shared" si="122"/>
        <v>316</v>
      </c>
      <c r="L1665" s="861"/>
      <c r="M1665" s="671">
        <f t="shared" si="123"/>
        <v>1663</v>
      </c>
      <c r="N1665" s="671" t="str">
        <f t="shared" si="124"/>
        <v>N/A</v>
      </c>
      <c r="O1665" s="671" t="str">
        <f t="shared" si="125"/>
        <v>N/A</v>
      </c>
      <c r="P1665" s="861" t="s">
        <v>3476</v>
      </c>
      <c r="Q1665" s="861" t="s">
        <v>8467</v>
      </c>
      <c r="R1665" s="861"/>
      <c r="S1665" s="861" t="s">
        <v>889</v>
      </c>
      <c r="T1665" s="866" t="s">
        <v>8468</v>
      </c>
      <c r="U1665" s="865"/>
    </row>
    <row r="1666" spans="1:21" ht="15">
      <c r="A1666" s="672"/>
      <c r="B1666" s="861" t="s">
        <v>8469</v>
      </c>
      <c r="C1666" s="861" t="s">
        <v>8470</v>
      </c>
      <c r="D1666" s="861" t="s">
        <v>371</v>
      </c>
      <c r="E1666" s="861"/>
      <c r="F1666" s="862"/>
      <c r="G1666" s="870" t="s">
        <v>8471</v>
      </c>
      <c r="H1666" s="874">
        <v>1156.3</v>
      </c>
      <c r="I1666" s="871"/>
      <c r="J1666" s="863"/>
      <c r="K1666" s="868">
        <f t="shared" si="122"/>
        <v>316</v>
      </c>
      <c r="L1666" s="863" t="s">
        <v>8472</v>
      </c>
      <c r="M1666" s="671">
        <f t="shared" si="123"/>
        <v>1664</v>
      </c>
      <c r="N1666" s="671" t="str">
        <f t="shared" si="124"/>
        <v>N/A</v>
      </c>
      <c r="O1666" s="671">
        <f t="shared" si="125"/>
        <v>708</v>
      </c>
      <c r="P1666" s="861" t="s">
        <v>1475</v>
      </c>
      <c r="Q1666" s="861"/>
      <c r="R1666" s="861"/>
      <c r="S1666" s="861" t="s">
        <v>718</v>
      </c>
      <c r="T1666" s="866" t="s">
        <v>8473</v>
      </c>
      <c r="U1666" s="865"/>
    </row>
    <row r="1667" spans="1:21" ht="15">
      <c r="A1667" s="857"/>
      <c r="B1667" s="861" t="s">
        <v>8474</v>
      </c>
      <c r="C1667" s="861" t="s">
        <v>8475</v>
      </c>
      <c r="D1667" s="861" t="s">
        <v>371</v>
      </c>
      <c r="E1667" s="861"/>
      <c r="F1667" s="862"/>
      <c r="G1667" s="869" t="e">
        <v>#DIV/0!</v>
      </c>
      <c r="H1667" s="874">
        <v>1141.27</v>
      </c>
      <c r="I1667" s="871"/>
      <c r="J1667" s="863"/>
      <c r="K1667" s="868">
        <f t="shared" si="122"/>
        <v>316</v>
      </c>
      <c r="L1667" s="863" t="s">
        <v>6552</v>
      </c>
      <c r="M1667" s="671">
        <f t="shared" si="123"/>
        <v>1665</v>
      </c>
      <c r="N1667" s="671" t="str">
        <f t="shared" si="124"/>
        <v>N/A</v>
      </c>
      <c r="O1667" s="671">
        <f t="shared" si="125"/>
        <v>708</v>
      </c>
      <c r="P1667" s="861" t="s">
        <v>1640</v>
      </c>
      <c r="Q1667" s="861"/>
      <c r="R1667" s="863" t="s">
        <v>448</v>
      </c>
      <c r="S1667" s="861" t="s">
        <v>4591</v>
      </c>
      <c r="T1667" s="866" t="s">
        <v>8476</v>
      </c>
      <c r="U1667" s="865"/>
    </row>
    <row r="1668" spans="1:21" ht="15">
      <c r="A1668" s="672"/>
      <c r="B1668" s="861" t="s">
        <v>8477</v>
      </c>
      <c r="C1668" s="861" t="s">
        <v>8478</v>
      </c>
      <c r="D1668" s="861" t="s">
        <v>371</v>
      </c>
      <c r="E1668" s="861"/>
      <c r="F1668" s="862"/>
      <c r="G1668" s="869" t="e">
        <v>#DIV/0!</v>
      </c>
      <c r="H1668" s="874">
        <v>1140.05</v>
      </c>
      <c r="I1668" s="871"/>
      <c r="J1668" s="861"/>
      <c r="K1668" s="868">
        <f t="shared" ref="K1668:K1731" si="126">IFERROR(_xlfn.RANK.EQ(F1668,F$3:F$1770),"N/A")</f>
        <v>316</v>
      </c>
      <c r="L1668" s="861"/>
      <c r="M1668" s="671">
        <f t="shared" ref="M1668:M1731" si="127">IFERROR(_xlfn.RANK.EQ(H1668,H$3:H$1770),"N/A")</f>
        <v>1666</v>
      </c>
      <c r="N1668" s="671" t="str">
        <f t="shared" ref="N1668:N1731" si="128">IFERROR(_xlfn.RANK.EQ(I1668,I$3:I$1770),"N/A")</f>
        <v>N/A</v>
      </c>
      <c r="O1668" s="671">
        <f t="shared" ref="O1668:O1731" si="129">IFERROR(_xlfn.RANK.EQ(J1668,J$3:J$1770),"N/A")</f>
        <v>708</v>
      </c>
      <c r="P1668" s="861"/>
      <c r="Q1668" s="861"/>
      <c r="R1668" s="861"/>
      <c r="S1668" s="861" t="s">
        <v>526</v>
      </c>
      <c r="T1668" s="866" t="s">
        <v>8479</v>
      </c>
      <c r="U1668" s="865"/>
    </row>
    <row r="1669" spans="1:21" ht="15">
      <c r="A1669" s="857"/>
      <c r="B1669" s="861" t="s">
        <v>8480</v>
      </c>
      <c r="C1669" s="861" t="s">
        <v>8481</v>
      </c>
      <c r="D1669" s="861" t="s">
        <v>371</v>
      </c>
      <c r="E1669" s="861"/>
      <c r="F1669" s="862"/>
      <c r="G1669" s="870" t="s">
        <v>8482</v>
      </c>
      <c r="H1669" s="874">
        <v>1041.25</v>
      </c>
      <c r="I1669" s="871"/>
      <c r="J1669" s="861"/>
      <c r="K1669" s="868">
        <f t="shared" si="126"/>
        <v>316</v>
      </c>
      <c r="L1669" s="863" t="s">
        <v>1017</v>
      </c>
      <c r="M1669" s="671">
        <f t="shared" si="127"/>
        <v>1667</v>
      </c>
      <c r="N1669" s="671" t="str">
        <f t="shared" si="128"/>
        <v>N/A</v>
      </c>
      <c r="O1669" s="671">
        <f t="shared" si="129"/>
        <v>708</v>
      </c>
      <c r="P1669" s="861" t="s">
        <v>1018</v>
      </c>
      <c r="Q1669" s="861" t="s">
        <v>8483</v>
      </c>
      <c r="R1669" s="861"/>
      <c r="S1669" s="861" t="s">
        <v>3462</v>
      </c>
      <c r="T1669" s="866" t="s">
        <v>8484</v>
      </c>
      <c r="U1669" s="865"/>
    </row>
    <row r="1670" spans="1:21" ht="15">
      <c r="A1670" s="672"/>
      <c r="B1670" s="861" t="s">
        <v>8485</v>
      </c>
      <c r="C1670" s="861" t="s">
        <v>8486</v>
      </c>
      <c r="D1670" s="861" t="s">
        <v>371</v>
      </c>
      <c r="E1670" s="861"/>
      <c r="F1670" s="862"/>
      <c r="G1670" s="869" t="e">
        <v>#DIV/0!</v>
      </c>
      <c r="H1670" s="861">
        <v>720.54</v>
      </c>
      <c r="I1670" s="871"/>
      <c r="J1670" s="863" t="s">
        <v>512</v>
      </c>
      <c r="K1670" s="868">
        <f t="shared" si="126"/>
        <v>316</v>
      </c>
      <c r="L1670" s="861"/>
      <c r="M1670" s="671">
        <f t="shared" si="127"/>
        <v>1668</v>
      </c>
      <c r="N1670" s="671" t="str">
        <f t="shared" si="128"/>
        <v>N/A</v>
      </c>
      <c r="O1670" s="671" t="str">
        <f t="shared" si="129"/>
        <v>N/A</v>
      </c>
      <c r="P1670" s="861" t="s">
        <v>8487</v>
      </c>
      <c r="Q1670" s="861"/>
      <c r="R1670" s="861"/>
      <c r="S1670" s="861" t="s">
        <v>8488</v>
      </c>
      <c r="T1670" s="866" t="s">
        <v>8489</v>
      </c>
      <c r="U1670" s="865"/>
    </row>
    <row r="1671" spans="1:21" ht="15">
      <c r="A1671" s="857"/>
      <c r="B1671" s="861" t="s">
        <v>8490</v>
      </c>
      <c r="C1671" s="861" t="s">
        <v>8491</v>
      </c>
      <c r="D1671" s="861" t="s">
        <v>371</v>
      </c>
      <c r="E1671" s="861"/>
      <c r="F1671" s="862"/>
      <c r="G1671" s="870" t="s">
        <v>8492</v>
      </c>
      <c r="H1671" s="861">
        <v>660.52</v>
      </c>
      <c r="I1671" s="871"/>
      <c r="J1671" s="861"/>
      <c r="K1671" s="868">
        <f t="shared" si="126"/>
        <v>316</v>
      </c>
      <c r="L1671" s="861"/>
      <c r="M1671" s="671">
        <f t="shared" si="127"/>
        <v>1669</v>
      </c>
      <c r="N1671" s="671" t="str">
        <f t="shared" si="128"/>
        <v>N/A</v>
      </c>
      <c r="O1671" s="671">
        <f t="shared" si="129"/>
        <v>708</v>
      </c>
      <c r="P1671" s="861" t="s">
        <v>1419</v>
      </c>
      <c r="Q1671" s="861" t="s">
        <v>673</v>
      </c>
      <c r="R1671" s="861"/>
      <c r="S1671" s="861" t="s">
        <v>4637</v>
      </c>
      <c r="T1671" s="866" t="s">
        <v>8493</v>
      </c>
      <c r="U1671" s="865"/>
    </row>
    <row r="1672" spans="1:21" ht="15">
      <c r="A1672" s="672"/>
      <c r="B1672" s="861" t="s">
        <v>8494</v>
      </c>
      <c r="C1672" s="861" t="s">
        <v>8495</v>
      </c>
      <c r="D1672" s="861" t="s">
        <v>371</v>
      </c>
      <c r="E1672" s="861"/>
      <c r="F1672" s="862"/>
      <c r="G1672" s="869" t="e">
        <v>#DIV/0!</v>
      </c>
      <c r="H1672" s="861">
        <v>607.47</v>
      </c>
      <c r="I1672" s="871"/>
      <c r="J1672" s="861"/>
      <c r="K1672" s="868">
        <f t="shared" si="126"/>
        <v>316</v>
      </c>
      <c r="L1672" s="861"/>
      <c r="M1672" s="671">
        <f t="shared" si="127"/>
        <v>1670</v>
      </c>
      <c r="N1672" s="671" t="str">
        <f t="shared" si="128"/>
        <v>N/A</v>
      </c>
      <c r="O1672" s="671">
        <f t="shared" si="129"/>
        <v>708</v>
      </c>
      <c r="P1672" s="861"/>
      <c r="Q1672" s="861"/>
      <c r="R1672" s="861"/>
      <c r="S1672" s="861" t="s">
        <v>1165</v>
      </c>
      <c r="T1672" s="866" t="s">
        <v>8496</v>
      </c>
      <c r="U1672" s="865"/>
    </row>
    <row r="1673" spans="1:21" ht="15">
      <c r="A1673" s="857"/>
      <c r="B1673" s="861" t="s">
        <v>8497</v>
      </c>
      <c r="C1673" s="861" t="s">
        <v>8498</v>
      </c>
      <c r="D1673" s="861" t="s">
        <v>371</v>
      </c>
      <c r="E1673" s="861"/>
      <c r="F1673" s="862"/>
      <c r="G1673" s="869" t="e">
        <v>#DIV/0!</v>
      </c>
      <c r="H1673" s="861">
        <v>603.87</v>
      </c>
      <c r="I1673" s="871"/>
      <c r="J1673" s="861"/>
      <c r="K1673" s="868">
        <f t="shared" si="126"/>
        <v>316</v>
      </c>
      <c r="L1673" s="861"/>
      <c r="M1673" s="671">
        <f t="shared" si="127"/>
        <v>1671</v>
      </c>
      <c r="N1673" s="671" t="str">
        <f t="shared" si="128"/>
        <v>N/A</v>
      </c>
      <c r="O1673" s="671">
        <f t="shared" si="129"/>
        <v>708</v>
      </c>
      <c r="P1673" s="861"/>
      <c r="Q1673" s="861"/>
      <c r="R1673" s="861"/>
      <c r="S1673" s="861"/>
      <c r="T1673" s="866"/>
      <c r="U1673" s="865"/>
    </row>
    <row r="1674" spans="1:21" ht="15">
      <c r="A1674" s="672"/>
      <c r="B1674" s="861" t="s">
        <v>8499</v>
      </c>
      <c r="C1674" s="861" t="s">
        <v>8500</v>
      </c>
      <c r="D1674" s="861" t="s">
        <v>371</v>
      </c>
      <c r="E1674" s="861"/>
      <c r="F1674" s="862"/>
      <c r="G1674" s="870" t="s">
        <v>8501</v>
      </c>
      <c r="H1674" s="861">
        <v>506.29</v>
      </c>
      <c r="I1674" s="871"/>
      <c r="J1674" s="861"/>
      <c r="K1674" s="868">
        <f t="shared" si="126"/>
        <v>316</v>
      </c>
      <c r="L1674" s="861"/>
      <c r="M1674" s="671">
        <f t="shared" si="127"/>
        <v>1672</v>
      </c>
      <c r="N1674" s="671" t="str">
        <f t="shared" si="128"/>
        <v>N/A</v>
      </c>
      <c r="O1674" s="671">
        <f t="shared" si="129"/>
        <v>708</v>
      </c>
      <c r="P1674" s="861"/>
      <c r="Q1674" s="861"/>
      <c r="R1674" s="861"/>
      <c r="S1674" s="861"/>
      <c r="T1674" s="866"/>
      <c r="U1674" s="865"/>
    </row>
    <row r="1675" spans="1:21" ht="15">
      <c r="A1675" s="857"/>
      <c r="B1675" s="861" t="s">
        <v>8502</v>
      </c>
      <c r="C1675" s="861" t="s">
        <v>8503</v>
      </c>
      <c r="D1675" s="861" t="s">
        <v>371</v>
      </c>
      <c r="E1675" s="861"/>
      <c r="F1675" s="862"/>
      <c r="G1675" s="870" t="s">
        <v>8504</v>
      </c>
      <c r="H1675" s="861">
        <v>484.59</v>
      </c>
      <c r="I1675" s="871"/>
      <c r="J1675" s="863"/>
      <c r="K1675" s="868">
        <f t="shared" si="126"/>
        <v>316</v>
      </c>
      <c r="L1675" s="861"/>
      <c r="M1675" s="671">
        <f t="shared" si="127"/>
        <v>1673</v>
      </c>
      <c r="N1675" s="671" t="str">
        <f t="shared" si="128"/>
        <v>N/A</v>
      </c>
      <c r="O1675" s="671">
        <f t="shared" si="129"/>
        <v>708</v>
      </c>
      <c r="P1675" s="861"/>
      <c r="Q1675" s="861"/>
      <c r="R1675" s="861"/>
      <c r="S1675" s="861" t="s">
        <v>404</v>
      </c>
      <c r="T1675" s="866" t="s">
        <v>8505</v>
      </c>
      <c r="U1675" s="865"/>
    </row>
    <row r="1676" spans="1:21" ht="15">
      <c r="A1676" s="672"/>
      <c r="B1676" s="861" t="s">
        <v>8506</v>
      </c>
      <c r="C1676" s="861" t="s">
        <v>8507</v>
      </c>
      <c r="D1676" s="861" t="s">
        <v>371</v>
      </c>
      <c r="E1676" s="861"/>
      <c r="F1676" s="862"/>
      <c r="G1676" s="869" t="e">
        <v>#DIV/0!</v>
      </c>
      <c r="H1676" s="861">
        <v>411.24</v>
      </c>
      <c r="I1676" s="871"/>
      <c r="J1676" s="861"/>
      <c r="K1676" s="868">
        <f t="shared" si="126"/>
        <v>316</v>
      </c>
      <c r="L1676" s="861" t="s">
        <v>1252</v>
      </c>
      <c r="M1676" s="671">
        <f t="shared" si="127"/>
        <v>1674</v>
      </c>
      <c r="N1676" s="671" t="str">
        <f t="shared" si="128"/>
        <v>N/A</v>
      </c>
      <c r="O1676" s="671">
        <f t="shared" si="129"/>
        <v>708</v>
      </c>
      <c r="P1676" s="861" t="s">
        <v>1932</v>
      </c>
      <c r="Q1676" s="861" t="s">
        <v>2677</v>
      </c>
      <c r="R1676" s="861" t="s">
        <v>1574</v>
      </c>
      <c r="S1676" s="861" t="s">
        <v>3721</v>
      </c>
      <c r="T1676" s="866" t="s">
        <v>8508</v>
      </c>
      <c r="U1676" s="865"/>
    </row>
    <row r="1677" spans="1:21" ht="15">
      <c r="A1677" s="857"/>
      <c r="B1677" s="861" t="s">
        <v>8509</v>
      </c>
      <c r="C1677" s="861" t="s">
        <v>8510</v>
      </c>
      <c r="D1677" s="861" t="s">
        <v>371</v>
      </c>
      <c r="E1677" s="861"/>
      <c r="F1677" s="862">
        <v>0.26500000000000001</v>
      </c>
      <c r="G1677" s="869">
        <v>242.0507614</v>
      </c>
      <c r="H1677" s="861">
        <v>344.64</v>
      </c>
      <c r="I1677" s="871"/>
      <c r="J1677" s="863"/>
      <c r="K1677" s="868">
        <f t="shared" si="126"/>
        <v>64</v>
      </c>
      <c r="L1677" s="861"/>
      <c r="M1677" s="671">
        <f t="shared" si="127"/>
        <v>1675</v>
      </c>
      <c r="N1677" s="671" t="str">
        <f t="shared" si="128"/>
        <v>N/A</v>
      </c>
      <c r="O1677" s="671">
        <f t="shared" si="129"/>
        <v>708</v>
      </c>
      <c r="P1677" s="861"/>
      <c r="Q1677" s="861"/>
      <c r="R1677" s="861"/>
      <c r="S1677" s="861" t="s">
        <v>708</v>
      </c>
      <c r="T1677" s="866" t="s">
        <v>8511</v>
      </c>
      <c r="U1677" s="865"/>
    </row>
    <row r="1678" spans="1:21" ht="15">
      <c r="A1678" s="672"/>
      <c r="B1678" s="861" t="s">
        <v>8512</v>
      </c>
      <c r="C1678" s="861" t="s">
        <v>8513</v>
      </c>
      <c r="D1678" s="861" t="s">
        <v>371</v>
      </c>
      <c r="E1678" s="861"/>
      <c r="F1678" s="862"/>
      <c r="G1678" s="869" t="e">
        <v>#DIV/0!</v>
      </c>
      <c r="H1678" s="861">
        <v>343.29</v>
      </c>
      <c r="I1678" s="871"/>
      <c r="J1678" s="861"/>
      <c r="K1678" s="868">
        <f t="shared" si="126"/>
        <v>316</v>
      </c>
      <c r="L1678" s="861"/>
      <c r="M1678" s="671">
        <f t="shared" si="127"/>
        <v>1676</v>
      </c>
      <c r="N1678" s="671" t="str">
        <f t="shared" si="128"/>
        <v>N/A</v>
      </c>
      <c r="O1678" s="671">
        <f t="shared" si="129"/>
        <v>708</v>
      </c>
      <c r="P1678" s="861" t="s">
        <v>655</v>
      </c>
      <c r="Q1678" s="861" t="s">
        <v>1377</v>
      </c>
      <c r="R1678" s="861"/>
      <c r="S1678" s="861" t="s">
        <v>526</v>
      </c>
      <c r="T1678" s="866" t="s">
        <v>8514</v>
      </c>
      <c r="U1678" s="865"/>
    </row>
    <row r="1679" spans="1:21" ht="15">
      <c r="A1679" s="857"/>
      <c r="B1679" s="861" t="s">
        <v>8515</v>
      </c>
      <c r="C1679" s="861" t="s">
        <v>8516</v>
      </c>
      <c r="D1679" s="861" t="s">
        <v>371</v>
      </c>
      <c r="E1679" s="861"/>
      <c r="F1679" s="862"/>
      <c r="G1679" s="869" t="e">
        <v>#DIV/0!</v>
      </c>
      <c r="H1679" s="861">
        <v>323.77</v>
      </c>
      <c r="I1679" s="871"/>
      <c r="J1679" s="861"/>
      <c r="K1679" s="868">
        <f t="shared" si="126"/>
        <v>316</v>
      </c>
      <c r="L1679" s="861"/>
      <c r="M1679" s="671">
        <f t="shared" si="127"/>
        <v>1677</v>
      </c>
      <c r="N1679" s="671" t="str">
        <f t="shared" si="128"/>
        <v>N/A</v>
      </c>
      <c r="O1679" s="671">
        <f t="shared" si="129"/>
        <v>708</v>
      </c>
      <c r="P1679" s="861" t="s">
        <v>1386</v>
      </c>
      <c r="Q1679" s="861" t="s">
        <v>8517</v>
      </c>
      <c r="R1679" s="861"/>
      <c r="S1679" s="861" t="s">
        <v>2407</v>
      </c>
      <c r="T1679" s="866" t="s">
        <v>8518</v>
      </c>
      <c r="U1679" s="865"/>
    </row>
    <row r="1680" spans="1:21" ht="15">
      <c r="A1680" s="672"/>
      <c r="B1680" s="861" t="s">
        <v>8519</v>
      </c>
      <c r="C1680" s="861" t="s">
        <v>8520</v>
      </c>
      <c r="D1680" s="861" t="s">
        <v>371</v>
      </c>
      <c r="E1680" s="861"/>
      <c r="F1680" s="862"/>
      <c r="G1680" s="869" t="e">
        <v>#DIV/0!</v>
      </c>
      <c r="H1680" s="861">
        <v>292.73</v>
      </c>
      <c r="I1680" s="871"/>
      <c r="J1680" s="861"/>
      <c r="K1680" s="868">
        <f t="shared" si="126"/>
        <v>316</v>
      </c>
      <c r="L1680" s="861"/>
      <c r="M1680" s="671">
        <f t="shared" si="127"/>
        <v>1678</v>
      </c>
      <c r="N1680" s="671" t="str">
        <f t="shared" si="128"/>
        <v>N/A</v>
      </c>
      <c r="O1680" s="671">
        <f t="shared" si="129"/>
        <v>708</v>
      </c>
      <c r="P1680" s="861" t="s">
        <v>7595</v>
      </c>
      <c r="Q1680" s="861" t="s">
        <v>8521</v>
      </c>
      <c r="R1680" s="861"/>
      <c r="S1680" s="861" t="s">
        <v>3041</v>
      </c>
      <c r="T1680" s="866" t="s">
        <v>8522</v>
      </c>
      <c r="U1680" s="865"/>
    </row>
    <row r="1681" spans="1:21" ht="15">
      <c r="A1681" s="857"/>
      <c r="B1681" s="861" t="s">
        <v>8523</v>
      </c>
      <c r="C1681" s="861" t="s">
        <v>8524</v>
      </c>
      <c r="D1681" s="861" t="s">
        <v>371</v>
      </c>
      <c r="E1681" s="861"/>
      <c r="F1681" s="862"/>
      <c r="G1681" s="869" t="e">
        <v>#DIV/0!</v>
      </c>
      <c r="H1681" s="861">
        <v>256.27999999999997</v>
      </c>
      <c r="I1681" s="871"/>
      <c r="J1681" s="861"/>
      <c r="K1681" s="868">
        <f t="shared" si="126"/>
        <v>316</v>
      </c>
      <c r="L1681" s="861"/>
      <c r="M1681" s="671">
        <f t="shared" si="127"/>
        <v>1679</v>
      </c>
      <c r="N1681" s="671" t="str">
        <f t="shared" si="128"/>
        <v>N/A</v>
      </c>
      <c r="O1681" s="671">
        <f t="shared" si="129"/>
        <v>708</v>
      </c>
      <c r="P1681" s="861" t="s">
        <v>8525</v>
      </c>
      <c r="Q1681" s="861" t="s">
        <v>8526</v>
      </c>
      <c r="R1681" s="861"/>
      <c r="S1681" s="861" t="s">
        <v>8527</v>
      </c>
      <c r="T1681" s="866" t="s">
        <v>8528</v>
      </c>
      <c r="U1681" s="865"/>
    </row>
    <row r="1682" spans="1:21" ht="15">
      <c r="A1682" s="672"/>
      <c r="B1682" s="861" t="s">
        <v>8529</v>
      </c>
      <c r="C1682" s="861" t="s">
        <v>8530</v>
      </c>
      <c r="D1682" s="861" t="s">
        <v>371</v>
      </c>
      <c r="E1682" s="861"/>
      <c r="F1682" s="862"/>
      <c r="G1682" s="869" t="e">
        <v>#DIV/0!</v>
      </c>
      <c r="H1682" s="861">
        <v>246.83</v>
      </c>
      <c r="I1682" s="871"/>
      <c r="J1682" s="863"/>
      <c r="K1682" s="868">
        <f t="shared" si="126"/>
        <v>316</v>
      </c>
      <c r="L1682" s="861"/>
      <c r="M1682" s="671">
        <f t="shared" si="127"/>
        <v>1680</v>
      </c>
      <c r="N1682" s="671" t="str">
        <f t="shared" si="128"/>
        <v>N/A</v>
      </c>
      <c r="O1682" s="671">
        <f t="shared" si="129"/>
        <v>708</v>
      </c>
      <c r="P1682" s="861" t="s">
        <v>777</v>
      </c>
      <c r="Q1682" s="861"/>
      <c r="R1682" s="861"/>
      <c r="S1682" s="861" t="s">
        <v>5255</v>
      </c>
      <c r="T1682" s="866" t="s">
        <v>8531</v>
      </c>
      <c r="U1682" s="865"/>
    </row>
    <row r="1683" spans="1:21" ht="15">
      <c r="A1683" s="857"/>
      <c r="B1683" s="861" t="s">
        <v>8532</v>
      </c>
      <c r="C1683" s="861" t="s">
        <v>8533</v>
      </c>
      <c r="D1683" s="861" t="s">
        <v>371</v>
      </c>
      <c r="E1683" s="861"/>
      <c r="F1683" s="862"/>
      <c r="G1683" s="869" t="e">
        <v>#DIV/0!</v>
      </c>
      <c r="H1683" s="861">
        <v>193.48</v>
      </c>
      <c r="I1683" s="871"/>
      <c r="J1683" s="863"/>
      <c r="K1683" s="868">
        <f t="shared" si="126"/>
        <v>316</v>
      </c>
      <c r="L1683" s="861"/>
      <c r="M1683" s="671">
        <f t="shared" si="127"/>
        <v>1681</v>
      </c>
      <c r="N1683" s="671" t="str">
        <f t="shared" si="128"/>
        <v>N/A</v>
      </c>
      <c r="O1683" s="671">
        <f t="shared" si="129"/>
        <v>708</v>
      </c>
      <c r="P1683" s="861" t="s">
        <v>8534</v>
      </c>
      <c r="Q1683" s="861"/>
      <c r="R1683" s="861"/>
      <c r="S1683" s="861" t="s">
        <v>2962</v>
      </c>
      <c r="T1683" s="866" t="s">
        <v>8535</v>
      </c>
      <c r="U1683" s="865"/>
    </row>
    <row r="1684" spans="1:21" ht="15">
      <c r="A1684" s="672"/>
      <c r="B1684" s="861" t="s">
        <v>8536</v>
      </c>
      <c r="C1684" s="861" t="s">
        <v>8537</v>
      </c>
      <c r="D1684" s="861" t="s">
        <v>371</v>
      </c>
      <c r="E1684" s="861"/>
      <c r="F1684" s="862"/>
      <c r="G1684" s="869" t="e">
        <v>#DIV/0!</v>
      </c>
      <c r="H1684" s="861">
        <v>162.19</v>
      </c>
      <c r="I1684" s="871"/>
      <c r="J1684" s="863" t="s">
        <v>8538</v>
      </c>
      <c r="K1684" s="868">
        <f t="shared" si="126"/>
        <v>316</v>
      </c>
      <c r="L1684" s="861"/>
      <c r="M1684" s="671">
        <f t="shared" si="127"/>
        <v>1682</v>
      </c>
      <c r="N1684" s="671" t="str">
        <f t="shared" si="128"/>
        <v>N/A</v>
      </c>
      <c r="O1684" s="671" t="str">
        <f t="shared" si="129"/>
        <v>N/A</v>
      </c>
      <c r="P1684" s="861" t="s">
        <v>882</v>
      </c>
      <c r="Q1684" s="861"/>
      <c r="R1684" s="861"/>
      <c r="S1684" s="861" t="s">
        <v>8539</v>
      </c>
      <c r="T1684" s="866" t="s">
        <v>8540</v>
      </c>
      <c r="U1684" s="865"/>
    </row>
    <row r="1685" spans="1:21" ht="15">
      <c r="A1685" s="857"/>
      <c r="B1685" s="861" t="s">
        <v>8541</v>
      </c>
      <c r="C1685" s="861" t="s">
        <v>8542</v>
      </c>
      <c r="D1685" s="861" t="s">
        <v>371</v>
      </c>
      <c r="E1685" s="861"/>
      <c r="F1685" s="862"/>
      <c r="G1685" s="870" t="s">
        <v>8543</v>
      </c>
      <c r="H1685" s="861">
        <v>158.57</v>
      </c>
      <c r="I1685" s="871"/>
      <c r="J1685" s="861"/>
      <c r="K1685" s="868">
        <f t="shared" si="126"/>
        <v>316</v>
      </c>
      <c r="L1685" s="861"/>
      <c r="M1685" s="671">
        <f t="shared" si="127"/>
        <v>1683</v>
      </c>
      <c r="N1685" s="671" t="str">
        <f t="shared" si="128"/>
        <v>N/A</v>
      </c>
      <c r="O1685" s="671">
        <f t="shared" si="129"/>
        <v>708</v>
      </c>
      <c r="P1685" s="861"/>
      <c r="Q1685" s="861"/>
      <c r="R1685" s="861"/>
      <c r="S1685" s="861" t="s">
        <v>506</v>
      </c>
      <c r="T1685" s="866" t="s">
        <v>8544</v>
      </c>
      <c r="U1685" s="865"/>
    </row>
    <row r="1686" spans="1:21" ht="15">
      <c r="A1686" s="672"/>
      <c r="B1686" s="861" t="s">
        <v>8545</v>
      </c>
      <c r="C1686" s="861" t="s">
        <v>8546</v>
      </c>
      <c r="D1686" s="861" t="s">
        <v>371</v>
      </c>
      <c r="E1686" s="861"/>
      <c r="F1686" s="862">
        <v>1.0349999999999999</v>
      </c>
      <c r="G1686" s="869" t="e">
        <v>#DIV/0!</v>
      </c>
      <c r="H1686" s="861">
        <v>141.59</v>
      </c>
      <c r="I1686" s="871"/>
      <c r="J1686" s="863"/>
      <c r="K1686" s="868">
        <f t="shared" si="126"/>
        <v>8</v>
      </c>
      <c r="L1686" s="863" t="s">
        <v>2094</v>
      </c>
      <c r="M1686" s="671">
        <f t="shared" si="127"/>
        <v>1684</v>
      </c>
      <c r="N1686" s="671" t="str">
        <f t="shared" si="128"/>
        <v>N/A</v>
      </c>
      <c r="O1686" s="671">
        <f t="shared" si="129"/>
        <v>708</v>
      </c>
      <c r="P1686" s="861" t="s">
        <v>604</v>
      </c>
      <c r="Q1686" s="861"/>
      <c r="R1686" s="861"/>
      <c r="S1686" s="861" t="s">
        <v>1386</v>
      </c>
      <c r="T1686" s="866" t="s">
        <v>8547</v>
      </c>
      <c r="U1686" s="865"/>
    </row>
    <row r="1687" spans="1:21" ht="15">
      <c r="A1687" s="857"/>
      <c r="B1687" s="861" t="s">
        <v>8548</v>
      </c>
      <c r="C1687" s="861" t="s">
        <v>8549</v>
      </c>
      <c r="D1687" s="861" t="s">
        <v>371</v>
      </c>
      <c r="E1687" s="861"/>
      <c r="F1687" s="862"/>
      <c r="G1687" s="869" t="e">
        <v>#DIV/0!</v>
      </c>
      <c r="H1687" s="861">
        <v>125.17</v>
      </c>
      <c r="I1687" s="871"/>
      <c r="J1687" s="861"/>
      <c r="K1687" s="868">
        <f t="shared" si="126"/>
        <v>316</v>
      </c>
      <c r="L1687" s="861"/>
      <c r="M1687" s="671">
        <f t="shared" si="127"/>
        <v>1685</v>
      </c>
      <c r="N1687" s="671" t="str">
        <f t="shared" si="128"/>
        <v>N/A</v>
      </c>
      <c r="O1687" s="671">
        <f t="shared" si="129"/>
        <v>708</v>
      </c>
      <c r="P1687" s="861"/>
      <c r="Q1687" s="861"/>
      <c r="R1687" s="861"/>
      <c r="S1687" s="861" t="s">
        <v>624</v>
      </c>
      <c r="T1687" s="866" t="s">
        <v>8550</v>
      </c>
      <c r="U1687" s="865"/>
    </row>
    <row r="1688" spans="1:21" ht="15">
      <c r="A1688" s="672"/>
      <c r="B1688" s="861" t="s">
        <v>8551</v>
      </c>
      <c r="C1688" s="861" t="s">
        <v>8552</v>
      </c>
      <c r="D1688" s="861" t="s">
        <v>371</v>
      </c>
      <c r="E1688" s="861"/>
      <c r="F1688" s="862"/>
      <c r="G1688" s="870" t="s">
        <v>8553</v>
      </c>
      <c r="H1688" s="861">
        <v>124.34</v>
      </c>
      <c r="I1688" s="871"/>
      <c r="J1688" s="863"/>
      <c r="K1688" s="868">
        <f t="shared" si="126"/>
        <v>316</v>
      </c>
      <c r="L1688" s="863" t="s">
        <v>3670</v>
      </c>
      <c r="M1688" s="671">
        <f t="shared" si="127"/>
        <v>1686</v>
      </c>
      <c r="N1688" s="671" t="str">
        <f t="shared" si="128"/>
        <v>N/A</v>
      </c>
      <c r="O1688" s="671">
        <f t="shared" si="129"/>
        <v>708</v>
      </c>
      <c r="P1688" s="861" t="s">
        <v>1404</v>
      </c>
      <c r="Q1688" s="861"/>
      <c r="R1688" s="861"/>
      <c r="S1688" s="861" t="s">
        <v>3982</v>
      </c>
      <c r="T1688" s="866" t="s">
        <v>8554</v>
      </c>
      <c r="U1688" s="865"/>
    </row>
    <row r="1689" spans="1:21" ht="15">
      <c r="A1689" s="857"/>
      <c r="B1689" s="861" t="s">
        <v>8555</v>
      </c>
      <c r="C1689" s="861" t="s">
        <v>8556</v>
      </c>
      <c r="D1689" s="861" t="s">
        <v>371</v>
      </c>
      <c r="E1689" s="861"/>
      <c r="F1689" s="862">
        <v>-0.38100000000000001</v>
      </c>
      <c r="G1689" s="869" t="e">
        <v>#DIV/0!</v>
      </c>
      <c r="H1689" s="861">
        <v>119.07</v>
      </c>
      <c r="I1689" s="871"/>
      <c r="J1689" s="861"/>
      <c r="K1689" s="868">
        <f t="shared" si="126"/>
        <v>459</v>
      </c>
      <c r="L1689" s="861"/>
      <c r="M1689" s="671">
        <f t="shared" si="127"/>
        <v>1687</v>
      </c>
      <c r="N1689" s="671" t="str">
        <f t="shared" si="128"/>
        <v>N/A</v>
      </c>
      <c r="O1689" s="671">
        <f t="shared" si="129"/>
        <v>708</v>
      </c>
      <c r="P1689" s="861" t="s">
        <v>1558</v>
      </c>
      <c r="Q1689" s="861" t="s">
        <v>8557</v>
      </c>
      <c r="R1689" s="861"/>
      <c r="S1689" s="861" t="s">
        <v>2081</v>
      </c>
      <c r="T1689" s="866" t="s">
        <v>8558</v>
      </c>
      <c r="U1689" s="865"/>
    </row>
    <row r="1690" spans="1:21" ht="15">
      <c r="A1690" s="672"/>
      <c r="B1690" s="861" t="s">
        <v>8559</v>
      </c>
      <c r="C1690" s="861" t="s">
        <v>8560</v>
      </c>
      <c r="D1690" s="861" t="s">
        <v>371</v>
      </c>
      <c r="E1690" s="861"/>
      <c r="F1690" s="862"/>
      <c r="G1690" s="870" t="s">
        <v>8561</v>
      </c>
      <c r="H1690" s="861">
        <v>111.78</v>
      </c>
      <c r="I1690" s="871"/>
      <c r="J1690" s="863" t="s">
        <v>8562</v>
      </c>
      <c r="K1690" s="868">
        <f t="shared" si="126"/>
        <v>316</v>
      </c>
      <c r="L1690" s="863" t="s">
        <v>3167</v>
      </c>
      <c r="M1690" s="671">
        <f t="shared" si="127"/>
        <v>1688</v>
      </c>
      <c r="N1690" s="671" t="str">
        <f t="shared" si="128"/>
        <v>N/A</v>
      </c>
      <c r="O1690" s="671" t="str">
        <f t="shared" si="129"/>
        <v>N/A</v>
      </c>
      <c r="P1690" s="861" t="s">
        <v>572</v>
      </c>
      <c r="Q1690" s="861"/>
      <c r="R1690" s="861"/>
      <c r="S1690" s="861" t="s">
        <v>708</v>
      </c>
      <c r="T1690" s="866" t="s">
        <v>8563</v>
      </c>
      <c r="U1690" s="865"/>
    </row>
    <row r="1691" spans="1:21" ht="15">
      <c r="A1691" s="857"/>
      <c r="B1691" s="861" t="s">
        <v>8564</v>
      </c>
      <c r="C1691" s="861" t="s">
        <v>8565</v>
      </c>
      <c r="D1691" s="861" t="s">
        <v>371</v>
      </c>
      <c r="E1691" s="861"/>
      <c r="F1691" s="862"/>
      <c r="G1691" s="870" t="s">
        <v>8566</v>
      </c>
      <c r="H1691" s="861">
        <v>96.87</v>
      </c>
      <c r="I1691" s="871"/>
      <c r="J1691" s="863"/>
      <c r="K1691" s="868">
        <f t="shared" si="126"/>
        <v>316</v>
      </c>
      <c r="L1691" s="861"/>
      <c r="M1691" s="671">
        <f t="shared" si="127"/>
        <v>1689</v>
      </c>
      <c r="N1691" s="671" t="str">
        <f t="shared" si="128"/>
        <v>N/A</v>
      </c>
      <c r="O1691" s="671">
        <f t="shared" si="129"/>
        <v>708</v>
      </c>
      <c r="P1691" s="861" t="s">
        <v>1475</v>
      </c>
      <c r="Q1691" s="861"/>
      <c r="R1691" s="861"/>
      <c r="S1691" s="861" t="s">
        <v>507</v>
      </c>
      <c r="T1691" s="866" t="s">
        <v>8567</v>
      </c>
      <c r="U1691" s="865"/>
    </row>
    <row r="1692" spans="1:21" ht="15">
      <c r="A1692" s="672"/>
      <c r="B1692" s="861" t="s">
        <v>8568</v>
      </c>
      <c r="C1692" s="861" t="s">
        <v>8569</v>
      </c>
      <c r="D1692" s="861" t="s">
        <v>371</v>
      </c>
      <c r="E1692" s="861"/>
      <c r="F1692" s="862"/>
      <c r="G1692" s="869" t="e">
        <v>#DIV/0!</v>
      </c>
      <c r="H1692" s="861">
        <v>88.84</v>
      </c>
      <c r="I1692" s="871"/>
      <c r="J1692" s="863"/>
      <c r="K1692" s="868">
        <f t="shared" si="126"/>
        <v>316</v>
      </c>
      <c r="L1692" s="861"/>
      <c r="M1692" s="671">
        <f t="shared" si="127"/>
        <v>1690</v>
      </c>
      <c r="N1692" s="671" t="str">
        <f t="shared" si="128"/>
        <v>N/A</v>
      </c>
      <c r="O1692" s="671">
        <f t="shared" si="129"/>
        <v>708</v>
      </c>
      <c r="P1692" s="861"/>
      <c r="Q1692" s="861"/>
      <c r="R1692" s="861"/>
      <c r="S1692" s="861" t="s">
        <v>404</v>
      </c>
      <c r="T1692" s="866" t="s">
        <v>8570</v>
      </c>
      <c r="U1692" s="865"/>
    </row>
    <row r="1693" spans="1:21" ht="15">
      <c r="A1693" s="857"/>
      <c r="B1693" s="861" t="s">
        <v>8571</v>
      </c>
      <c r="C1693" s="861" t="s">
        <v>8572</v>
      </c>
      <c r="D1693" s="861" t="s">
        <v>371</v>
      </c>
      <c r="E1693" s="861"/>
      <c r="F1693" s="862"/>
      <c r="G1693" s="870" t="s">
        <v>8573</v>
      </c>
      <c r="H1693" s="861">
        <v>80</v>
      </c>
      <c r="I1693" s="871"/>
      <c r="J1693" s="861"/>
      <c r="K1693" s="868">
        <f t="shared" si="126"/>
        <v>316</v>
      </c>
      <c r="L1693" s="861"/>
      <c r="M1693" s="671">
        <f t="shared" si="127"/>
        <v>1691</v>
      </c>
      <c r="N1693" s="671" t="str">
        <f t="shared" si="128"/>
        <v>N/A</v>
      </c>
      <c r="O1693" s="671">
        <f t="shared" si="129"/>
        <v>708</v>
      </c>
      <c r="P1693" s="861"/>
      <c r="Q1693" s="861"/>
      <c r="R1693" s="861"/>
      <c r="S1693" s="861" t="s">
        <v>1989</v>
      </c>
      <c r="T1693" s="866" t="s">
        <v>8574</v>
      </c>
      <c r="U1693" s="865"/>
    </row>
    <row r="1694" spans="1:21" ht="15">
      <c r="A1694" s="672"/>
      <c r="B1694" s="861" t="s">
        <v>8575</v>
      </c>
      <c r="C1694" s="861" t="s">
        <v>8576</v>
      </c>
      <c r="D1694" s="861" t="s">
        <v>371</v>
      </c>
      <c r="E1694" s="861"/>
      <c r="F1694" s="862"/>
      <c r="G1694" s="869">
        <v>0</v>
      </c>
      <c r="H1694" s="861">
        <v>71.819999999999993</v>
      </c>
      <c r="I1694" s="871"/>
      <c r="J1694" s="861"/>
      <c r="K1694" s="868">
        <f t="shared" si="126"/>
        <v>316</v>
      </c>
      <c r="L1694" s="861"/>
      <c r="M1694" s="671">
        <f t="shared" si="127"/>
        <v>1692</v>
      </c>
      <c r="N1694" s="671" t="str">
        <f t="shared" si="128"/>
        <v>N/A</v>
      </c>
      <c r="O1694" s="671">
        <f t="shared" si="129"/>
        <v>708</v>
      </c>
      <c r="P1694" s="861"/>
      <c r="Q1694" s="861"/>
      <c r="R1694" s="861"/>
      <c r="S1694" s="861"/>
      <c r="T1694" s="866"/>
      <c r="U1694" s="865"/>
    </row>
    <row r="1695" spans="1:21" ht="15">
      <c r="A1695" s="857"/>
      <c r="B1695" s="861" t="s">
        <v>8577</v>
      </c>
      <c r="C1695" s="861" t="s">
        <v>8578</v>
      </c>
      <c r="D1695" s="861" t="s">
        <v>371</v>
      </c>
      <c r="E1695" s="861"/>
      <c r="F1695" s="862"/>
      <c r="G1695" s="870" t="s">
        <v>8579</v>
      </c>
      <c r="H1695" s="861">
        <v>69.72</v>
      </c>
      <c r="I1695" s="871"/>
      <c r="J1695" s="863"/>
      <c r="K1695" s="868">
        <f t="shared" si="126"/>
        <v>316</v>
      </c>
      <c r="L1695" s="861"/>
      <c r="M1695" s="671">
        <f t="shared" si="127"/>
        <v>1693</v>
      </c>
      <c r="N1695" s="671" t="str">
        <f t="shared" si="128"/>
        <v>N/A</v>
      </c>
      <c r="O1695" s="671">
        <f t="shared" si="129"/>
        <v>708</v>
      </c>
      <c r="P1695" s="861" t="s">
        <v>2497</v>
      </c>
      <c r="Q1695" s="861" t="s">
        <v>8580</v>
      </c>
      <c r="R1695" s="861"/>
      <c r="S1695" s="861" t="s">
        <v>2998</v>
      </c>
      <c r="T1695" s="866" t="s">
        <v>8581</v>
      </c>
      <c r="U1695" s="865"/>
    </row>
    <row r="1696" spans="1:21" ht="15">
      <c r="A1696" s="672"/>
      <c r="B1696" s="861" t="s">
        <v>8582</v>
      </c>
      <c r="C1696" s="861" t="s">
        <v>8583</v>
      </c>
      <c r="D1696" s="861" t="s">
        <v>371</v>
      </c>
      <c r="E1696" s="861"/>
      <c r="F1696" s="862">
        <v>1.069</v>
      </c>
      <c r="G1696" s="869" t="e">
        <v>#DIV/0!</v>
      </c>
      <c r="H1696" s="861">
        <v>60.79</v>
      </c>
      <c r="I1696" s="871"/>
      <c r="J1696" s="861"/>
      <c r="K1696" s="868">
        <f t="shared" si="126"/>
        <v>6</v>
      </c>
      <c r="L1696" s="861"/>
      <c r="M1696" s="671">
        <f t="shared" si="127"/>
        <v>1694</v>
      </c>
      <c r="N1696" s="671" t="str">
        <f t="shared" si="128"/>
        <v>N/A</v>
      </c>
      <c r="O1696" s="671">
        <f t="shared" si="129"/>
        <v>708</v>
      </c>
      <c r="P1696" s="861"/>
      <c r="Q1696" s="861"/>
      <c r="R1696" s="861"/>
      <c r="S1696" s="861" t="s">
        <v>4419</v>
      </c>
      <c r="T1696" s="866" t="s">
        <v>8584</v>
      </c>
      <c r="U1696" s="865"/>
    </row>
    <row r="1697" spans="1:21" ht="15">
      <c r="A1697" s="857"/>
      <c r="B1697" s="861" t="s">
        <v>8585</v>
      </c>
      <c r="C1697" s="861" t="s">
        <v>8586</v>
      </c>
      <c r="D1697" s="861" t="s">
        <v>371</v>
      </c>
      <c r="E1697" s="861"/>
      <c r="F1697" s="862"/>
      <c r="G1697" s="869" t="e">
        <v>#DIV/0!</v>
      </c>
      <c r="H1697" s="861">
        <v>52.77</v>
      </c>
      <c r="I1697" s="871"/>
      <c r="J1697" s="861"/>
      <c r="K1697" s="868">
        <f t="shared" si="126"/>
        <v>316</v>
      </c>
      <c r="L1697" s="861"/>
      <c r="M1697" s="671">
        <f t="shared" si="127"/>
        <v>1695</v>
      </c>
      <c r="N1697" s="671" t="str">
        <f t="shared" si="128"/>
        <v>N/A</v>
      </c>
      <c r="O1697" s="671">
        <f t="shared" si="129"/>
        <v>708</v>
      </c>
      <c r="P1697" s="861"/>
      <c r="Q1697" s="861"/>
      <c r="R1697" s="861"/>
      <c r="S1697" s="861" t="s">
        <v>1732</v>
      </c>
      <c r="T1697" s="866" t="s">
        <v>8587</v>
      </c>
      <c r="U1697" s="865"/>
    </row>
    <row r="1698" spans="1:21" ht="15">
      <c r="A1698" s="672"/>
      <c r="B1698" s="861" t="s">
        <v>8588</v>
      </c>
      <c r="C1698" s="861" t="s">
        <v>8589</v>
      </c>
      <c r="D1698" s="861" t="s">
        <v>371</v>
      </c>
      <c r="E1698" s="861"/>
      <c r="F1698" s="862">
        <v>1.3779999999999999</v>
      </c>
      <c r="G1698" s="869" t="e">
        <v>#DIV/0!</v>
      </c>
      <c r="H1698" s="861">
        <v>50.1</v>
      </c>
      <c r="I1698" s="871"/>
      <c r="J1698" s="861"/>
      <c r="K1698" s="868">
        <f t="shared" si="126"/>
        <v>5</v>
      </c>
      <c r="L1698" s="861"/>
      <c r="M1698" s="671">
        <f t="shared" si="127"/>
        <v>1696</v>
      </c>
      <c r="N1698" s="671" t="str">
        <f t="shared" si="128"/>
        <v>N/A</v>
      </c>
      <c r="O1698" s="671">
        <f t="shared" si="129"/>
        <v>708</v>
      </c>
      <c r="P1698" s="861" t="s">
        <v>2937</v>
      </c>
      <c r="Q1698" s="861" t="s">
        <v>8590</v>
      </c>
      <c r="R1698" s="861"/>
      <c r="S1698" s="861" t="s">
        <v>8591</v>
      </c>
      <c r="T1698" s="866" t="s">
        <v>8592</v>
      </c>
      <c r="U1698" s="865"/>
    </row>
    <row r="1699" spans="1:21" ht="15">
      <c r="A1699" s="857"/>
      <c r="B1699" s="861" t="s">
        <v>8593</v>
      </c>
      <c r="C1699" s="861" t="s">
        <v>8594</v>
      </c>
      <c r="D1699" s="861" t="s">
        <v>371</v>
      </c>
      <c r="E1699" s="861"/>
      <c r="F1699" s="862"/>
      <c r="G1699" s="869">
        <v>0</v>
      </c>
      <c r="H1699" s="861">
        <v>42.74</v>
      </c>
      <c r="I1699" s="871"/>
      <c r="J1699" s="862">
        <v>0.33500000000000002</v>
      </c>
      <c r="K1699" s="868">
        <f t="shared" si="126"/>
        <v>316</v>
      </c>
      <c r="L1699" s="861"/>
      <c r="M1699" s="671">
        <f t="shared" si="127"/>
        <v>1697</v>
      </c>
      <c r="N1699" s="671" t="str">
        <f t="shared" si="128"/>
        <v>N/A</v>
      </c>
      <c r="O1699" s="671">
        <f t="shared" si="129"/>
        <v>89</v>
      </c>
      <c r="P1699" s="861"/>
      <c r="Q1699" s="861"/>
      <c r="R1699" s="861"/>
      <c r="S1699" s="861" t="s">
        <v>1497</v>
      </c>
      <c r="T1699" s="866" t="s">
        <v>8595</v>
      </c>
      <c r="U1699" s="865"/>
    </row>
    <row r="1700" spans="1:21" ht="15">
      <c r="A1700" s="672"/>
      <c r="B1700" s="861" t="s">
        <v>8596</v>
      </c>
      <c r="C1700" s="861" t="s">
        <v>8597</v>
      </c>
      <c r="D1700" s="861" t="s">
        <v>371</v>
      </c>
      <c r="E1700" s="861"/>
      <c r="F1700" s="862"/>
      <c r="G1700" s="869">
        <v>0.31339969000000001</v>
      </c>
      <c r="H1700" s="861">
        <v>31.78</v>
      </c>
      <c r="I1700" s="871"/>
      <c r="J1700" s="863"/>
      <c r="K1700" s="868">
        <f t="shared" si="126"/>
        <v>316</v>
      </c>
      <c r="L1700" s="861"/>
      <c r="M1700" s="671">
        <f t="shared" si="127"/>
        <v>1698</v>
      </c>
      <c r="N1700" s="671" t="str">
        <f t="shared" si="128"/>
        <v>N/A</v>
      </c>
      <c r="O1700" s="671">
        <f t="shared" si="129"/>
        <v>708</v>
      </c>
      <c r="P1700" s="861"/>
      <c r="Q1700" s="861"/>
      <c r="R1700" s="861"/>
      <c r="S1700" s="861" t="s">
        <v>734</v>
      </c>
      <c r="T1700" s="866" t="s">
        <v>8598</v>
      </c>
      <c r="U1700" s="865"/>
    </row>
    <row r="1701" spans="1:21" ht="15">
      <c r="A1701" s="857"/>
      <c r="B1701" s="861" t="s">
        <v>8599</v>
      </c>
      <c r="C1701" s="861" t="s">
        <v>8600</v>
      </c>
      <c r="D1701" s="861" t="s">
        <v>371</v>
      </c>
      <c r="E1701" s="861"/>
      <c r="F1701" s="862"/>
      <c r="G1701" s="869" t="e">
        <v>#DIV/0!</v>
      </c>
      <c r="H1701" s="861">
        <v>30.8</v>
      </c>
      <c r="I1701" s="871"/>
      <c r="J1701" s="863" t="s">
        <v>8601</v>
      </c>
      <c r="K1701" s="868">
        <f t="shared" si="126"/>
        <v>316</v>
      </c>
      <c r="L1701" s="863" t="s">
        <v>6552</v>
      </c>
      <c r="M1701" s="671">
        <f t="shared" si="127"/>
        <v>1699</v>
      </c>
      <c r="N1701" s="671" t="str">
        <f t="shared" si="128"/>
        <v>N/A</v>
      </c>
      <c r="O1701" s="671" t="str">
        <f t="shared" si="129"/>
        <v>N/A</v>
      </c>
      <c r="P1701" s="861" t="s">
        <v>1307</v>
      </c>
      <c r="Q1701" s="861"/>
      <c r="R1701" s="861"/>
      <c r="S1701" s="861" t="s">
        <v>1419</v>
      </c>
      <c r="T1701" s="866" t="s">
        <v>8602</v>
      </c>
      <c r="U1701" s="865"/>
    </row>
    <row r="1702" spans="1:21" ht="15">
      <c r="A1702" s="672"/>
      <c r="B1702" s="861" t="s">
        <v>8603</v>
      </c>
      <c r="C1702" s="861" t="s">
        <v>8604</v>
      </c>
      <c r="D1702" s="861" t="s">
        <v>371</v>
      </c>
      <c r="E1702" s="861"/>
      <c r="F1702" s="862"/>
      <c r="G1702" s="870" t="s">
        <v>8605</v>
      </c>
      <c r="H1702" s="861">
        <v>26.48</v>
      </c>
      <c r="I1702" s="871"/>
      <c r="J1702" s="863"/>
      <c r="K1702" s="868">
        <f t="shared" si="126"/>
        <v>316</v>
      </c>
      <c r="L1702" s="861" t="s">
        <v>1252</v>
      </c>
      <c r="M1702" s="671">
        <f t="shared" si="127"/>
        <v>1700</v>
      </c>
      <c r="N1702" s="671" t="str">
        <f t="shared" si="128"/>
        <v>N/A</v>
      </c>
      <c r="O1702" s="671">
        <f t="shared" si="129"/>
        <v>708</v>
      </c>
      <c r="P1702" s="861" t="s">
        <v>2436</v>
      </c>
      <c r="Q1702" s="861" t="s">
        <v>8606</v>
      </c>
      <c r="R1702" s="861"/>
      <c r="S1702" s="861" t="s">
        <v>5843</v>
      </c>
      <c r="T1702" s="866" t="s">
        <v>8607</v>
      </c>
      <c r="U1702" s="865"/>
    </row>
    <row r="1703" spans="1:21" ht="15">
      <c r="A1703" s="857"/>
      <c r="B1703" s="861" t="s">
        <v>8608</v>
      </c>
      <c r="C1703" s="861" t="s">
        <v>8609</v>
      </c>
      <c r="D1703" s="861" t="s">
        <v>371</v>
      </c>
      <c r="E1703" s="861"/>
      <c r="F1703" s="862"/>
      <c r="G1703" s="869" t="e">
        <v>#DIV/0!</v>
      </c>
      <c r="H1703" s="861">
        <v>23.99</v>
      </c>
      <c r="I1703" s="871"/>
      <c r="J1703" s="861"/>
      <c r="K1703" s="868">
        <f t="shared" si="126"/>
        <v>316</v>
      </c>
      <c r="L1703" s="861" t="s">
        <v>563</v>
      </c>
      <c r="M1703" s="671">
        <f t="shared" si="127"/>
        <v>1701</v>
      </c>
      <c r="N1703" s="671" t="str">
        <f t="shared" si="128"/>
        <v>N/A</v>
      </c>
      <c r="O1703" s="671">
        <f t="shared" si="129"/>
        <v>708</v>
      </c>
      <c r="P1703" s="861" t="s">
        <v>2407</v>
      </c>
      <c r="Q1703" s="861"/>
      <c r="R1703" s="861"/>
      <c r="S1703" s="861" t="s">
        <v>2891</v>
      </c>
      <c r="T1703" s="866" t="s">
        <v>8610</v>
      </c>
      <c r="U1703" s="865"/>
    </row>
    <row r="1704" spans="1:21" ht="15">
      <c r="A1704" s="672"/>
      <c r="B1704" s="861" t="s">
        <v>8611</v>
      </c>
      <c r="C1704" s="861" t="s">
        <v>8612</v>
      </c>
      <c r="D1704" s="861" t="s">
        <v>371</v>
      </c>
      <c r="E1704" s="861"/>
      <c r="F1704" s="862"/>
      <c r="G1704" s="869" t="e">
        <v>#DIV/0!</v>
      </c>
      <c r="H1704" s="861">
        <v>22.28</v>
      </c>
      <c r="I1704" s="871"/>
      <c r="J1704" s="863"/>
      <c r="K1704" s="868">
        <f t="shared" si="126"/>
        <v>316</v>
      </c>
      <c r="L1704" s="861"/>
      <c r="M1704" s="671">
        <f t="shared" si="127"/>
        <v>1702</v>
      </c>
      <c r="N1704" s="671" t="str">
        <f t="shared" si="128"/>
        <v>N/A</v>
      </c>
      <c r="O1704" s="671">
        <f t="shared" si="129"/>
        <v>708</v>
      </c>
      <c r="P1704" s="861" t="s">
        <v>8613</v>
      </c>
      <c r="Q1704" s="861"/>
      <c r="R1704" s="861"/>
      <c r="S1704" s="861" t="s">
        <v>467</v>
      </c>
      <c r="T1704" s="866" t="s">
        <v>8614</v>
      </c>
      <c r="U1704" s="865"/>
    </row>
    <row r="1705" spans="1:21" ht="15">
      <c r="A1705" s="857"/>
      <c r="B1705" s="861" t="s">
        <v>8615</v>
      </c>
      <c r="C1705" s="861" t="s">
        <v>8616</v>
      </c>
      <c r="D1705" s="861" t="s">
        <v>371</v>
      </c>
      <c r="E1705" s="861"/>
      <c r="F1705" s="862"/>
      <c r="G1705" s="869" t="e">
        <v>#DIV/0!</v>
      </c>
      <c r="H1705" s="861">
        <v>20.57</v>
      </c>
      <c r="I1705" s="871"/>
      <c r="J1705" s="861"/>
      <c r="K1705" s="868">
        <f t="shared" si="126"/>
        <v>316</v>
      </c>
      <c r="L1705" s="861"/>
      <c r="M1705" s="671">
        <f t="shared" si="127"/>
        <v>1703</v>
      </c>
      <c r="N1705" s="671" t="str">
        <f t="shared" si="128"/>
        <v>N/A</v>
      </c>
      <c r="O1705" s="671">
        <f t="shared" si="129"/>
        <v>708</v>
      </c>
      <c r="P1705" s="861" t="s">
        <v>1061</v>
      </c>
      <c r="Q1705" s="861" t="s">
        <v>5415</v>
      </c>
      <c r="R1705" s="861"/>
      <c r="S1705" s="861" t="s">
        <v>1816</v>
      </c>
      <c r="T1705" s="866" t="s">
        <v>8617</v>
      </c>
      <c r="U1705" s="865"/>
    </row>
    <row r="1706" spans="1:21" ht="15">
      <c r="A1706" s="672"/>
      <c r="B1706" s="861" t="s">
        <v>8618</v>
      </c>
      <c r="C1706" s="861" t="s">
        <v>8619</v>
      </c>
      <c r="D1706" s="861" t="s">
        <v>371</v>
      </c>
      <c r="E1706" s="861"/>
      <c r="F1706" s="862"/>
      <c r="G1706" s="869" t="e">
        <v>#DIV/0!</v>
      </c>
      <c r="H1706" s="861">
        <v>20.2</v>
      </c>
      <c r="I1706" s="871"/>
      <c r="J1706" s="861"/>
      <c r="K1706" s="868">
        <f t="shared" si="126"/>
        <v>316</v>
      </c>
      <c r="L1706" s="861"/>
      <c r="M1706" s="671">
        <f t="shared" si="127"/>
        <v>1704</v>
      </c>
      <c r="N1706" s="671" t="str">
        <f t="shared" si="128"/>
        <v>N/A</v>
      </c>
      <c r="O1706" s="671">
        <f t="shared" si="129"/>
        <v>708</v>
      </c>
      <c r="P1706" s="861" t="s">
        <v>8620</v>
      </c>
      <c r="Q1706" s="861" t="s">
        <v>8621</v>
      </c>
      <c r="R1706" s="861"/>
      <c r="S1706" s="861" t="s">
        <v>404</v>
      </c>
      <c r="T1706" s="866" t="s">
        <v>8622</v>
      </c>
      <c r="U1706" s="865"/>
    </row>
    <row r="1707" spans="1:21" ht="15">
      <c r="A1707" s="857"/>
      <c r="B1707" s="861" t="s">
        <v>8623</v>
      </c>
      <c r="C1707" s="861" t="s">
        <v>8624</v>
      </c>
      <c r="D1707" s="861" t="s">
        <v>371</v>
      </c>
      <c r="E1707" s="861"/>
      <c r="F1707" s="862"/>
      <c r="G1707" s="869" t="e">
        <v>#DIV/0!</v>
      </c>
      <c r="H1707" s="861">
        <v>18</v>
      </c>
      <c r="I1707" s="871"/>
      <c r="J1707" s="861"/>
      <c r="K1707" s="868">
        <f t="shared" si="126"/>
        <v>316</v>
      </c>
      <c r="L1707" s="861"/>
      <c r="M1707" s="671">
        <f t="shared" si="127"/>
        <v>1705</v>
      </c>
      <c r="N1707" s="671" t="str">
        <f t="shared" si="128"/>
        <v>N/A</v>
      </c>
      <c r="O1707" s="671">
        <f t="shared" si="129"/>
        <v>708</v>
      </c>
      <c r="P1707" s="861" t="s">
        <v>1419</v>
      </c>
      <c r="Q1707" s="861" t="s">
        <v>8625</v>
      </c>
      <c r="R1707" s="861"/>
      <c r="S1707" s="861" t="s">
        <v>8626</v>
      </c>
      <c r="T1707" s="866" t="s">
        <v>8627</v>
      </c>
      <c r="U1707" s="865"/>
    </row>
    <row r="1708" spans="1:21" ht="15">
      <c r="A1708" s="672"/>
      <c r="B1708" s="861" t="s">
        <v>8628</v>
      </c>
      <c r="C1708" s="861" t="s">
        <v>8629</v>
      </c>
      <c r="D1708" s="861" t="s">
        <v>371</v>
      </c>
      <c r="E1708" s="861"/>
      <c r="F1708" s="862"/>
      <c r="G1708" s="869" t="e">
        <v>#DIV/0!</v>
      </c>
      <c r="H1708" s="861">
        <v>15.09</v>
      </c>
      <c r="I1708" s="871"/>
      <c r="J1708" s="861"/>
      <c r="K1708" s="868">
        <f t="shared" si="126"/>
        <v>316</v>
      </c>
      <c r="L1708" s="861"/>
      <c r="M1708" s="671">
        <f t="shared" si="127"/>
        <v>1706</v>
      </c>
      <c r="N1708" s="671" t="str">
        <f t="shared" si="128"/>
        <v>N/A</v>
      </c>
      <c r="O1708" s="671">
        <f t="shared" si="129"/>
        <v>708</v>
      </c>
      <c r="P1708" s="861" t="s">
        <v>6822</v>
      </c>
      <c r="Q1708" s="861" t="s">
        <v>8630</v>
      </c>
      <c r="R1708" s="861"/>
      <c r="S1708" s="861" t="s">
        <v>3541</v>
      </c>
      <c r="T1708" s="866" t="s">
        <v>8631</v>
      </c>
      <c r="U1708" s="865"/>
    </row>
    <row r="1709" spans="1:21" ht="15">
      <c r="A1709" s="857"/>
      <c r="B1709" s="861" t="s">
        <v>8632</v>
      </c>
      <c r="C1709" s="861" t="s">
        <v>8633</v>
      </c>
      <c r="D1709" s="861" t="s">
        <v>371</v>
      </c>
      <c r="E1709" s="861"/>
      <c r="F1709" s="862"/>
      <c r="G1709" s="869" t="e">
        <v>#DIV/0!</v>
      </c>
      <c r="H1709" s="861">
        <v>11.87</v>
      </c>
      <c r="I1709" s="871"/>
      <c r="J1709" s="863"/>
      <c r="K1709" s="868">
        <f t="shared" si="126"/>
        <v>316</v>
      </c>
      <c r="L1709" s="861"/>
      <c r="M1709" s="671">
        <f t="shared" si="127"/>
        <v>1707</v>
      </c>
      <c r="N1709" s="671" t="str">
        <f t="shared" si="128"/>
        <v>N/A</v>
      </c>
      <c r="O1709" s="671">
        <f t="shared" si="129"/>
        <v>708</v>
      </c>
      <c r="P1709" s="861" t="s">
        <v>8634</v>
      </c>
      <c r="Q1709" s="861"/>
      <c r="R1709" s="861"/>
      <c r="S1709" s="861" t="s">
        <v>1230</v>
      </c>
      <c r="T1709" s="866" t="s">
        <v>8635</v>
      </c>
      <c r="U1709" s="865"/>
    </row>
    <row r="1710" spans="1:21" ht="15">
      <c r="A1710" s="672"/>
      <c r="B1710" s="861" t="s">
        <v>8636</v>
      </c>
      <c r="C1710" s="861" t="s">
        <v>8637</v>
      </c>
      <c r="D1710" s="861" t="s">
        <v>371</v>
      </c>
      <c r="E1710" s="861"/>
      <c r="F1710" s="862"/>
      <c r="G1710" s="870" t="s">
        <v>8638</v>
      </c>
      <c r="H1710" s="861">
        <v>9.59</v>
      </c>
      <c r="I1710" s="871"/>
      <c r="J1710" s="861"/>
      <c r="K1710" s="868">
        <f t="shared" si="126"/>
        <v>316</v>
      </c>
      <c r="L1710" s="861"/>
      <c r="M1710" s="671">
        <f t="shared" si="127"/>
        <v>1708</v>
      </c>
      <c r="N1710" s="671" t="str">
        <f t="shared" si="128"/>
        <v>N/A</v>
      </c>
      <c r="O1710" s="671">
        <f t="shared" si="129"/>
        <v>708</v>
      </c>
      <c r="P1710" s="861" t="s">
        <v>1386</v>
      </c>
      <c r="Q1710" s="861" t="s">
        <v>7696</v>
      </c>
      <c r="R1710" s="861"/>
      <c r="S1710" s="861" t="s">
        <v>1369</v>
      </c>
      <c r="T1710" s="866" t="s">
        <v>8639</v>
      </c>
      <c r="U1710" s="865"/>
    </row>
    <row r="1711" spans="1:21" ht="15">
      <c r="A1711" s="857"/>
      <c r="B1711" s="861" t="s">
        <v>8640</v>
      </c>
      <c r="C1711" s="861" t="s">
        <v>8641</v>
      </c>
      <c r="D1711" s="861" t="s">
        <v>371</v>
      </c>
      <c r="E1711" s="861"/>
      <c r="F1711" s="862"/>
      <c r="G1711" s="869" t="e">
        <v>#DIV/0!</v>
      </c>
      <c r="H1711" s="861">
        <v>8.14</v>
      </c>
      <c r="I1711" s="871"/>
      <c r="J1711" s="861"/>
      <c r="K1711" s="868">
        <f t="shared" si="126"/>
        <v>316</v>
      </c>
      <c r="L1711" s="861"/>
      <c r="M1711" s="671">
        <f t="shared" si="127"/>
        <v>1709</v>
      </c>
      <c r="N1711" s="671" t="str">
        <f t="shared" si="128"/>
        <v>N/A</v>
      </c>
      <c r="O1711" s="671">
        <f t="shared" si="129"/>
        <v>708</v>
      </c>
      <c r="P1711" s="861" t="s">
        <v>2823</v>
      </c>
      <c r="Q1711" s="861" t="s">
        <v>8642</v>
      </c>
      <c r="R1711" s="861"/>
      <c r="S1711" s="861" t="s">
        <v>594</v>
      </c>
      <c r="T1711" s="866" t="s">
        <v>8643</v>
      </c>
      <c r="U1711" s="865"/>
    </row>
    <row r="1712" spans="1:21" ht="15">
      <c r="A1712" s="672"/>
      <c r="B1712" s="861" t="s">
        <v>8644</v>
      </c>
      <c r="C1712" s="861" t="s">
        <v>8645</v>
      </c>
      <c r="D1712" s="861" t="s">
        <v>371</v>
      </c>
      <c r="E1712" s="861"/>
      <c r="F1712" s="862">
        <v>0.13900000000000001</v>
      </c>
      <c r="G1712" s="869" t="e">
        <v>#DIV/0!</v>
      </c>
      <c r="H1712" s="861">
        <v>8</v>
      </c>
      <c r="I1712" s="871"/>
      <c r="J1712" s="863" t="s">
        <v>8646</v>
      </c>
      <c r="K1712" s="868">
        <f t="shared" si="126"/>
        <v>151</v>
      </c>
      <c r="L1712" s="861"/>
      <c r="M1712" s="671">
        <f t="shared" si="127"/>
        <v>1710</v>
      </c>
      <c r="N1712" s="671" t="str">
        <f t="shared" si="128"/>
        <v>N/A</v>
      </c>
      <c r="O1712" s="671" t="str">
        <f t="shared" si="129"/>
        <v>N/A</v>
      </c>
      <c r="P1712" s="861"/>
      <c r="Q1712" s="861"/>
      <c r="R1712" s="861"/>
      <c r="S1712" s="861"/>
      <c r="T1712" s="866" t="s">
        <v>8647</v>
      </c>
      <c r="U1712" s="865"/>
    </row>
    <row r="1713" spans="1:21" ht="15">
      <c r="A1713" s="857"/>
      <c r="B1713" s="861" t="s">
        <v>8648</v>
      </c>
      <c r="C1713" s="861" t="s">
        <v>8649</v>
      </c>
      <c r="D1713" s="861" t="s">
        <v>371</v>
      </c>
      <c r="E1713" s="861"/>
      <c r="F1713" s="864"/>
      <c r="G1713" s="870" t="s">
        <v>8650</v>
      </c>
      <c r="H1713" s="861">
        <v>7.69</v>
      </c>
      <c r="I1713" s="871"/>
      <c r="J1713" s="861"/>
      <c r="K1713" s="868">
        <f t="shared" si="126"/>
        <v>316</v>
      </c>
      <c r="L1713" s="861"/>
      <c r="M1713" s="671">
        <f t="shared" si="127"/>
        <v>1711</v>
      </c>
      <c r="N1713" s="671" t="str">
        <f t="shared" si="128"/>
        <v>N/A</v>
      </c>
      <c r="O1713" s="671">
        <f t="shared" si="129"/>
        <v>708</v>
      </c>
      <c r="P1713" s="861"/>
      <c r="Q1713" s="861"/>
      <c r="R1713" s="861"/>
      <c r="S1713" s="861"/>
      <c r="T1713" s="866" t="s">
        <v>8651</v>
      </c>
      <c r="U1713" s="865"/>
    </row>
    <row r="1714" spans="1:21" ht="15">
      <c r="A1714" s="672"/>
      <c r="B1714" s="861" t="s">
        <v>8652</v>
      </c>
      <c r="C1714" s="861" t="s">
        <v>8653</v>
      </c>
      <c r="D1714" s="861" t="s">
        <v>371</v>
      </c>
      <c r="E1714" s="861"/>
      <c r="F1714" s="864"/>
      <c r="G1714" s="869" t="e">
        <v>#DIV/0!</v>
      </c>
      <c r="H1714" s="861">
        <v>6.2</v>
      </c>
      <c r="I1714" s="871"/>
      <c r="J1714" s="861"/>
      <c r="K1714" s="868">
        <f t="shared" si="126"/>
        <v>316</v>
      </c>
      <c r="L1714" s="861"/>
      <c r="M1714" s="671">
        <f t="shared" si="127"/>
        <v>1712</v>
      </c>
      <c r="N1714" s="671" t="str">
        <f t="shared" si="128"/>
        <v>N/A</v>
      </c>
      <c r="O1714" s="671">
        <f t="shared" si="129"/>
        <v>708</v>
      </c>
      <c r="P1714" s="861" t="s">
        <v>1989</v>
      </c>
      <c r="Q1714" s="861" t="s">
        <v>4913</v>
      </c>
      <c r="R1714" s="861"/>
      <c r="S1714" s="861" t="s">
        <v>5299</v>
      </c>
      <c r="T1714" s="866" t="s">
        <v>8654</v>
      </c>
      <c r="U1714" s="865"/>
    </row>
    <row r="1715" spans="1:21" ht="15">
      <c r="A1715" s="857"/>
      <c r="B1715" s="861" t="s">
        <v>8655</v>
      </c>
      <c r="C1715" s="861" t="s">
        <v>8656</v>
      </c>
      <c r="D1715" s="861" t="s">
        <v>371</v>
      </c>
      <c r="E1715" s="861"/>
      <c r="F1715" s="864"/>
      <c r="G1715" s="869">
        <v>0</v>
      </c>
      <c r="H1715" s="861">
        <v>3.83</v>
      </c>
      <c r="I1715" s="871"/>
      <c r="J1715" s="861"/>
      <c r="K1715" s="868">
        <f t="shared" si="126"/>
        <v>316</v>
      </c>
      <c r="L1715" s="861"/>
      <c r="M1715" s="671">
        <f t="shared" si="127"/>
        <v>1713</v>
      </c>
      <c r="N1715" s="671" t="str">
        <f t="shared" si="128"/>
        <v>N/A</v>
      </c>
      <c r="O1715" s="671">
        <f t="shared" si="129"/>
        <v>708</v>
      </c>
      <c r="P1715" s="861" t="s">
        <v>8657</v>
      </c>
      <c r="Q1715" s="861" t="s">
        <v>8658</v>
      </c>
      <c r="R1715" s="861"/>
      <c r="S1715" s="861" t="s">
        <v>8659</v>
      </c>
      <c r="T1715" s="866" t="s">
        <v>8660</v>
      </c>
      <c r="U1715" s="865"/>
    </row>
    <row r="1716" spans="1:21" ht="15">
      <c r="A1716" s="672"/>
      <c r="B1716" s="861" t="s">
        <v>8661</v>
      </c>
      <c r="C1716" s="861" t="s">
        <v>8662</v>
      </c>
      <c r="D1716" s="861" t="s">
        <v>371</v>
      </c>
      <c r="E1716" s="861"/>
      <c r="F1716" s="864"/>
      <c r="G1716" s="870" t="s">
        <v>8663</v>
      </c>
      <c r="H1716" s="861">
        <v>3.71</v>
      </c>
      <c r="I1716" s="871"/>
      <c r="J1716" s="861"/>
      <c r="K1716" s="868">
        <f t="shared" si="126"/>
        <v>316</v>
      </c>
      <c r="L1716" s="861"/>
      <c r="M1716" s="671">
        <f t="shared" si="127"/>
        <v>1714</v>
      </c>
      <c r="N1716" s="671" t="str">
        <f t="shared" si="128"/>
        <v>N/A</v>
      </c>
      <c r="O1716" s="671">
        <f t="shared" si="129"/>
        <v>708</v>
      </c>
      <c r="P1716" s="861" t="s">
        <v>1425</v>
      </c>
      <c r="Q1716" s="861" t="s">
        <v>6107</v>
      </c>
      <c r="R1716" s="861"/>
      <c r="S1716" s="861" t="s">
        <v>404</v>
      </c>
      <c r="T1716" s="866" t="s">
        <v>8664</v>
      </c>
      <c r="U1716" s="865"/>
    </row>
    <row r="1717" spans="1:21" ht="15">
      <c r="A1717" s="857"/>
      <c r="B1717" s="861" t="s">
        <v>8665</v>
      </c>
      <c r="C1717" s="861" t="s">
        <v>8666</v>
      </c>
      <c r="D1717" s="861" t="s">
        <v>371</v>
      </c>
      <c r="E1717" s="861"/>
      <c r="F1717" s="864"/>
      <c r="G1717" s="869" t="e">
        <v>#DIV/0!</v>
      </c>
      <c r="H1717" s="861">
        <v>3.44</v>
      </c>
      <c r="I1717" s="871"/>
      <c r="J1717" s="863"/>
      <c r="K1717" s="868">
        <f t="shared" si="126"/>
        <v>316</v>
      </c>
      <c r="L1717" s="861"/>
      <c r="M1717" s="671">
        <f t="shared" si="127"/>
        <v>1715</v>
      </c>
      <c r="N1717" s="671" t="str">
        <f t="shared" si="128"/>
        <v>N/A</v>
      </c>
      <c r="O1717" s="671">
        <f t="shared" si="129"/>
        <v>708</v>
      </c>
      <c r="P1717" s="861" t="s">
        <v>2821</v>
      </c>
      <c r="Q1717" s="861"/>
      <c r="R1717" s="861"/>
      <c r="S1717" s="861" t="s">
        <v>8667</v>
      </c>
      <c r="T1717" s="866" t="s">
        <v>8668</v>
      </c>
      <c r="U1717" s="865"/>
    </row>
    <row r="1718" spans="1:21" ht="15">
      <c r="A1718" s="672"/>
      <c r="B1718" s="861" t="s">
        <v>8669</v>
      </c>
      <c r="C1718" s="861" t="s">
        <v>8670</v>
      </c>
      <c r="D1718" s="861" t="s">
        <v>371</v>
      </c>
      <c r="E1718" s="861"/>
      <c r="F1718" s="864"/>
      <c r="G1718" s="869" t="e">
        <v>#DIV/0!</v>
      </c>
      <c r="H1718" s="861">
        <v>2.1800000000000002</v>
      </c>
      <c r="I1718" s="871"/>
      <c r="J1718" s="861"/>
      <c r="K1718" s="868">
        <f t="shared" si="126"/>
        <v>316</v>
      </c>
      <c r="L1718" s="861"/>
      <c r="M1718" s="671">
        <f t="shared" si="127"/>
        <v>1716</v>
      </c>
      <c r="N1718" s="671" t="str">
        <f t="shared" si="128"/>
        <v>N/A</v>
      </c>
      <c r="O1718" s="671">
        <f t="shared" si="129"/>
        <v>708</v>
      </c>
      <c r="P1718" s="861"/>
      <c r="Q1718" s="861"/>
      <c r="R1718" s="861"/>
      <c r="S1718" s="861" t="s">
        <v>868</v>
      </c>
      <c r="T1718" s="866" t="s">
        <v>8671</v>
      </c>
      <c r="U1718" s="865"/>
    </row>
    <row r="1719" spans="1:21" ht="15">
      <c r="A1719" s="857"/>
      <c r="B1719" s="861" t="s">
        <v>8672</v>
      </c>
      <c r="C1719" s="861" t="s">
        <v>8673</v>
      </c>
      <c r="D1719" s="861" t="s">
        <v>371</v>
      </c>
      <c r="E1719" s="861"/>
      <c r="F1719" s="864"/>
      <c r="G1719" s="869" t="e">
        <v>#DIV/0!</v>
      </c>
      <c r="H1719" s="861"/>
      <c r="I1719" s="871"/>
      <c r="J1719" s="861"/>
      <c r="K1719" s="868">
        <f t="shared" si="126"/>
        <v>316</v>
      </c>
      <c r="L1719" s="863" t="s">
        <v>2330</v>
      </c>
      <c r="M1719" s="671" t="str">
        <f t="shared" si="127"/>
        <v>N/A</v>
      </c>
      <c r="N1719" s="671" t="str">
        <f t="shared" si="128"/>
        <v>N/A</v>
      </c>
      <c r="O1719" s="671">
        <f t="shared" si="129"/>
        <v>708</v>
      </c>
      <c r="P1719" s="861"/>
      <c r="Q1719" s="861"/>
      <c r="R1719" s="861"/>
      <c r="S1719" s="861" t="s">
        <v>1020</v>
      </c>
      <c r="T1719" s="866" t="s">
        <v>8674</v>
      </c>
      <c r="U1719" s="865"/>
    </row>
    <row r="1720" spans="1:21" ht="15">
      <c r="A1720" s="672"/>
      <c r="B1720" s="861" t="s">
        <v>8675</v>
      </c>
      <c r="C1720" s="861" t="s">
        <v>8676</v>
      </c>
      <c r="D1720" s="861" t="s">
        <v>371</v>
      </c>
      <c r="E1720" s="861"/>
      <c r="F1720" s="864"/>
      <c r="G1720" s="869" t="e">
        <v>#DIV/0!</v>
      </c>
      <c r="H1720" s="861"/>
      <c r="I1720" s="871"/>
      <c r="J1720" s="861"/>
      <c r="K1720" s="868">
        <f t="shared" si="126"/>
        <v>316</v>
      </c>
      <c r="L1720" s="861"/>
      <c r="M1720" s="671" t="str">
        <f t="shared" si="127"/>
        <v>N/A</v>
      </c>
      <c r="N1720" s="671" t="str">
        <f t="shared" si="128"/>
        <v>N/A</v>
      </c>
      <c r="O1720" s="671">
        <f t="shared" si="129"/>
        <v>708</v>
      </c>
      <c r="P1720" s="861" t="s">
        <v>6393</v>
      </c>
      <c r="Q1720" s="861" t="s">
        <v>6866</v>
      </c>
      <c r="R1720" s="861"/>
      <c r="S1720" s="861" t="s">
        <v>4093</v>
      </c>
      <c r="T1720" s="866" t="s">
        <v>8677</v>
      </c>
      <c r="U1720" s="865"/>
    </row>
    <row r="1721" spans="1:21" ht="15">
      <c r="A1721" s="857"/>
      <c r="B1721" s="861" t="s">
        <v>8678</v>
      </c>
      <c r="C1721" s="861" t="s">
        <v>8679</v>
      </c>
      <c r="D1721" s="861" t="s">
        <v>371</v>
      </c>
      <c r="E1721" s="861"/>
      <c r="F1721" s="864"/>
      <c r="G1721" s="869">
        <v>2.1285220260000002</v>
      </c>
      <c r="H1721" s="861"/>
      <c r="I1721" s="871"/>
      <c r="J1721" s="861"/>
      <c r="K1721" s="868">
        <f t="shared" si="126"/>
        <v>316</v>
      </c>
      <c r="L1721" s="861"/>
      <c r="M1721" s="671" t="str">
        <f t="shared" si="127"/>
        <v>N/A</v>
      </c>
      <c r="N1721" s="671" t="str">
        <f t="shared" si="128"/>
        <v>N/A</v>
      </c>
      <c r="O1721" s="671">
        <f t="shared" si="129"/>
        <v>708</v>
      </c>
      <c r="P1721" s="861" t="s">
        <v>2376</v>
      </c>
      <c r="Q1721" s="861" t="s">
        <v>8680</v>
      </c>
      <c r="R1721" s="861"/>
      <c r="S1721" s="861" t="s">
        <v>424</v>
      </c>
      <c r="T1721" s="866" t="s">
        <v>8681</v>
      </c>
      <c r="U1721" s="865"/>
    </row>
    <row r="1722" spans="1:21" ht="15">
      <c r="A1722" s="672"/>
      <c r="B1722" s="861" t="s">
        <v>8682</v>
      </c>
      <c r="C1722" s="861" t="s">
        <v>8683</v>
      </c>
      <c r="D1722" s="861" t="s">
        <v>371</v>
      </c>
      <c r="E1722" s="861"/>
      <c r="F1722" s="864"/>
      <c r="G1722" s="869" t="e">
        <v>#DIV/0!</v>
      </c>
      <c r="H1722" s="861"/>
      <c r="I1722" s="871"/>
      <c r="J1722" s="863" t="s">
        <v>8684</v>
      </c>
      <c r="K1722" s="868">
        <f t="shared" si="126"/>
        <v>316</v>
      </c>
      <c r="L1722" s="861" t="s">
        <v>4192</v>
      </c>
      <c r="M1722" s="671" t="str">
        <f t="shared" si="127"/>
        <v>N/A</v>
      </c>
      <c r="N1722" s="671" t="str">
        <f t="shared" si="128"/>
        <v>N/A</v>
      </c>
      <c r="O1722" s="671" t="str">
        <f t="shared" si="129"/>
        <v>N/A</v>
      </c>
      <c r="P1722" s="861" t="s">
        <v>4109</v>
      </c>
      <c r="Q1722" s="861" t="s">
        <v>8685</v>
      </c>
      <c r="R1722" s="861"/>
      <c r="S1722" s="861" t="s">
        <v>8686</v>
      </c>
      <c r="T1722" s="866" t="s">
        <v>8687</v>
      </c>
      <c r="U1722" s="865"/>
    </row>
    <row r="1723" spans="1:21" ht="15">
      <c r="A1723" s="857"/>
      <c r="B1723" s="861" t="s">
        <v>8688</v>
      </c>
      <c r="C1723" s="861" t="s">
        <v>8689</v>
      </c>
      <c r="D1723" s="861" t="s">
        <v>371</v>
      </c>
      <c r="E1723" s="861"/>
      <c r="F1723" s="864"/>
      <c r="G1723" s="870" t="s">
        <v>8690</v>
      </c>
      <c r="H1723" s="861"/>
      <c r="I1723" s="871"/>
      <c r="J1723" s="863"/>
      <c r="K1723" s="868">
        <f t="shared" si="126"/>
        <v>316</v>
      </c>
      <c r="L1723" s="861"/>
      <c r="M1723" s="671" t="str">
        <f t="shared" si="127"/>
        <v>N/A</v>
      </c>
      <c r="N1723" s="671" t="str">
        <f t="shared" si="128"/>
        <v>N/A</v>
      </c>
      <c r="O1723" s="671">
        <f t="shared" si="129"/>
        <v>708</v>
      </c>
      <c r="P1723" s="861" t="s">
        <v>1490</v>
      </c>
      <c r="Q1723" s="861"/>
      <c r="R1723" s="861"/>
      <c r="S1723" s="861" t="s">
        <v>3693</v>
      </c>
      <c r="T1723" s="866" t="s">
        <v>8691</v>
      </c>
      <c r="U1723" s="865"/>
    </row>
    <row r="1724" spans="1:21" ht="15">
      <c r="A1724" s="672"/>
      <c r="B1724" s="861" t="s">
        <v>8692</v>
      </c>
      <c r="C1724" s="861" t="s">
        <v>8693</v>
      </c>
      <c r="D1724" s="861" t="s">
        <v>371</v>
      </c>
      <c r="E1724" s="861"/>
      <c r="F1724" s="864"/>
      <c r="G1724" s="869" t="e">
        <v>#DIV/0!</v>
      </c>
      <c r="H1724" s="861"/>
      <c r="I1724" s="871"/>
      <c r="J1724" s="861"/>
      <c r="K1724" s="868">
        <f t="shared" si="126"/>
        <v>316</v>
      </c>
      <c r="L1724" s="861"/>
      <c r="M1724" s="671" t="str">
        <f t="shared" si="127"/>
        <v>N/A</v>
      </c>
      <c r="N1724" s="671" t="str">
        <f t="shared" si="128"/>
        <v>N/A</v>
      </c>
      <c r="O1724" s="671">
        <f t="shared" si="129"/>
        <v>708</v>
      </c>
      <c r="P1724" s="861" t="s">
        <v>8694</v>
      </c>
      <c r="Q1724" s="861" t="s">
        <v>8695</v>
      </c>
      <c r="R1724" s="861"/>
      <c r="S1724" s="861" t="s">
        <v>1746</v>
      </c>
      <c r="T1724" s="866" t="s">
        <v>8696</v>
      </c>
      <c r="U1724" s="865"/>
    </row>
    <row r="1725" spans="1:21" ht="15">
      <c r="A1725" s="857"/>
      <c r="B1725" s="861" t="s">
        <v>8697</v>
      </c>
      <c r="C1725" s="861" t="s">
        <v>8698</v>
      </c>
      <c r="D1725" s="861" t="s">
        <v>371</v>
      </c>
      <c r="E1725" s="861"/>
      <c r="F1725" s="864"/>
      <c r="G1725" s="869" t="e">
        <v>#DIV/0!</v>
      </c>
      <c r="H1725" s="861"/>
      <c r="I1725" s="871"/>
      <c r="J1725" s="863"/>
      <c r="K1725" s="868">
        <f t="shared" si="126"/>
        <v>316</v>
      </c>
      <c r="L1725" s="861"/>
      <c r="M1725" s="671" t="str">
        <f t="shared" si="127"/>
        <v>N/A</v>
      </c>
      <c r="N1725" s="671" t="str">
        <f t="shared" si="128"/>
        <v>N/A</v>
      </c>
      <c r="O1725" s="671">
        <f t="shared" si="129"/>
        <v>708</v>
      </c>
      <c r="P1725" s="861" t="s">
        <v>6624</v>
      </c>
      <c r="Q1725" s="861"/>
      <c r="R1725" s="861"/>
      <c r="S1725" s="861" t="s">
        <v>1852</v>
      </c>
      <c r="T1725" s="866" t="s">
        <v>8699</v>
      </c>
      <c r="U1725" s="865"/>
    </row>
    <row r="1726" spans="1:21" ht="15">
      <c r="A1726" s="672"/>
      <c r="B1726" s="861" t="s">
        <v>8700</v>
      </c>
      <c r="C1726" s="861" t="s">
        <v>8701</v>
      </c>
      <c r="D1726" s="861" t="s">
        <v>371</v>
      </c>
      <c r="E1726" s="861"/>
      <c r="F1726" s="864"/>
      <c r="G1726" s="869" t="e">
        <v>#DIV/0!</v>
      </c>
      <c r="H1726" s="861"/>
      <c r="I1726" s="871"/>
      <c r="J1726" s="861"/>
      <c r="K1726" s="868">
        <f t="shared" si="126"/>
        <v>316</v>
      </c>
      <c r="L1726" s="861"/>
      <c r="M1726" s="671" t="str">
        <f t="shared" si="127"/>
        <v>N/A</v>
      </c>
      <c r="N1726" s="671" t="str">
        <f t="shared" si="128"/>
        <v>N/A</v>
      </c>
      <c r="O1726" s="671">
        <f t="shared" si="129"/>
        <v>708</v>
      </c>
      <c r="P1726" s="861" t="s">
        <v>4773</v>
      </c>
      <c r="Q1726" s="861" t="s">
        <v>8702</v>
      </c>
      <c r="R1726" s="861"/>
      <c r="S1726" s="861" t="s">
        <v>734</v>
      </c>
      <c r="T1726" s="866" t="s">
        <v>8703</v>
      </c>
      <c r="U1726" s="865"/>
    </row>
    <row r="1727" spans="1:21" ht="15">
      <c r="A1727" s="857"/>
      <c r="B1727" s="861" t="s">
        <v>8704</v>
      </c>
      <c r="C1727" s="861" t="s">
        <v>8705</v>
      </c>
      <c r="D1727" s="861" t="s">
        <v>371</v>
      </c>
      <c r="E1727" s="861"/>
      <c r="F1727" s="864"/>
      <c r="G1727" s="869" t="e">
        <v>#DIV/0!</v>
      </c>
      <c r="H1727" s="861"/>
      <c r="I1727" s="871"/>
      <c r="J1727" s="863"/>
      <c r="K1727" s="868">
        <f t="shared" si="126"/>
        <v>316</v>
      </c>
      <c r="L1727" s="863" t="s">
        <v>7415</v>
      </c>
      <c r="M1727" s="671" t="str">
        <f t="shared" si="127"/>
        <v>N/A</v>
      </c>
      <c r="N1727" s="671" t="str">
        <f t="shared" si="128"/>
        <v>N/A</v>
      </c>
      <c r="O1727" s="671">
        <f t="shared" si="129"/>
        <v>708</v>
      </c>
      <c r="P1727" s="861" t="s">
        <v>2823</v>
      </c>
      <c r="Q1727" s="861"/>
      <c r="R1727" s="861"/>
      <c r="S1727" s="861" t="s">
        <v>1073</v>
      </c>
      <c r="T1727" s="866" t="s">
        <v>8706</v>
      </c>
      <c r="U1727" s="865"/>
    </row>
    <row r="1728" spans="1:21" ht="15">
      <c r="A1728" s="672"/>
      <c r="B1728" s="861" t="s">
        <v>8707</v>
      </c>
      <c r="C1728" s="861" t="s">
        <v>8708</v>
      </c>
      <c r="D1728" s="861" t="s">
        <v>371</v>
      </c>
      <c r="E1728" s="861"/>
      <c r="F1728" s="864"/>
      <c r="G1728" s="869" t="e">
        <v>#DIV/0!</v>
      </c>
      <c r="H1728" s="861"/>
      <c r="I1728" s="871"/>
      <c r="J1728" s="862">
        <v>1.173</v>
      </c>
      <c r="K1728" s="868">
        <f t="shared" si="126"/>
        <v>316</v>
      </c>
      <c r="L1728" s="861"/>
      <c r="M1728" s="671" t="str">
        <f t="shared" si="127"/>
        <v>N/A</v>
      </c>
      <c r="N1728" s="671" t="str">
        <f t="shared" si="128"/>
        <v>N/A</v>
      </c>
      <c r="O1728" s="671">
        <f t="shared" si="129"/>
        <v>2</v>
      </c>
      <c r="P1728" s="861" t="s">
        <v>8709</v>
      </c>
      <c r="Q1728" s="861"/>
      <c r="R1728" s="861"/>
      <c r="S1728" s="861" t="s">
        <v>2269</v>
      </c>
      <c r="T1728" s="866" t="s">
        <v>8710</v>
      </c>
      <c r="U1728" s="865"/>
    </row>
    <row r="1729" spans="1:21" ht="15">
      <c r="A1729" s="857"/>
      <c r="B1729" s="861" t="s">
        <v>8711</v>
      </c>
      <c r="C1729" s="861" t="s">
        <v>8712</v>
      </c>
      <c r="D1729" s="861" t="s">
        <v>371</v>
      </c>
      <c r="E1729" s="861"/>
      <c r="F1729" s="864"/>
      <c r="G1729" s="870" t="s">
        <v>8713</v>
      </c>
      <c r="H1729" s="861"/>
      <c r="I1729" s="871"/>
      <c r="J1729" s="863"/>
      <c r="K1729" s="868">
        <f t="shared" si="126"/>
        <v>316</v>
      </c>
      <c r="L1729" s="863" t="s">
        <v>4632</v>
      </c>
      <c r="M1729" s="671" t="str">
        <f t="shared" si="127"/>
        <v>N/A</v>
      </c>
      <c r="N1729" s="671" t="str">
        <f t="shared" si="128"/>
        <v>N/A</v>
      </c>
      <c r="O1729" s="671">
        <f t="shared" si="129"/>
        <v>708</v>
      </c>
      <c r="P1729" s="861" t="s">
        <v>5693</v>
      </c>
      <c r="Q1729" s="861"/>
      <c r="R1729" s="861"/>
      <c r="S1729" s="861" t="s">
        <v>2937</v>
      </c>
      <c r="T1729" s="866" t="s">
        <v>8714</v>
      </c>
      <c r="U1729" s="865"/>
    </row>
    <row r="1730" spans="1:21" ht="15">
      <c r="A1730" s="672"/>
      <c r="B1730" s="861" t="s">
        <v>8715</v>
      </c>
      <c r="C1730" s="861" t="s">
        <v>8716</v>
      </c>
      <c r="D1730" s="861" t="s">
        <v>371</v>
      </c>
      <c r="E1730" s="861"/>
      <c r="F1730" s="864"/>
      <c r="G1730" s="869">
        <v>0</v>
      </c>
      <c r="H1730" s="861"/>
      <c r="I1730" s="871"/>
      <c r="J1730" s="861"/>
      <c r="K1730" s="868">
        <f t="shared" si="126"/>
        <v>316</v>
      </c>
      <c r="L1730" s="861"/>
      <c r="M1730" s="671" t="str">
        <f t="shared" si="127"/>
        <v>N/A</v>
      </c>
      <c r="N1730" s="671" t="str">
        <f t="shared" si="128"/>
        <v>N/A</v>
      </c>
      <c r="O1730" s="671">
        <f t="shared" si="129"/>
        <v>708</v>
      </c>
      <c r="P1730" s="861"/>
      <c r="Q1730" s="861"/>
      <c r="R1730" s="861"/>
      <c r="S1730" s="861" t="s">
        <v>2110</v>
      </c>
      <c r="T1730" s="866" t="s">
        <v>8717</v>
      </c>
      <c r="U1730" s="865"/>
    </row>
    <row r="1731" spans="1:21" ht="15">
      <c r="A1731" s="857"/>
      <c r="B1731" s="861" t="s">
        <v>8718</v>
      </c>
      <c r="C1731" s="861" t="s">
        <v>8719</v>
      </c>
      <c r="D1731" s="861" t="s">
        <v>371</v>
      </c>
      <c r="E1731" s="861"/>
      <c r="F1731" s="864"/>
      <c r="G1731" s="869" t="e">
        <v>#DIV/0!</v>
      </c>
      <c r="H1731" s="861"/>
      <c r="I1731" s="871"/>
      <c r="J1731" s="861"/>
      <c r="K1731" s="868">
        <f t="shared" si="126"/>
        <v>316</v>
      </c>
      <c r="L1731" s="861"/>
      <c r="M1731" s="671" t="str">
        <f t="shared" si="127"/>
        <v>N/A</v>
      </c>
      <c r="N1731" s="671" t="str">
        <f t="shared" si="128"/>
        <v>N/A</v>
      </c>
      <c r="O1731" s="671">
        <f t="shared" si="129"/>
        <v>708</v>
      </c>
      <c r="P1731" s="861" t="s">
        <v>3377</v>
      </c>
      <c r="Q1731" s="861" t="s">
        <v>8720</v>
      </c>
      <c r="R1731" s="861"/>
      <c r="S1731" s="861" t="s">
        <v>8721</v>
      </c>
      <c r="T1731" s="866" t="s">
        <v>8722</v>
      </c>
      <c r="U1731" s="865"/>
    </row>
    <row r="1732" spans="1:21" ht="15">
      <c r="A1732" s="672"/>
      <c r="B1732" s="861" t="s">
        <v>8723</v>
      </c>
      <c r="C1732" s="861" t="s">
        <v>8724</v>
      </c>
      <c r="D1732" s="861" t="s">
        <v>371</v>
      </c>
      <c r="E1732" s="861"/>
      <c r="F1732" s="864"/>
      <c r="G1732" s="870" t="s">
        <v>8725</v>
      </c>
      <c r="H1732" s="861"/>
      <c r="I1732" s="871"/>
      <c r="J1732" s="861"/>
      <c r="K1732" s="868">
        <f t="shared" ref="K1732:K1770" si="130">IFERROR(_xlfn.RANK.EQ(F1732,F$3:F$1770),"N/A")</f>
        <v>316</v>
      </c>
      <c r="L1732" s="861"/>
      <c r="M1732" s="671" t="str">
        <f t="shared" ref="M1732:M1770" si="131">IFERROR(_xlfn.RANK.EQ(H1732,H$3:H$1770),"N/A")</f>
        <v>N/A</v>
      </c>
      <c r="N1732" s="671" t="str">
        <f t="shared" ref="N1732:N1770" si="132">IFERROR(_xlfn.RANK.EQ(I1732,I$3:I$1770),"N/A")</f>
        <v>N/A</v>
      </c>
      <c r="O1732" s="671">
        <f t="shared" ref="O1732:O1770" si="133">IFERROR(_xlfn.RANK.EQ(J1732,J$3:J$1770),"N/A")</f>
        <v>708</v>
      </c>
      <c r="P1732" s="861" t="s">
        <v>4123</v>
      </c>
      <c r="Q1732" s="861" t="s">
        <v>4637</v>
      </c>
      <c r="R1732" s="861"/>
      <c r="S1732" s="861" t="s">
        <v>5579</v>
      </c>
      <c r="T1732" s="866" t="s">
        <v>8726</v>
      </c>
      <c r="U1732" s="865"/>
    </row>
    <row r="1733" spans="1:21" ht="15">
      <c r="A1733" s="857"/>
      <c r="B1733" s="861" t="s">
        <v>8727</v>
      </c>
      <c r="C1733" s="861" t="s">
        <v>8728</v>
      </c>
      <c r="D1733" s="861" t="s">
        <v>371</v>
      </c>
      <c r="E1733" s="861"/>
      <c r="F1733" s="864"/>
      <c r="G1733" s="869" t="e">
        <v>#DIV/0!</v>
      </c>
      <c r="H1733" s="861"/>
      <c r="I1733" s="871"/>
      <c r="J1733" s="862">
        <v>6.0000000000000001E-3</v>
      </c>
      <c r="K1733" s="868">
        <f t="shared" si="130"/>
        <v>316</v>
      </c>
      <c r="L1733" s="861"/>
      <c r="M1733" s="671" t="str">
        <f t="shared" si="131"/>
        <v>N/A</v>
      </c>
      <c r="N1733" s="671" t="str">
        <f t="shared" si="132"/>
        <v>N/A</v>
      </c>
      <c r="O1733" s="671">
        <f t="shared" si="133"/>
        <v>693</v>
      </c>
      <c r="P1733" s="861"/>
      <c r="Q1733" s="861"/>
      <c r="R1733" s="861"/>
      <c r="S1733" s="861" t="s">
        <v>833</v>
      </c>
      <c r="T1733" s="866" t="s">
        <v>8729</v>
      </c>
      <c r="U1733" s="865"/>
    </row>
    <row r="1734" spans="1:21" ht="15">
      <c r="A1734" s="672"/>
      <c r="B1734" s="861" t="s">
        <v>8730</v>
      </c>
      <c r="C1734" s="861" t="s">
        <v>8731</v>
      </c>
      <c r="D1734" s="861" t="s">
        <v>371</v>
      </c>
      <c r="E1734" s="861"/>
      <c r="F1734" s="864"/>
      <c r="G1734" s="869">
        <v>2.1206052670000002</v>
      </c>
      <c r="H1734" s="861"/>
      <c r="I1734" s="871"/>
      <c r="J1734" s="863"/>
      <c r="K1734" s="868">
        <f t="shared" si="130"/>
        <v>316</v>
      </c>
      <c r="L1734" s="863" t="s">
        <v>945</v>
      </c>
      <c r="M1734" s="671" t="str">
        <f t="shared" si="131"/>
        <v>N/A</v>
      </c>
      <c r="N1734" s="671" t="str">
        <f t="shared" si="132"/>
        <v>N/A</v>
      </c>
      <c r="O1734" s="671">
        <f t="shared" si="133"/>
        <v>708</v>
      </c>
      <c r="P1734" s="861" t="s">
        <v>1404</v>
      </c>
      <c r="Q1734" s="861"/>
      <c r="R1734" s="861"/>
      <c r="S1734" s="861" t="s">
        <v>1852</v>
      </c>
      <c r="T1734" s="866" t="s">
        <v>8732</v>
      </c>
      <c r="U1734" s="865"/>
    </row>
    <row r="1735" spans="1:21" ht="15">
      <c r="A1735" s="857"/>
      <c r="B1735" s="861" t="s">
        <v>8733</v>
      </c>
      <c r="C1735" s="861" t="s">
        <v>8734</v>
      </c>
      <c r="D1735" s="861" t="s">
        <v>371</v>
      </c>
      <c r="E1735" s="861"/>
      <c r="F1735" s="864"/>
      <c r="G1735" s="869" t="e">
        <v>#DIV/0!</v>
      </c>
      <c r="H1735" s="861"/>
      <c r="I1735" s="871"/>
      <c r="J1735" s="861"/>
      <c r="K1735" s="868">
        <f t="shared" si="130"/>
        <v>316</v>
      </c>
      <c r="L1735" s="861"/>
      <c r="M1735" s="671" t="str">
        <f t="shared" si="131"/>
        <v>N/A</v>
      </c>
      <c r="N1735" s="671" t="str">
        <f t="shared" si="132"/>
        <v>N/A</v>
      </c>
      <c r="O1735" s="671">
        <f t="shared" si="133"/>
        <v>708</v>
      </c>
      <c r="P1735" s="861" t="s">
        <v>6822</v>
      </c>
      <c r="Q1735" s="861" t="s">
        <v>8735</v>
      </c>
      <c r="R1735" s="861"/>
      <c r="S1735" s="861" t="s">
        <v>1490</v>
      </c>
      <c r="T1735" s="866" t="s">
        <v>8736</v>
      </c>
      <c r="U1735" s="865"/>
    </row>
    <row r="1736" spans="1:21" ht="15">
      <c r="A1736" s="672"/>
      <c r="B1736" s="861" t="s">
        <v>8737</v>
      </c>
      <c r="C1736" s="861" t="s">
        <v>8738</v>
      </c>
      <c r="D1736" s="861" t="s">
        <v>371</v>
      </c>
      <c r="E1736" s="861"/>
      <c r="F1736" s="864"/>
      <c r="G1736" s="869" t="e">
        <v>#DIV/0!</v>
      </c>
      <c r="H1736" s="861"/>
      <c r="I1736" s="871"/>
      <c r="J1736" s="861"/>
      <c r="K1736" s="868">
        <f t="shared" si="130"/>
        <v>316</v>
      </c>
      <c r="L1736" s="861"/>
      <c r="M1736" s="671" t="str">
        <f t="shared" si="131"/>
        <v>N/A</v>
      </c>
      <c r="N1736" s="671" t="str">
        <f t="shared" si="132"/>
        <v>N/A</v>
      </c>
      <c r="O1736" s="671">
        <f t="shared" si="133"/>
        <v>708</v>
      </c>
      <c r="P1736" s="861"/>
      <c r="Q1736" s="861"/>
      <c r="R1736" s="861"/>
      <c r="S1736" s="861" t="s">
        <v>994</v>
      </c>
      <c r="T1736" s="866" t="s">
        <v>8677</v>
      </c>
      <c r="U1736" s="865"/>
    </row>
    <row r="1737" spans="1:21" ht="15">
      <c r="A1737" s="857"/>
      <c r="B1737" s="861" t="s">
        <v>8739</v>
      </c>
      <c r="C1737" s="861" t="s">
        <v>8740</v>
      </c>
      <c r="D1737" s="861" t="s">
        <v>371</v>
      </c>
      <c r="E1737" s="861"/>
      <c r="F1737" s="864"/>
      <c r="G1737" s="869" t="e">
        <v>#DIV/0!</v>
      </c>
      <c r="H1737" s="861"/>
      <c r="I1737" s="871"/>
      <c r="J1737" s="863" t="s">
        <v>8741</v>
      </c>
      <c r="K1737" s="868">
        <f t="shared" si="130"/>
        <v>316</v>
      </c>
      <c r="L1737" s="861"/>
      <c r="M1737" s="671" t="str">
        <f t="shared" si="131"/>
        <v>N/A</v>
      </c>
      <c r="N1737" s="671" t="str">
        <f t="shared" si="132"/>
        <v>N/A</v>
      </c>
      <c r="O1737" s="671" t="str">
        <f t="shared" si="133"/>
        <v>N/A</v>
      </c>
      <c r="P1737" s="861" t="s">
        <v>8742</v>
      </c>
      <c r="Q1737" s="861"/>
      <c r="R1737" s="861"/>
      <c r="S1737" s="861" t="s">
        <v>8743</v>
      </c>
      <c r="T1737" s="866" t="s">
        <v>8744</v>
      </c>
      <c r="U1737" s="865"/>
    </row>
    <row r="1738" spans="1:21" ht="15">
      <c r="A1738" s="672"/>
      <c r="B1738" s="861" t="s">
        <v>8745</v>
      </c>
      <c r="C1738" s="861" t="s">
        <v>8746</v>
      </c>
      <c r="D1738" s="861" t="s">
        <v>371</v>
      </c>
      <c r="E1738" s="861"/>
      <c r="F1738" s="864"/>
      <c r="G1738" s="870" t="s">
        <v>8747</v>
      </c>
      <c r="H1738" s="861"/>
      <c r="I1738" s="871"/>
      <c r="J1738" s="862">
        <v>0.1</v>
      </c>
      <c r="K1738" s="868">
        <f t="shared" si="130"/>
        <v>316</v>
      </c>
      <c r="L1738" s="861"/>
      <c r="M1738" s="671" t="str">
        <f t="shared" si="131"/>
        <v>N/A</v>
      </c>
      <c r="N1738" s="671" t="str">
        <f t="shared" si="132"/>
        <v>N/A</v>
      </c>
      <c r="O1738" s="671">
        <f t="shared" si="133"/>
        <v>495</v>
      </c>
      <c r="P1738" s="861" t="s">
        <v>1792</v>
      </c>
      <c r="Q1738" s="861"/>
      <c r="R1738" s="861"/>
      <c r="S1738" s="861" t="s">
        <v>653</v>
      </c>
      <c r="T1738" s="866" t="s">
        <v>8748</v>
      </c>
      <c r="U1738" s="865"/>
    </row>
    <row r="1739" spans="1:21" ht="15">
      <c r="A1739" s="857"/>
      <c r="B1739" s="861" t="s">
        <v>8749</v>
      </c>
      <c r="C1739" s="861" t="s">
        <v>8750</v>
      </c>
      <c r="D1739" s="861" t="s">
        <v>371</v>
      </c>
      <c r="E1739" s="861"/>
      <c r="F1739" s="864"/>
      <c r="G1739" s="869">
        <v>4.2248432039999999</v>
      </c>
      <c r="H1739" s="861"/>
      <c r="I1739" s="871"/>
      <c r="J1739" s="861"/>
      <c r="K1739" s="868">
        <f t="shared" si="130"/>
        <v>316</v>
      </c>
      <c r="L1739" s="861"/>
      <c r="M1739" s="671" t="str">
        <f t="shared" si="131"/>
        <v>N/A</v>
      </c>
      <c r="N1739" s="671" t="str">
        <f t="shared" si="132"/>
        <v>N/A</v>
      </c>
      <c r="O1739" s="671">
        <f t="shared" si="133"/>
        <v>708</v>
      </c>
      <c r="P1739" s="861" t="s">
        <v>8539</v>
      </c>
      <c r="Q1739" s="861" t="s">
        <v>8751</v>
      </c>
      <c r="R1739" s="861"/>
      <c r="S1739" s="861" t="s">
        <v>5813</v>
      </c>
      <c r="T1739" s="866" t="s">
        <v>3739</v>
      </c>
      <c r="U1739" s="865"/>
    </row>
    <row r="1740" spans="1:21" ht="15">
      <c r="A1740" s="672"/>
      <c r="B1740" s="861" t="s">
        <v>8752</v>
      </c>
      <c r="C1740" s="861" t="s">
        <v>8753</v>
      </c>
      <c r="D1740" s="861" t="s">
        <v>371</v>
      </c>
      <c r="E1740" s="861"/>
      <c r="F1740" s="864"/>
      <c r="G1740" s="870" t="s">
        <v>8754</v>
      </c>
      <c r="H1740" s="861"/>
      <c r="I1740" s="871"/>
      <c r="J1740" s="863"/>
      <c r="K1740" s="868">
        <f t="shared" si="130"/>
        <v>316</v>
      </c>
      <c r="L1740" s="861"/>
      <c r="M1740" s="671" t="str">
        <f t="shared" si="131"/>
        <v>N/A</v>
      </c>
      <c r="N1740" s="671" t="str">
        <f t="shared" si="132"/>
        <v>N/A</v>
      </c>
      <c r="O1740" s="671">
        <f t="shared" si="133"/>
        <v>708</v>
      </c>
      <c r="P1740" s="861" t="s">
        <v>1377</v>
      </c>
      <c r="Q1740" s="861" t="s">
        <v>8755</v>
      </c>
      <c r="R1740" s="861"/>
      <c r="S1740" s="861" t="s">
        <v>595</v>
      </c>
      <c r="T1740" s="866" t="s">
        <v>8756</v>
      </c>
      <c r="U1740" s="865"/>
    </row>
    <row r="1741" spans="1:21" ht="15">
      <c r="A1741" s="857"/>
      <c r="B1741" s="861" t="s">
        <v>8757</v>
      </c>
      <c r="C1741" s="861" t="s">
        <v>8758</v>
      </c>
      <c r="D1741" s="861" t="s">
        <v>371</v>
      </c>
      <c r="E1741" s="861"/>
      <c r="F1741" s="864"/>
      <c r="G1741" s="869">
        <v>0</v>
      </c>
      <c r="H1741" s="861"/>
      <c r="I1741" s="871"/>
      <c r="J1741" s="863" t="s">
        <v>8759</v>
      </c>
      <c r="K1741" s="868">
        <f t="shared" si="130"/>
        <v>316</v>
      </c>
      <c r="L1741" s="861"/>
      <c r="M1741" s="671" t="str">
        <f t="shared" si="131"/>
        <v>N/A</v>
      </c>
      <c r="N1741" s="671" t="str">
        <f t="shared" si="132"/>
        <v>N/A</v>
      </c>
      <c r="O1741" s="671" t="str">
        <f t="shared" si="133"/>
        <v>N/A</v>
      </c>
      <c r="P1741" s="861" t="s">
        <v>8760</v>
      </c>
      <c r="Q1741" s="861"/>
      <c r="R1741" s="861"/>
      <c r="S1741" s="861" t="s">
        <v>1020</v>
      </c>
      <c r="T1741" s="866" t="s">
        <v>8761</v>
      </c>
      <c r="U1741" s="865"/>
    </row>
    <row r="1742" spans="1:21" ht="15">
      <c r="A1742" s="672"/>
      <c r="B1742" s="861" t="s">
        <v>8762</v>
      </c>
      <c r="C1742" s="861" t="s">
        <v>8763</v>
      </c>
      <c r="D1742" s="861" t="s">
        <v>371</v>
      </c>
      <c r="E1742" s="861"/>
      <c r="F1742" s="864"/>
      <c r="G1742" s="870" t="s">
        <v>8764</v>
      </c>
      <c r="H1742" s="861"/>
      <c r="I1742" s="871"/>
      <c r="J1742" s="863" t="s">
        <v>8765</v>
      </c>
      <c r="K1742" s="868">
        <f t="shared" si="130"/>
        <v>316</v>
      </c>
      <c r="L1742" s="861"/>
      <c r="M1742" s="671" t="str">
        <f t="shared" si="131"/>
        <v>N/A</v>
      </c>
      <c r="N1742" s="671" t="str">
        <f t="shared" si="132"/>
        <v>N/A</v>
      </c>
      <c r="O1742" s="671" t="str">
        <f t="shared" si="133"/>
        <v>N/A</v>
      </c>
      <c r="P1742" s="861" t="s">
        <v>800</v>
      </c>
      <c r="Q1742" s="861" t="s">
        <v>4289</v>
      </c>
      <c r="R1742" s="861"/>
      <c r="S1742" s="861" t="s">
        <v>533</v>
      </c>
      <c r="T1742" s="866" t="s">
        <v>8766</v>
      </c>
      <c r="U1742" s="865"/>
    </row>
    <row r="1743" spans="1:21" ht="15">
      <c r="A1743" s="857"/>
      <c r="B1743" s="861" t="s">
        <v>8767</v>
      </c>
      <c r="C1743" s="861" t="s">
        <v>8768</v>
      </c>
      <c r="D1743" s="861" t="s">
        <v>371</v>
      </c>
      <c r="E1743" s="861"/>
      <c r="F1743" s="864"/>
      <c r="G1743" s="870" t="s">
        <v>8769</v>
      </c>
      <c r="H1743" s="861"/>
      <c r="I1743" s="871"/>
      <c r="J1743" s="861"/>
      <c r="K1743" s="868">
        <f t="shared" si="130"/>
        <v>316</v>
      </c>
      <c r="L1743" s="861"/>
      <c r="M1743" s="671" t="str">
        <f t="shared" si="131"/>
        <v>N/A</v>
      </c>
      <c r="N1743" s="671" t="str">
        <f t="shared" si="132"/>
        <v>N/A</v>
      </c>
      <c r="O1743" s="671">
        <f t="shared" si="133"/>
        <v>708</v>
      </c>
      <c r="P1743" s="861" t="s">
        <v>2635</v>
      </c>
      <c r="Q1743" s="861" t="s">
        <v>435</v>
      </c>
      <c r="R1743" s="861"/>
      <c r="S1743" s="861" t="s">
        <v>478</v>
      </c>
      <c r="T1743" s="866" t="s">
        <v>8770</v>
      </c>
      <c r="U1743" s="865"/>
    </row>
    <row r="1744" spans="1:21" ht="15">
      <c r="A1744" s="672"/>
      <c r="B1744" s="861" t="s">
        <v>8771</v>
      </c>
      <c r="C1744" s="861" t="s">
        <v>8772</v>
      </c>
      <c r="D1744" s="861" t="s">
        <v>371</v>
      </c>
      <c r="E1744" s="861"/>
      <c r="F1744" s="864"/>
      <c r="G1744" s="870" t="s">
        <v>8773</v>
      </c>
      <c r="H1744" s="861"/>
      <c r="I1744" s="871"/>
      <c r="J1744" s="862">
        <v>3.6999999999999998E-2</v>
      </c>
      <c r="K1744" s="868">
        <f t="shared" si="130"/>
        <v>316</v>
      </c>
      <c r="L1744" s="861"/>
      <c r="M1744" s="671" t="str">
        <f t="shared" si="131"/>
        <v>N/A</v>
      </c>
      <c r="N1744" s="671" t="str">
        <f t="shared" si="132"/>
        <v>N/A</v>
      </c>
      <c r="O1744" s="671">
        <f t="shared" si="133"/>
        <v>635</v>
      </c>
      <c r="P1744" s="861" t="s">
        <v>8774</v>
      </c>
      <c r="Q1744" s="861" t="s">
        <v>8775</v>
      </c>
      <c r="R1744" s="861"/>
      <c r="S1744" s="861" t="s">
        <v>8776</v>
      </c>
      <c r="T1744" s="866" t="s">
        <v>8777</v>
      </c>
      <c r="U1744" s="865"/>
    </row>
    <row r="1745" spans="1:21" ht="15">
      <c r="A1745" s="857"/>
      <c r="B1745" s="861" t="s">
        <v>8778</v>
      </c>
      <c r="C1745" s="861" t="s">
        <v>8779</v>
      </c>
      <c r="D1745" s="861" t="s">
        <v>371</v>
      </c>
      <c r="E1745" s="861"/>
      <c r="F1745" s="864"/>
      <c r="G1745" s="869">
        <v>7.7315144000000002E-2</v>
      </c>
      <c r="H1745" s="861"/>
      <c r="I1745" s="871"/>
      <c r="J1745" s="861"/>
      <c r="K1745" s="868">
        <f t="shared" si="130"/>
        <v>316</v>
      </c>
      <c r="L1745" s="861"/>
      <c r="M1745" s="671" t="str">
        <f t="shared" si="131"/>
        <v>N/A</v>
      </c>
      <c r="N1745" s="671" t="str">
        <f t="shared" si="132"/>
        <v>N/A</v>
      </c>
      <c r="O1745" s="671">
        <f t="shared" si="133"/>
        <v>708</v>
      </c>
      <c r="P1745" s="861" t="s">
        <v>498</v>
      </c>
      <c r="Q1745" s="861" t="s">
        <v>8780</v>
      </c>
      <c r="R1745" s="861"/>
      <c r="S1745" s="861" t="s">
        <v>5793</v>
      </c>
      <c r="T1745" s="866" t="s">
        <v>8781</v>
      </c>
      <c r="U1745" s="865"/>
    </row>
    <row r="1746" spans="1:21" ht="15">
      <c r="A1746" s="672"/>
      <c r="B1746" s="861" t="s">
        <v>8782</v>
      </c>
      <c r="C1746" s="861" t="s">
        <v>8783</v>
      </c>
      <c r="D1746" s="861" t="s">
        <v>371</v>
      </c>
      <c r="E1746" s="861"/>
      <c r="F1746" s="864"/>
      <c r="G1746" s="869">
        <v>0.15501230299999999</v>
      </c>
      <c r="H1746" s="861"/>
      <c r="I1746" s="871"/>
      <c r="J1746" s="861"/>
      <c r="K1746" s="868">
        <f t="shared" si="130"/>
        <v>316</v>
      </c>
      <c r="L1746" s="861"/>
      <c r="M1746" s="671" t="str">
        <f t="shared" si="131"/>
        <v>N/A</v>
      </c>
      <c r="N1746" s="671" t="str">
        <f t="shared" si="132"/>
        <v>N/A</v>
      </c>
      <c r="O1746" s="671">
        <f t="shared" si="133"/>
        <v>708</v>
      </c>
      <c r="P1746" s="861"/>
      <c r="Q1746" s="861"/>
      <c r="R1746" s="861"/>
      <c r="S1746" s="861" t="s">
        <v>460</v>
      </c>
      <c r="T1746" s="866" t="s">
        <v>8784</v>
      </c>
      <c r="U1746" s="865"/>
    </row>
    <row r="1747" spans="1:21" ht="15">
      <c r="A1747" s="857"/>
      <c r="B1747" s="861" t="s">
        <v>8785</v>
      </c>
      <c r="C1747" s="861" t="s">
        <v>8786</v>
      </c>
      <c r="D1747" s="861" t="s">
        <v>371</v>
      </c>
      <c r="E1747" s="861"/>
      <c r="F1747" s="864"/>
      <c r="G1747" s="869" t="e">
        <v>#DIV/0!</v>
      </c>
      <c r="H1747" s="861"/>
      <c r="I1747" s="871"/>
      <c r="J1747" s="863" t="s">
        <v>832</v>
      </c>
      <c r="K1747" s="868">
        <f t="shared" si="130"/>
        <v>316</v>
      </c>
      <c r="L1747" s="861"/>
      <c r="M1747" s="671" t="str">
        <f t="shared" si="131"/>
        <v>N/A</v>
      </c>
      <c r="N1747" s="671" t="str">
        <f t="shared" si="132"/>
        <v>N/A</v>
      </c>
      <c r="O1747" s="671" t="str">
        <f t="shared" si="133"/>
        <v>N/A</v>
      </c>
      <c r="P1747" s="861" t="s">
        <v>8787</v>
      </c>
      <c r="Q1747" s="861" t="s">
        <v>8788</v>
      </c>
      <c r="R1747" s="861"/>
      <c r="S1747" s="861" t="s">
        <v>8789</v>
      </c>
      <c r="T1747" s="866" t="s">
        <v>8790</v>
      </c>
      <c r="U1747" s="865"/>
    </row>
    <row r="1748" spans="1:21" ht="15">
      <c r="A1748" s="672"/>
      <c r="B1748" s="861" t="s">
        <v>8791</v>
      </c>
      <c r="C1748" s="861" t="s">
        <v>8792</v>
      </c>
      <c r="D1748" s="861" t="s">
        <v>371</v>
      </c>
      <c r="E1748" s="861"/>
      <c r="F1748" s="864"/>
      <c r="G1748" s="870" t="s">
        <v>8793</v>
      </c>
      <c r="H1748" s="861"/>
      <c r="I1748" s="871"/>
      <c r="J1748" s="862">
        <v>0.38900000000000001</v>
      </c>
      <c r="K1748" s="868">
        <f t="shared" si="130"/>
        <v>316</v>
      </c>
      <c r="L1748" s="861"/>
      <c r="M1748" s="671" t="str">
        <f t="shared" si="131"/>
        <v>N/A</v>
      </c>
      <c r="N1748" s="671" t="str">
        <f t="shared" si="132"/>
        <v>N/A</v>
      </c>
      <c r="O1748" s="671">
        <f t="shared" si="133"/>
        <v>61</v>
      </c>
      <c r="P1748" s="861"/>
      <c r="Q1748" s="861"/>
      <c r="R1748" s="861"/>
      <c r="S1748" s="861" t="s">
        <v>2631</v>
      </c>
      <c r="T1748" s="866" t="s">
        <v>8794</v>
      </c>
      <c r="U1748" s="865"/>
    </row>
    <row r="1749" spans="1:21" ht="15">
      <c r="A1749" s="857"/>
      <c r="B1749" s="861" t="s">
        <v>8795</v>
      </c>
      <c r="C1749" s="861" t="s">
        <v>8796</v>
      </c>
      <c r="D1749" s="861" t="s">
        <v>371</v>
      </c>
      <c r="E1749" s="861"/>
      <c r="F1749" s="864"/>
      <c r="G1749" s="869">
        <v>1.0620213999999999E-2</v>
      </c>
      <c r="H1749" s="861"/>
      <c r="I1749" s="871"/>
      <c r="J1749" s="863"/>
      <c r="K1749" s="868">
        <f t="shared" si="130"/>
        <v>316</v>
      </c>
      <c r="L1749" s="861"/>
      <c r="M1749" s="671" t="str">
        <f t="shared" si="131"/>
        <v>N/A</v>
      </c>
      <c r="N1749" s="671" t="str">
        <f t="shared" si="132"/>
        <v>N/A</v>
      </c>
      <c r="O1749" s="671">
        <f t="shared" si="133"/>
        <v>708</v>
      </c>
      <c r="P1749" s="861" t="s">
        <v>547</v>
      </c>
      <c r="Q1749" s="861" t="s">
        <v>4990</v>
      </c>
      <c r="R1749" s="861"/>
      <c r="S1749" s="861" t="s">
        <v>1369</v>
      </c>
      <c r="T1749" s="866" t="s">
        <v>8797</v>
      </c>
      <c r="U1749" s="865"/>
    </row>
    <row r="1750" spans="1:21" ht="15">
      <c r="A1750" s="672"/>
      <c r="B1750" s="861" t="s">
        <v>8798</v>
      </c>
      <c r="C1750" s="861" t="s">
        <v>8799</v>
      </c>
      <c r="D1750" s="861" t="s">
        <v>371</v>
      </c>
      <c r="E1750" s="861"/>
      <c r="F1750" s="864"/>
      <c r="G1750" s="869" t="e">
        <v>#DIV/0!</v>
      </c>
      <c r="H1750" s="861"/>
      <c r="I1750" s="871"/>
      <c r="J1750" s="863"/>
      <c r="K1750" s="868">
        <f t="shared" si="130"/>
        <v>316</v>
      </c>
      <c r="L1750" s="861"/>
      <c r="M1750" s="671" t="str">
        <f t="shared" si="131"/>
        <v>N/A</v>
      </c>
      <c r="N1750" s="671" t="str">
        <f t="shared" si="132"/>
        <v>N/A</v>
      </c>
      <c r="O1750" s="671">
        <f t="shared" si="133"/>
        <v>708</v>
      </c>
      <c r="P1750" s="861" t="s">
        <v>1739</v>
      </c>
      <c r="Q1750" s="861"/>
      <c r="R1750" s="861"/>
      <c r="S1750" s="861" t="s">
        <v>5563</v>
      </c>
      <c r="T1750" s="866" t="s">
        <v>8800</v>
      </c>
      <c r="U1750" s="865"/>
    </row>
    <row r="1751" spans="1:21" ht="15">
      <c r="A1751" s="857"/>
      <c r="B1751" s="861" t="s">
        <v>8801</v>
      </c>
      <c r="C1751" s="861" t="s">
        <v>8802</v>
      </c>
      <c r="D1751" s="861" t="s">
        <v>371</v>
      </c>
      <c r="E1751" s="861"/>
      <c r="F1751" s="864"/>
      <c r="G1751" s="869" t="e">
        <v>#DIV/0!</v>
      </c>
      <c r="H1751" s="861"/>
      <c r="I1751" s="871"/>
      <c r="J1751" s="861"/>
      <c r="K1751" s="868">
        <f t="shared" si="130"/>
        <v>316</v>
      </c>
      <c r="L1751" s="861"/>
      <c r="M1751" s="671" t="str">
        <f t="shared" si="131"/>
        <v>N/A</v>
      </c>
      <c r="N1751" s="671" t="str">
        <f t="shared" si="132"/>
        <v>N/A</v>
      </c>
      <c r="O1751" s="671">
        <f t="shared" si="133"/>
        <v>708</v>
      </c>
      <c r="P1751" s="861"/>
      <c r="Q1751" s="861"/>
      <c r="R1751" s="861"/>
      <c r="S1751" s="861" t="s">
        <v>2851</v>
      </c>
      <c r="T1751" s="866" t="s">
        <v>8803</v>
      </c>
      <c r="U1751" s="865"/>
    </row>
    <row r="1752" spans="1:21" ht="15">
      <c r="A1752" s="672"/>
      <c r="B1752" s="861" t="s">
        <v>8804</v>
      </c>
      <c r="C1752" s="861" t="s">
        <v>8805</v>
      </c>
      <c r="D1752" s="861" t="s">
        <v>371</v>
      </c>
      <c r="E1752" s="861"/>
      <c r="F1752" s="864"/>
      <c r="G1752" s="869" t="e">
        <v>#DIV/0!</v>
      </c>
      <c r="H1752" s="861"/>
      <c r="I1752" s="871"/>
      <c r="J1752" s="862">
        <v>4.2000000000000003E-2</v>
      </c>
      <c r="K1752" s="868">
        <f t="shared" si="130"/>
        <v>316</v>
      </c>
      <c r="L1752" s="861"/>
      <c r="M1752" s="671" t="str">
        <f t="shared" si="131"/>
        <v>N/A</v>
      </c>
      <c r="N1752" s="671" t="str">
        <f t="shared" si="132"/>
        <v>N/A</v>
      </c>
      <c r="O1752" s="671">
        <f t="shared" si="133"/>
        <v>623</v>
      </c>
      <c r="P1752" s="861"/>
      <c r="Q1752" s="861"/>
      <c r="R1752" s="861"/>
      <c r="S1752" s="861" t="s">
        <v>979</v>
      </c>
      <c r="T1752" s="866" t="s">
        <v>8806</v>
      </c>
      <c r="U1752" s="865"/>
    </row>
    <row r="1753" spans="1:21" ht="15">
      <c r="A1753" s="857"/>
      <c r="B1753" s="861" t="s">
        <v>8807</v>
      </c>
      <c r="C1753" s="861" t="s">
        <v>8808</v>
      </c>
      <c r="D1753" s="861" t="s">
        <v>371</v>
      </c>
      <c r="E1753" s="861"/>
      <c r="F1753" s="864"/>
      <c r="G1753" s="869">
        <v>1.568895148</v>
      </c>
      <c r="H1753" s="861"/>
      <c r="I1753" s="871"/>
      <c r="J1753" s="862">
        <v>1.7000000000000001E-2</v>
      </c>
      <c r="K1753" s="868">
        <f t="shared" si="130"/>
        <v>316</v>
      </c>
      <c r="L1753" s="861"/>
      <c r="M1753" s="671" t="str">
        <f t="shared" si="131"/>
        <v>N/A</v>
      </c>
      <c r="N1753" s="671" t="str">
        <f t="shared" si="132"/>
        <v>N/A</v>
      </c>
      <c r="O1753" s="671">
        <f t="shared" si="133"/>
        <v>671</v>
      </c>
      <c r="P1753" s="861" t="s">
        <v>3520</v>
      </c>
      <c r="Q1753" s="861" t="s">
        <v>8809</v>
      </c>
      <c r="R1753" s="861"/>
      <c r="S1753" s="861" t="s">
        <v>8810</v>
      </c>
      <c r="T1753" s="866" t="s">
        <v>8811</v>
      </c>
      <c r="U1753" s="865"/>
    </row>
    <row r="1754" spans="1:21" ht="15">
      <c r="A1754" s="672"/>
      <c r="B1754" s="861" t="s">
        <v>8812</v>
      </c>
      <c r="C1754" s="861" t="s">
        <v>8813</v>
      </c>
      <c r="D1754" s="861" t="s">
        <v>371</v>
      </c>
      <c r="E1754" s="861"/>
      <c r="F1754" s="864"/>
      <c r="G1754" s="869">
        <v>1.4995565799999999</v>
      </c>
      <c r="H1754" s="861"/>
      <c r="I1754" s="871"/>
      <c r="J1754" s="862">
        <v>0.108</v>
      </c>
      <c r="K1754" s="868">
        <f t="shared" si="130"/>
        <v>316</v>
      </c>
      <c r="L1754" s="861"/>
      <c r="M1754" s="671" t="str">
        <f t="shared" si="131"/>
        <v>N/A</v>
      </c>
      <c r="N1754" s="671" t="str">
        <f t="shared" si="132"/>
        <v>N/A</v>
      </c>
      <c r="O1754" s="671">
        <f t="shared" si="133"/>
        <v>461</v>
      </c>
      <c r="P1754" s="861" t="s">
        <v>890</v>
      </c>
      <c r="Q1754" s="861"/>
      <c r="R1754" s="861"/>
      <c r="S1754" s="861" t="s">
        <v>8814</v>
      </c>
      <c r="T1754" s="866" t="s">
        <v>8815</v>
      </c>
      <c r="U1754" s="865"/>
    </row>
    <row r="1755" spans="1:21" ht="15">
      <c r="A1755" s="857"/>
      <c r="B1755" s="861" t="s">
        <v>8816</v>
      </c>
      <c r="C1755" s="861" t="s">
        <v>8817</v>
      </c>
      <c r="D1755" s="861" t="s">
        <v>371</v>
      </c>
      <c r="E1755" s="861"/>
      <c r="F1755" s="864"/>
      <c r="G1755" s="869">
        <v>1.236581575</v>
      </c>
      <c r="H1755" s="861"/>
      <c r="I1755" s="871"/>
      <c r="J1755" s="861"/>
      <c r="K1755" s="868">
        <f t="shared" si="130"/>
        <v>316</v>
      </c>
      <c r="L1755" s="861"/>
      <c r="M1755" s="671" t="str">
        <f t="shared" si="131"/>
        <v>N/A</v>
      </c>
      <c r="N1755" s="671" t="str">
        <f t="shared" si="132"/>
        <v>N/A</v>
      </c>
      <c r="O1755" s="671">
        <f t="shared" si="133"/>
        <v>708</v>
      </c>
      <c r="P1755" s="861" t="s">
        <v>6050</v>
      </c>
      <c r="Q1755" s="861" t="s">
        <v>8818</v>
      </c>
      <c r="R1755" s="861"/>
      <c r="S1755" s="861" t="s">
        <v>8819</v>
      </c>
      <c r="T1755" s="866" t="s">
        <v>8820</v>
      </c>
      <c r="U1755" s="865"/>
    </row>
    <row r="1756" spans="1:21" ht="15">
      <c r="A1756" s="672"/>
      <c r="B1756" s="861" t="s">
        <v>8821</v>
      </c>
      <c r="C1756" s="861" t="s">
        <v>8822</v>
      </c>
      <c r="D1756" s="861" t="s">
        <v>371</v>
      </c>
      <c r="E1756" s="861"/>
      <c r="F1756" s="864"/>
      <c r="G1756" s="869">
        <v>0</v>
      </c>
      <c r="H1756" s="861"/>
      <c r="I1756" s="871"/>
      <c r="J1756" s="861"/>
      <c r="K1756" s="868">
        <f t="shared" si="130"/>
        <v>316</v>
      </c>
      <c r="L1756" s="861"/>
      <c r="M1756" s="671" t="str">
        <f t="shared" si="131"/>
        <v>N/A</v>
      </c>
      <c r="N1756" s="671" t="str">
        <f t="shared" si="132"/>
        <v>N/A</v>
      </c>
      <c r="O1756" s="671">
        <f t="shared" si="133"/>
        <v>708</v>
      </c>
      <c r="P1756" s="861" t="s">
        <v>3694</v>
      </c>
      <c r="Q1756" s="861" t="s">
        <v>8823</v>
      </c>
      <c r="R1756" s="861"/>
      <c r="S1756" s="861" t="s">
        <v>4339</v>
      </c>
      <c r="T1756" s="866" t="s">
        <v>8824</v>
      </c>
      <c r="U1756" s="865"/>
    </row>
    <row r="1757" spans="1:21" ht="15">
      <c r="A1757" s="857"/>
      <c r="B1757" s="861" t="s">
        <v>8825</v>
      </c>
      <c r="C1757" s="861" t="s">
        <v>8826</v>
      </c>
      <c r="D1757" s="861" t="s">
        <v>371</v>
      </c>
      <c r="E1757" s="861"/>
      <c r="F1757" s="864"/>
      <c r="G1757" s="869" t="e">
        <v>#DIV/0!</v>
      </c>
      <c r="H1757" s="861"/>
      <c r="I1757" s="871"/>
      <c r="J1757" s="862">
        <v>5.1999999999999998E-2</v>
      </c>
      <c r="K1757" s="868">
        <f t="shared" si="130"/>
        <v>316</v>
      </c>
      <c r="L1757" s="861"/>
      <c r="M1757" s="671" t="str">
        <f t="shared" si="131"/>
        <v>N/A</v>
      </c>
      <c r="N1757" s="671" t="str">
        <f t="shared" si="132"/>
        <v>N/A</v>
      </c>
      <c r="O1757" s="671">
        <f t="shared" si="133"/>
        <v>596</v>
      </c>
      <c r="P1757" s="861"/>
      <c r="Q1757" s="861"/>
      <c r="R1757" s="861"/>
      <c r="S1757" s="861" t="s">
        <v>434</v>
      </c>
      <c r="T1757" s="866" t="s">
        <v>8827</v>
      </c>
      <c r="U1757" s="865"/>
    </row>
    <row r="1758" spans="1:21" ht="15">
      <c r="A1758" s="672"/>
      <c r="B1758" s="861" t="s">
        <v>8828</v>
      </c>
      <c r="C1758" s="861" t="s">
        <v>8829</v>
      </c>
      <c r="D1758" s="861" t="s">
        <v>371</v>
      </c>
      <c r="E1758" s="861"/>
      <c r="F1758" s="864"/>
      <c r="G1758" s="870" t="s">
        <v>8830</v>
      </c>
      <c r="H1758" s="861"/>
      <c r="I1758" s="871"/>
      <c r="J1758" s="861"/>
      <c r="K1758" s="868">
        <f t="shared" si="130"/>
        <v>316</v>
      </c>
      <c r="L1758" s="861"/>
      <c r="M1758" s="671" t="str">
        <f t="shared" si="131"/>
        <v>N/A</v>
      </c>
      <c r="N1758" s="671" t="str">
        <f t="shared" si="132"/>
        <v>N/A</v>
      </c>
      <c r="O1758" s="671">
        <f t="shared" si="133"/>
        <v>708</v>
      </c>
      <c r="P1758" s="861" t="s">
        <v>7236</v>
      </c>
      <c r="Q1758" s="861" t="s">
        <v>8831</v>
      </c>
      <c r="R1758" s="861"/>
      <c r="S1758" s="861" t="s">
        <v>1469</v>
      </c>
      <c r="T1758" s="866" t="s">
        <v>8832</v>
      </c>
      <c r="U1758" s="865"/>
    </row>
    <row r="1759" spans="1:21" ht="15">
      <c r="A1759" s="857"/>
      <c r="B1759" s="861" t="s">
        <v>8833</v>
      </c>
      <c r="C1759" s="861" t="s">
        <v>8834</v>
      </c>
      <c r="D1759" s="861" t="s">
        <v>371</v>
      </c>
      <c r="E1759" s="861"/>
      <c r="F1759" s="864"/>
      <c r="G1759" s="869" t="e">
        <v>#DIV/0!</v>
      </c>
      <c r="H1759" s="861"/>
      <c r="I1759" s="871"/>
      <c r="J1759" s="862">
        <v>6.4000000000000001E-2</v>
      </c>
      <c r="K1759" s="868">
        <f t="shared" si="130"/>
        <v>316</v>
      </c>
      <c r="L1759" s="861"/>
      <c r="M1759" s="671" t="str">
        <f t="shared" si="131"/>
        <v>N/A</v>
      </c>
      <c r="N1759" s="671" t="str">
        <f t="shared" si="132"/>
        <v>N/A</v>
      </c>
      <c r="O1759" s="671">
        <f t="shared" si="133"/>
        <v>572</v>
      </c>
      <c r="P1759" s="861" t="s">
        <v>2331</v>
      </c>
      <c r="Q1759" s="861" t="s">
        <v>2247</v>
      </c>
      <c r="R1759" s="861"/>
      <c r="S1759" s="861" t="s">
        <v>5295</v>
      </c>
      <c r="T1759" s="866" t="s">
        <v>8835</v>
      </c>
      <c r="U1759" s="865"/>
    </row>
    <row r="1760" spans="1:21" ht="15">
      <c r="A1760" s="672"/>
      <c r="B1760" s="861" t="s">
        <v>8836</v>
      </c>
      <c r="C1760" s="861" t="s">
        <v>8837</v>
      </c>
      <c r="D1760" s="861" t="s">
        <v>371</v>
      </c>
      <c r="E1760" s="861"/>
      <c r="F1760" s="864"/>
      <c r="G1760" s="869">
        <v>2.2756556649999999</v>
      </c>
      <c r="H1760" s="861"/>
      <c r="I1760" s="871"/>
      <c r="J1760" s="861"/>
      <c r="K1760" s="868">
        <f t="shared" si="130"/>
        <v>316</v>
      </c>
      <c r="L1760" s="861"/>
      <c r="M1760" s="671" t="str">
        <f t="shared" si="131"/>
        <v>N/A</v>
      </c>
      <c r="N1760" s="671" t="str">
        <f t="shared" si="132"/>
        <v>N/A</v>
      </c>
      <c r="O1760" s="671">
        <f t="shared" si="133"/>
        <v>708</v>
      </c>
      <c r="P1760" s="861"/>
      <c r="Q1760" s="861"/>
      <c r="R1760" s="861"/>
      <c r="S1760" s="861" t="s">
        <v>1738</v>
      </c>
      <c r="T1760" s="866" t="s">
        <v>8838</v>
      </c>
      <c r="U1760" s="865"/>
    </row>
    <row r="1761" spans="1:21" ht="15">
      <c r="A1761" s="857"/>
      <c r="B1761" s="861" t="s">
        <v>8839</v>
      </c>
      <c r="C1761" s="861" t="s">
        <v>8840</v>
      </c>
      <c r="D1761" s="861" t="s">
        <v>371</v>
      </c>
      <c r="E1761" s="861"/>
      <c r="F1761" s="864"/>
      <c r="G1761" s="869" t="e">
        <v>#DIV/0!</v>
      </c>
      <c r="H1761" s="861"/>
      <c r="I1761" s="871"/>
      <c r="J1761" s="863" t="s">
        <v>8841</v>
      </c>
      <c r="K1761" s="868">
        <f t="shared" si="130"/>
        <v>316</v>
      </c>
      <c r="L1761" s="861"/>
      <c r="M1761" s="671" t="str">
        <f t="shared" si="131"/>
        <v>N/A</v>
      </c>
      <c r="N1761" s="671" t="str">
        <f t="shared" si="132"/>
        <v>N/A</v>
      </c>
      <c r="O1761" s="671" t="str">
        <f t="shared" si="133"/>
        <v>N/A</v>
      </c>
      <c r="P1761" s="861"/>
      <c r="Q1761" s="861"/>
      <c r="R1761" s="861"/>
      <c r="S1761" s="861" t="s">
        <v>994</v>
      </c>
      <c r="T1761" s="866" t="s">
        <v>8842</v>
      </c>
      <c r="U1761" s="865"/>
    </row>
    <row r="1762" spans="1:21" ht="15">
      <c r="A1762" s="672"/>
      <c r="B1762" s="861" t="s">
        <v>8843</v>
      </c>
      <c r="C1762" s="861" t="s">
        <v>8844</v>
      </c>
      <c r="D1762" s="861" t="s">
        <v>371</v>
      </c>
      <c r="E1762" s="861"/>
      <c r="F1762" s="864"/>
      <c r="G1762" s="870" t="s">
        <v>8845</v>
      </c>
      <c r="H1762" s="861"/>
      <c r="I1762" s="871"/>
      <c r="J1762" s="861"/>
      <c r="K1762" s="868">
        <f t="shared" si="130"/>
        <v>316</v>
      </c>
      <c r="L1762" s="861"/>
      <c r="M1762" s="671" t="str">
        <f t="shared" si="131"/>
        <v>N/A</v>
      </c>
      <c r="N1762" s="671" t="str">
        <f t="shared" si="132"/>
        <v>N/A</v>
      </c>
      <c r="O1762" s="671">
        <f t="shared" si="133"/>
        <v>708</v>
      </c>
      <c r="P1762" s="861" t="s">
        <v>4622</v>
      </c>
      <c r="Q1762" s="861" t="s">
        <v>3893</v>
      </c>
      <c r="R1762" s="861"/>
      <c r="S1762" s="861" t="s">
        <v>2111</v>
      </c>
      <c r="T1762" s="866" t="s">
        <v>8846</v>
      </c>
      <c r="U1762" s="865"/>
    </row>
    <row r="1763" spans="1:21" ht="15">
      <c r="A1763" s="857"/>
      <c r="B1763" s="861" t="s">
        <v>8847</v>
      </c>
      <c r="C1763" s="861" t="s">
        <v>8848</v>
      </c>
      <c r="D1763" s="861" t="s">
        <v>371</v>
      </c>
      <c r="E1763" s="861"/>
      <c r="F1763" s="864"/>
      <c r="G1763" s="869">
        <v>48.659904529999999</v>
      </c>
      <c r="H1763" s="861"/>
      <c r="I1763" s="871"/>
      <c r="J1763" s="863"/>
      <c r="K1763" s="868">
        <f t="shared" si="130"/>
        <v>316</v>
      </c>
      <c r="L1763" s="861"/>
      <c r="M1763" s="671" t="str">
        <f t="shared" si="131"/>
        <v>N/A</v>
      </c>
      <c r="N1763" s="671" t="str">
        <f t="shared" si="132"/>
        <v>N/A</v>
      </c>
      <c r="O1763" s="671">
        <f t="shared" si="133"/>
        <v>708</v>
      </c>
      <c r="P1763" s="861" t="s">
        <v>8849</v>
      </c>
      <c r="Q1763" s="861"/>
      <c r="R1763" s="861"/>
      <c r="S1763" s="861" t="s">
        <v>1335</v>
      </c>
      <c r="T1763" s="866" t="s">
        <v>8850</v>
      </c>
      <c r="U1763" s="865"/>
    </row>
    <row r="1764" spans="1:21" ht="15">
      <c r="A1764" s="672"/>
      <c r="B1764" s="861" t="s">
        <v>8851</v>
      </c>
      <c r="C1764" s="861" t="s">
        <v>8852</v>
      </c>
      <c r="D1764" s="861" t="s">
        <v>371</v>
      </c>
      <c r="E1764" s="861"/>
      <c r="F1764" s="864"/>
      <c r="G1764" s="869" t="e">
        <v>#DIV/0!</v>
      </c>
      <c r="H1764" s="861"/>
      <c r="I1764" s="871"/>
      <c r="J1764" s="861"/>
      <c r="K1764" s="868">
        <f t="shared" si="130"/>
        <v>316</v>
      </c>
      <c r="L1764" s="861"/>
      <c r="M1764" s="671" t="str">
        <f t="shared" si="131"/>
        <v>N/A</v>
      </c>
      <c r="N1764" s="671" t="str">
        <f t="shared" si="132"/>
        <v>N/A</v>
      </c>
      <c r="O1764" s="671">
        <f t="shared" si="133"/>
        <v>708</v>
      </c>
      <c r="P1764" s="861"/>
      <c r="Q1764" s="861"/>
      <c r="R1764" s="861"/>
      <c r="S1764" s="861" t="s">
        <v>487</v>
      </c>
      <c r="T1764" s="866" t="s">
        <v>8853</v>
      </c>
      <c r="U1764" s="865"/>
    </row>
    <row r="1765" spans="1:21" ht="15">
      <c r="A1765" s="857"/>
      <c r="B1765" s="861" t="s">
        <v>8854</v>
      </c>
      <c r="C1765" s="861" t="s">
        <v>8855</v>
      </c>
      <c r="D1765" s="861" t="s">
        <v>371</v>
      </c>
      <c r="E1765" s="861"/>
      <c r="F1765" s="864"/>
      <c r="G1765" s="869" t="e">
        <v>#DIV/0!</v>
      </c>
      <c r="H1765" s="861"/>
      <c r="I1765" s="871"/>
      <c r="J1765" s="861"/>
      <c r="K1765" s="868">
        <f t="shared" si="130"/>
        <v>316</v>
      </c>
      <c r="L1765" s="861"/>
      <c r="M1765" s="671" t="str">
        <f t="shared" si="131"/>
        <v>N/A</v>
      </c>
      <c r="N1765" s="671" t="str">
        <f t="shared" si="132"/>
        <v>N/A</v>
      </c>
      <c r="O1765" s="671">
        <f t="shared" si="133"/>
        <v>708</v>
      </c>
      <c r="P1765" s="861" t="s">
        <v>1573</v>
      </c>
      <c r="Q1765" s="861" t="s">
        <v>5721</v>
      </c>
      <c r="R1765" s="861"/>
      <c r="S1765" s="861" t="s">
        <v>5610</v>
      </c>
      <c r="T1765" s="866" t="s">
        <v>8856</v>
      </c>
      <c r="U1765" s="865"/>
    </row>
    <row r="1766" spans="1:21" ht="15">
      <c r="A1766" s="672"/>
      <c r="B1766" s="861" t="s">
        <v>8857</v>
      </c>
      <c r="C1766" s="861" t="s">
        <v>8858</v>
      </c>
      <c r="D1766" s="861" t="s">
        <v>371</v>
      </c>
      <c r="E1766" s="861"/>
      <c r="F1766" s="864"/>
      <c r="G1766" s="869">
        <v>73.599999999999994</v>
      </c>
      <c r="H1766" s="861"/>
      <c r="I1766" s="871"/>
      <c r="J1766" s="862">
        <v>0.19600000000000001</v>
      </c>
      <c r="K1766" s="868">
        <f t="shared" si="130"/>
        <v>316</v>
      </c>
      <c r="L1766" s="861"/>
      <c r="M1766" s="671" t="str">
        <f t="shared" si="131"/>
        <v>N/A</v>
      </c>
      <c r="N1766" s="671" t="str">
        <f t="shared" si="132"/>
        <v>N/A</v>
      </c>
      <c r="O1766" s="671">
        <f t="shared" si="133"/>
        <v>261</v>
      </c>
      <c r="P1766" s="861" t="s">
        <v>8859</v>
      </c>
      <c r="Q1766" s="861"/>
      <c r="R1766" s="861"/>
      <c r="S1766" s="861" t="s">
        <v>708</v>
      </c>
      <c r="T1766" s="866" t="s">
        <v>8860</v>
      </c>
      <c r="U1766" s="865"/>
    </row>
    <row r="1767" spans="1:21" ht="15">
      <c r="A1767" s="857"/>
      <c r="B1767" s="861" t="s">
        <v>8861</v>
      </c>
      <c r="C1767" s="861" t="s">
        <v>8862</v>
      </c>
      <c r="D1767" s="861" t="s">
        <v>371</v>
      </c>
      <c r="E1767" s="861"/>
      <c r="F1767" s="864"/>
      <c r="G1767" s="869">
        <v>8.5657839999999999E-3</v>
      </c>
      <c r="H1767" s="861"/>
      <c r="I1767" s="871"/>
      <c r="J1767" s="861"/>
      <c r="K1767" s="868">
        <f t="shared" si="130"/>
        <v>316</v>
      </c>
      <c r="L1767" s="861"/>
      <c r="M1767" s="671" t="str">
        <f t="shared" si="131"/>
        <v>N/A</v>
      </c>
      <c r="N1767" s="671" t="str">
        <f t="shared" si="132"/>
        <v>N/A</v>
      </c>
      <c r="O1767" s="671">
        <f t="shared" si="133"/>
        <v>708</v>
      </c>
      <c r="P1767" s="861"/>
      <c r="Q1767" s="861"/>
      <c r="R1767" s="861"/>
      <c r="S1767" s="861" t="s">
        <v>1061</v>
      </c>
      <c r="T1767" s="866"/>
      <c r="U1767" s="865"/>
    </row>
    <row r="1768" spans="1:21" ht="15">
      <c r="A1768" s="672"/>
      <c r="B1768" s="861" t="s">
        <v>8863</v>
      </c>
      <c r="C1768" s="861" t="s">
        <v>8864</v>
      </c>
      <c r="D1768" s="861" t="s">
        <v>371</v>
      </c>
      <c r="E1768" s="861"/>
      <c r="F1768" s="864"/>
      <c r="G1768" s="869" t="e">
        <v>#DIV/0!</v>
      </c>
      <c r="H1768" s="861"/>
      <c r="I1768" s="871"/>
      <c r="J1768" s="861"/>
      <c r="K1768" s="868">
        <f t="shared" si="130"/>
        <v>316</v>
      </c>
      <c r="L1768" s="861"/>
      <c r="M1768" s="671" t="str">
        <f t="shared" si="131"/>
        <v>N/A</v>
      </c>
      <c r="N1768" s="671" t="str">
        <f t="shared" si="132"/>
        <v>N/A</v>
      </c>
      <c r="O1768" s="671">
        <f t="shared" si="133"/>
        <v>708</v>
      </c>
      <c r="P1768" s="861"/>
      <c r="Q1768" s="861"/>
      <c r="R1768" s="861"/>
      <c r="S1768" s="861" t="s">
        <v>3033</v>
      </c>
      <c r="T1768" s="866"/>
      <c r="U1768" s="865"/>
    </row>
    <row r="1769" spans="1:21" ht="15">
      <c r="A1769" s="857"/>
      <c r="B1769" s="861" t="s">
        <v>8865</v>
      </c>
      <c r="C1769" s="861" t="s">
        <v>8866</v>
      </c>
      <c r="D1769" s="861" t="s">
        <v>371</v>
      </c>
      <c r="E1769" s="861"/>
      <c r="F1769" s="864"/>
      <c r="G1769" s="869" t="e">
        <v>#DIV/0!</v>
      </c>
      <c r="H1769" s="861"/>
      <c r="I1769" s="871"/>
      <c r="J1769" s="861"/>
      <c r="K1769" s="868">
        <f t="shared" si="130"/>
        <v>316</v>
      </c>
      <c r="L1769" s="861"/>
      <c r="M1769" s="671" t="str">
        <f t="shared" si="131"/>
        <v>N/A</v>
      </c>
      <c r="N1769" s="671" t="str">
        <f t="shared" si="132"/>
        <v>N/A</v>
      </c>
      <c r="O1769" s="671">
        <f t="shared" si="133"/>
        <v>708</v>
      </c>
      <c r="P1769" s="861" t="s">
        <v>8867</v>
      </c>
      <c r="Q1769" s="861" t="s">
        <v>8868</v>
      </c>
      <c r="R1769" s="861"/>
      <c r="S1769" s="861" t="s">
        <v>2069</v>
      </c>
      <c r="T1769" s="866" t="s">
        <v>8869</v>
      </c>
      <c r="U1769" s="865"/>
    </row>
    <row r="1770" spans="1:21" ht="15">
      <c r="A1770" s="672"/>
      <c r="B1770" s="861" t="s">
        <v>8870</v>
      </c>
      <c r="C1770" s="861" t="s">
        <v>8871</v>
      </c>
      <c r="D1770" s="861" t="s">
        <v>371</v>
      </c>
      <c r="E1770" s="861"/>
      <c r="F1770" s="864"/>
      <c r="G1770" s="869" t="e">
        <v>#DIV/0!</v>
      </c>
      <c r="H1770" s="861"/>
      <c r="I1770" s="871"/>
      <c r="J1770" s="861"/>
      <c r="K1770" s="868">
        <f t="shared" si="130"/>
        <v>316</v>
      </c>
      <c r="L1770" s="861"/>
      <c r="M1770" s="671" t="str">
        <f t="shared" si="131"/>
        <v>N/A</v>
      </c>
      <c r="N1770" s="671" t="str">
        <f t="shared" si="132"/>
        <v>N/A</v>
      </c>
      <c r="O1770" s="671">
        <f t="shared" si="133"/>
        <v>708</v>
      </c>
      <c r="P1770" s="861"/>
      <c r="Q1770" s="861"/>
      <c r="R1770" s="861"/>
      <c r="S1770" s="861" t="s">
        <v>1031</v>
      </c>
      <c r="T1770" s="866" t="s">
        <v>8872</v>
      </c>
      <c r="U1770" s="865"/>
    </row>
  </sheetData>
  <mergeCells count="20">
    <mergeCell ref="F1:J1"/>
    <mergeCell ref="K1:O1"/>
    <mergeCell ref="P1:T1"/>
    <mergeCell ref="U1:W1"/>
    <mergeCell ref="Y1:AB1"/>
    <mergeCell ref="AD1:AD12"/>
    <mergeCell ref="AE1:AI1"/>
    <mergeCell ref="AJ1:AL1"/>
    <mergeCell ref="AM1:AN1"/>
    <mergeCell ref="AE10:AI10"/>
    <mergeCell ref="AJ10:AN10"/>
    <mergeCell ref="AH11:AI11"/>
    <mergeCell ref="AH12:AI12"/>
    <mergeCell ref="AE9:AI9"/>
    <mergeCell ref="AE14:AI14"/>
    <mergeCell ref="AJ14:AL14"/>
    <mergeCell ref="AM14:AN14"/>
    <mergeCell ref="AE13:AI13"/>
    <mergeCell ref="AJ13:AL13"/>
    <mergeCell ref="AM13:AN13"/>
  </mergeCells>
  <conditionalFormatting sqref="AJ14:AN14">
    <cfRule type="cellIs" dxfId="35" priority="1" operator="lessThan">
      <formula>0</formula>
    </cfRule>
    <cfRule type="cellIs" dxfId="34" priority="2" operator="greaterThan">
      <formula>0</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A82E0-A099-472F-B885-77443363F881}">
  <sheetPr>
    <tabColor rgb="FF00B050"/>
  </sheetPr>
  <dimension ref="A1:T90"/>
  <sheetViews>
    <sheetView showGridLines="0" topLeftCell="I1" zoomScale="81" zoomScaleNormal="85" workbookViewId="0">
      <selection activeCell="S7" sqref="S7"/>
    </sheetView>
  </sheetViews>
  <sheetFormatPr defaultColWidth="11.42578125" defaultRowHeight="12.95"/>
  <cols>
    <col min="1" max="1" width="1.140625" style="71" customWidth="1"/>
    <col min="2" max="2" width="59.42578125" style="71" customWidth="1"/>
    <col min="3" max="4" width="12.85546875" style="71" customWidth="1"/>
    <col min="5" max="5" width="11.42578125" style="71" bestFit="1" customWidth="1"/>
    <col min="6" max="6" width="11" style="71" customWidth="1"/>
    <col min="7" max="7" width="10.42578125" style="71" customWidth="1"/>
    <col min="8" max="8" width="20.28515625" style="491" customWidth="1"/>
    <col min="9" max="9" width="22.42578125" style="491" customWidth="1"/>
    <col min="10" max="10" width="64.140625" style="71" customWidth="1"/>
    <col min="11" max="11" width="34.7109375" style="71" bestFit="1" customWidth="1"/>
    <col min="12" max="12" width="27.42578125" style="71" customWidth="1"/>
    <col min="13" max="13" width="49.7109375" style="71" bestFit="1" customWidth="1"/>
    <col min="14" max="14" width="53" style="71" bestFit="1" customWidth="1"/>
    <col min="15" max="15" width="69.85546875" style="71" bestFit="1" customWidth="1"/>
    <col min="16" max="16" width="31.42578125" style="71" customWidth="1"/>
    <col min="17" max="17" width="28.85546875" style="71" customWidth="1"/>
    <col min="18" max="18" width="11.42578125" style="71" customWidth="1"/>
    <col min="19" max="19" width="35.42578125" style="71" customWidth="1"/>
    <col min="20" max="20" width="12.28515625" style="71" bestFit="1" customWidth="1"/>
    <col min="21" max="21" width="15.42578125" style="71" customWidth="1"/>
    <col min="22" max="22" width="18.140625" style="71" bestFit="1" customWidth="1"/>
    <col min="23" max="23" width="18.28515625" style="71" bestFit="1" customWidth="1"/>
    <col min="24" max="24" width="17.28515625" style="71" bestFit="1" customWidth="1"/>
    <col min="25" max="30" width="11.42578125" style="71"/>
    <col min="31" max="31" width="13" style="71" bestFit="1" customWidth="1"/>
    <col min="32" max="16384" width="11.42578125" style="71"/>
  </cols>
  <sheetData>
    <row r="1" spans="1:20">
      <c r="B1" s="203" t="s">
        <v>8873</v>
      </c>
      <c r="C1" s="75"/>
      <c r="D1" s="75"/>
      <c r="E1" s="75"/>
      <c r="F1" s="75"/>
      <c r="G1" s="75"/>
      <c r="H1" s="486"/>
      <c r="I1" s="486"/>
      <c r="J1" s="75"/>
      <c r="T1" s="82" t="s">
        <v>8874</v>
      </c>
    </row>
    <row r="2" spans="1:20" ht="14.1" thickBot="1">
      <c r="B2" s="78" t="s">
        <v>8875</v>
      </c>
      <c r="C2" s="204" t="s">
        <v>8876</v>
      </c>
      <c r="D2" s="75"/>
      <c r="E2" s="75"/>
      <c r="F2" s="75"/>
      <c r="G2" s="75"/>
      <c r="H2" s="486"/>
      <c r="I2" s="486"/>
      <c r="J2" s="75"/>
      <c r="T2" s="82" t="s">
        <v>8877</v>
      </c>
    </row>
    <row r="3" spans="1:20" ht="20.100000000000001">
      <c r="B3" s="1268" t="s">
        <v>8878</v>
      </c>
      <c r="C3" s="1268"/>
      <c r="D3" s="1268"/>
      <c r="E3" s="1268"/>
      <c r="F3" s="1268"/>
      <c r="G3" s="1268"/>
      <c r="H3" s="1268"/>
      <c r="I3" s="1268"/>
      <c r="J3" s="1268"/>
      <c r="K3" s="1269" t="s">
        <v>8879</v>
      </c>
      <c r="L3" s="1269"/>
      <c r="M3" s="1269"/>
      <c r="N3" s="1269"/>
      <c r="O3" s="1269"/>
      <c r="P3" s="1269"/>
      <c r="Q3" s="1269"/>
    </row>
    <row r="4" spans="1:20" ht="33.950000000000003">
      <c r="B4" s="194" t="s">
        <v>8880</v>
      </c>
      <c r="C4" s="226" t="s">
        <v>8881</v>
      </c>
      <c r="D4" s="226" t="s">
        <v>8882</v>
      </c>
      <c r="E4" s="226" t="s">
        <v>8883</v>
      </c>
      <c r="F4" s="226" t="s">
        <v>8884</v>
      </c>
      <c r="G4" s="226" t="s">
        <v>8885</v>
      </c>
      <c r="H4" s="195" t="s">
        <v>8886</v>
      </c>
      <c r="I4" s="195" t="s">
        <v>8887</v>
      </c>
      <c r="J4" s="196" t="s">
        <v>8888</v>
      </c>
      <c r="K4" s="194" t="s">
        <v>8880</v>
      </c>
      <c r="L4" s="229" t="e" vm="1">
        <f>Peers!C8</f>
        <v>#VALUE!</v>
      </c>
      <c r="M4" s="229" t="e" vm="3">
        <f>Peers!D8</f>
        <v>#VALUE!</v>
      </c>
      <c r="N4" s="229" t="e" vm="4">
        <f>Peers!E8</f>
        <v>#VALUE!</v>
      </c>
      <c r="O4" s="229" t="e" vm="5">
        <f>Peers!F8</f>
        <v>#VALUE!</v>
      </c>
      <c r="P4" s="229" t="e" vm="6">
        <f>Peers!G8</f>
        <v>#VALUE!</v>
      </c>
      <c r="Q4" s="229" t="e" vm="7">
        <f>Peers!H8</f>
        <v>#VALUE!</v>
      </c>
      <c r="R4" s="651" t="s">
        <v>230</v>
      </c>
      <c r="S4" s="651" t="s">
        <v>8889</v>
      </c>
    </row>
    <row r="5" spans="1:20" ht="14.1">
      <c r="B5" s="205" t="s">
        <v>8890</v>
      </c>
      <c r="C5" s="206"/>
      <c r="D5" s="207"/>
      <c r="E5" s="207"/>
      <c r="F5" s="207"/>
      <c r="G5" s="207"/>
      <c r="H5" s="487"/>
      <c r="I5" s="487"/>
      <c r="J5" s="208"/>
      <c r="K5" s="205" t="s">
        <v>8891</v>
      </c>
      <c r="L5" s="207"/>
      <c r="M5" s="207"/>
      <c r="N5" s="207"/>
      <c r="O5" s="207"/>
      <c r="P5" s="208"/>
      <c r="Q5" s="208"/>
      <c r="R5" s="208"/>
      <c r="S5" s="208"/>
    </row>
    <row r="6" spans="1:20" ht="27.95">
      <c r="A6" s="71">
        <v>1</v>
      </c>
      <c r="B6" s="199" t="s">
        <v>8892</v>
      </c>
      <c r="C6" s="197" t="str">
        <f>VLOOKUP($B$2,'Sector Impact'!$K$4:$AA$16,A6+1,FALSE)</f>
        <v>Medium</v>
      </c>
      <c r="D6" s="197" t="s">
        <v>8874</v>
      </c>
      <c r="E6" s="197" t="s">
        <v>8893</v>
      </c>
      <c r="F6" s="209" t="s">
        <v>8874</v>
      </c>
      <c r="G6" s="293"/>
      <c r="H6" s="198" t="s">
        <v>8877</v>
      </c>
      <c r="I6" s="198" t="s">
        <v>8894</v>
      </c>
      <c r="J6" s="198" t="s">
        <v>8895</v>
      </c>
      <c r="K6" s="199" t="s">
        <v>8896</v>
      </c>
      <c r="L6" s="463">
        <f>L12/L$11</f>
        <v>0.23306977013938562</v>
      </c>
      <c r="M6" s="463">
        <f t="shared" ref="M6:O6" si="0">M12/M$11</f>
        <v>0.12120875766573246</v>
      </c>
      <c r="N6" s="463" t="e">
        <f t="shared" si="0"/>
        <v>#VALUE!</v>
      </c>
      <c r="O6" s="463">
        <f t="shared" si="0"/>
        <v>3.7661631167092105E-2</v>
      </c>
      <c r="P6" s="463">
        <f t="shared" ref="P6:Q9" si="1">P12/P$11</f>
        <v>116.02847334018659</v>
      </c>
      <c r="Q6" s="463">
        <f t="shared" si="1"/>
        <v>0.15755555681953917</v>
      </c>
      <c r="R6" s="539">
        <f>IFERROR(AVERAGE(L6,M6,O6,P6,Q6),"")</f>
        <v>23.315593811195669</v>
      </c>
      <c r="S6" s="539">
        <f>IFERROR(AVERAGE(L6,M6,O6,Q6),"")</f>
        <v>0.13737392894793735</v>
      </c>
    </row>
    <row r="7" spans="1:20" s="75" customFormat="1" ht="18.95" thickBot="1">
      <c r="A7" s="75">
        <v>2</v>
      </c>
      <c r="B7" s="199" t="s">
        <v>8897</v>
      </c>
      <c r="C7" s="197" t="str">
        <f>VLOOKUP($B$2,'Sector Impact'!$K$4:$AA$16,A7+1,FALSE)</f>
        <v>Low</v>
      </c>
      <c r="D7" s="197"/>
      <c r="E7" s="209" t="s">
        <v>8893</v>
      </c>
      <c r="F7" s="209"/>
      <c r="G7" s="293"/>
      <c r="H7" s="293"/>
      <c r="I7" s="293"/>
      <c r="J7" s="198"/>
      <c r="K7" s="199" t="s">
        <v>8898</v>
      </c>
      <c r="L7" s="463" t="e">
        <f t="shared" ref="L7:O9" si="2">L13/L$11</f>
        <v>#VALUE!</v>
      </c>
      <c r="M7" s="463">
        <f t="shared" si="2"/>
        <v>13.138996031856149</v>
      </c>
      <c r="N7" s="463" t="e">
        <f t="shared" si="2"/>
        <v>#VALUE!</v>
      </c>
      <c r="O7" s="463" t="e">
        <f t="shared" si="2"/>
        <v>#VALUE!</v>
      </c>
      <c r="P7" s="463">
        <f t="shared" si="1"/>
        <v>4.6084915724343931</v>
      </c>
      <c r="Q7" s="463" t="e">
        <f t="shared" si="1"/>
        <v>#VALUE!</v>
      </c>
      <c r="R7" s="540">
        <f>IFERROR(AVERAGE(M7,P7),"")</f>
        <v>8.8737438021452704</v>
      </c>
      <c r="S7" s="539">
        <f>IFERROR(AVERAGE(M7),"")</f>
        <v>13.138996031856149</v>
      </c>
    </row>
    <row r="8" spans="1:20" ht="42.95" thickBot="1">
      <c r="A8" s="71">
        <v>3</v>
      </c>
      <c r="B8" s="199" t="s">
        <v>8899</v>
      </c>
      <c r="C8" s="197" t="str">
        <f>VLOOKUP($B$2,'Sector Impact'!$K$4:$AA$16,A8+1,FALSE)</f>
        <v>High</v>
      </c>
      <c r="D8" s="197" t="s">
        <v>8874</v>
      </c>
      <c r="E8" s="197" t="s">
        <v>8893</v>
      </c>
      <c r="F8" s="209" t="s">
        <v>8874</v>
      </c>
      <c r="G8" s="290"/>
      <c r="H8" s="198" t="s">
        <v>8900</v>
      </c>
      <c r="I8" s="198" t="s">
        <v>8877</v>
      </c>
      <c r="J8" s="911" t="s">
        <v>8901</v>
      </c>
      <c r="K8" s="199" t="s">
        <v>8902</v>
      </c>
      <c r="L8" s="463">
        <f t="shared" si="2"/>
        <v>27.512904285962843</v>
      </c>
      <c r="M8" s="463">
        <f t="shared" si="2"/>
        <v>26.804395482420848</v>
      </c>
      <c r="N8" s="463" t="e">
        <f t="shared" si="2"/>
        <v>#VALUE!</v>
      </c>
      <c r="O8" s="463">
        <f t="shared" si="2"/>
        <v>30.123864920282884</v>
      </c>
      <c r="P8" s="463">
        <f t="shared" si="1"/>
        <v>1136.761254533817</v>
      </c>
      <c r="Q8" s="463">
        <f t="shared" si="1"/>
        <v>35.037625632070807</v>
      </c>
      <c r="R8" s="540">
        <f>IFERROR(AVERAGE(L8,M8,O8,P8,Q8),"")</f>
        <v>251.24800897091086</v>
      </c>
      <c r="S8" s="539">
        <f>IFERROR(AVERAGE(L8,M8,O8,Q8),"")</f>
        <v>29.869697580184344</v>
      </c>
    </row>
    <row r="9" spans="1:20" ht="84.95" thickBot="1">
      <c r="A9" s="71">
        <v>4</v>
      </c>
      <c r="B9" s="199" t="s">
        <v>8903</v>
      </c>
      <c r="C9" s="197" t="str">
        <f>VLOOKUP($B$2,'Sector Impact'!$K$4:$AA$16,A9+1,FALSE)</f>
        <v>Low</v>
      </c>
      <c r="D9" s="197"/>
      <c r="E9" s="197"/>
      <c r="F9" s="209"/>
      <c r="G9" s="290"/>
      <c r="H9" s="198" t="s">
        <v>8904</v>
      </c>
      <c r="I9" s="198" t="s">
        <v>8905</v>
      </c>
      <c r="J9" s="200"/>
      <c r="K9" s="199" t="s">
        <v>8906</v>
      </c>
      <c r="L9" s="463">
        <f t="shared" si="2"/>
        <v>1.2971948885495002E-2</v>
      </c>
      <c r="M9" s="463">
        <f t="shared" si="2"/>
        <v>0.1580320226433943</v>
      </c>
      <c r="N9" s="463" t="e">
        <f t="shared" si="2"/>
        <v>#VALUE!</v>
      </c>
      <c r="O9" s="463" t="e">
        <f t="shared" si="2"/>
        <v>#VALUE!</v>
      </c>
      <c r="P9" s="463">
        <f>P15/P$11</f>
        <v>4.7462032313749827</v>
      </c>
      <c r="Q9" s="463" t="e">
        <f t="shared" si="1"/>
        <v>#VALUE!</v>
      </c>
      <c r="R9" s="540">
        <f>IFERROR(AVERAGE(L9,M9,P9),"")</f>
        <v>1.639069067634624</v>
      </c>
      <c r="S9" s="539">
        <f>IFERROR(AVERAGE(L9,M9),"")</f>
        <v>8.5501985764444649E-2</v>
      </c>
    </row>
    <row r="10" spans="1:20" ht="14.1">
      <c r="A10" s="71">
        <v>5</v>
      </c>
      <c r="B10" s="199" t="s">
        <v>8907</v>
      </c>
      <c r="C10" s="197" t="str">
        <f>VLOOKUP($B$2,'Sector Impact'!$K$4:$AA$16,A10+1,FALSE)</f>
        <v>Low</v>
      </c>
      <c r="D10" s="197"/>
      <c r="E10" s="197"/>
      <c r="F10" s="209"/>
      <c r="G10" s="290"/>
      <c r="H10" s="290"/>
      <c r="I10" s="290"/>
      <c r="J10" s="200"/>
      <c r="K10" s="205" t="s">
        <v>8908</v>
      </c>
      <c r="L10" s="893"/>
      <c r="M10" s="893"/>
      <c r="N10" s="893"/>
      <c r="O10" s="893"/>
      <c r="P10" s="893"/>
      <c r="Q10" s="894"/>
      <c r="S10"/>
    </row>
    <row r="11" spans="1:20" ht="14.1">
      <c r="B11" s="205" t="s">
        <v>8909</v>
      </c>
      <c r="C11" s="202"/>
      <c r="D11" s="202"/>
      <c r="E11" s="211"/>
      <c r="F11" s="211"/>
      <c r="G11" s="212"/>
      <c r="H11" s="488"/>
      <c r="I11" s="488"/>
      <c r="J11" s="213"/>
      <c r="K11" s="882" t="s">
        <v>8910</v>
      </c>
      <c r="L11" s="884">
        <v>5172.7</v>
      </c>
      <c r="M11" s="901">
        <f>Peers!D11</f>
        <v>7207.4</v>
      </c>
      <c r="N11" s="901">
        <f>Peers!E11</f>
        <v>2847.59</v>
      </c>
      <c r="O11" s="901">
        <f>Peers!F11</f>
        <v>2389.6999999999998</v>
      </c>
      <c r="P11" s="901">
        <v>51557</v>
      </c>
      <c r="Q11" s="885">
        <f>Peers!H11</f>
        <v>1758.11</v>
      </c>
      <c r="S11"/>
    </row>
    <row r="12" spans="1:20" ht="51" customHeight="1">
      <c r="A12" s="71">
        <v>6</v>
      </c>
      <c r="B12" s="199" t="s">
        <v>8911</v>
      </c>
      <c r="C12" s="197" t="str">
        <f>VLOOKUP($B$2,'Sector Impact'!$K$4:$AA$16,A12+1,FALSE)</f>
        <v>Low</v>
      </c>
      <c r="D12" s="197"/>
      <c r="E12" s="197"/>
      <c r="F12" s="209"/>
      <c r="G12" s="295"/>
      <c r="H12" s="198" t="s">
        <v>8912</v>
      </c>
      <c r="I12" s="198" t="s">
        <v>8877</v>
      </c>
      <c r="J12" s="214"/>
      <c r="K12" s="882" t="s">
        <v>8913</v>
      </c>
      <c r="L12" s="897">
        <v>1205.5999999999999</v>
      </c>
      <c r="M12" s="881">
        <v>873.6</v>
      </c>
      <c r="N12" s="898" t="s">
        <v>8914</v>
      </c>
      <c r="O12" s="905">
        <v>90</v>
      </c>
      <c r="P12" s="899">
        <v>5982080</v>
      </c>
      <c r="Q12" s="900">
        <v>277</v>
      </c>
      <c r="S12"/>
    </row>
    <row r="13" spans="1:20" ht="69.95">
      <c r="A13" s="71">
        <v>7</v>
      </c>
      <c r="B13" s="199" t="s">
        <v>8915</v>
      </c>
      <c r="C13" s="197" t="str">
        <f>VLOOKUP($B$2,'Sector Impact'!$K$4:$AA$16,A13+1,FALSE)</f>
        <v>Low</v>
      </c>
      <c r="D13" s="197"/>
      <c r="E13" s="197"/>
      <c r="F13" s="215"/>
      <c r="G13" s="296"/>
      <c r="H13" s="198" t="s">
        <v>8916</v>
      </c>
      <c r="I13" s="198" t="s">
        <v>8877</v>
      </c>
      <c r="J13" s="216"/>
      <c r="K13" s="882" t="s">
        <v>8917</v>
      </c>
      <c r="L13" s="886" t="s">
        <v>8914</v>
      </c>
      <c r="M13" s="902">
        <v>94698</v>
      </c>
      <c r="N13" s="883" t="s">
        <v>8914</v>
      </c>
      <c r="O13" s="903" t="s">
        <v>8914</v>
      </c>
      <c r="P13" s="904">
        <v>237600</v>
      </c>
      <c r="Q13" s="887" t="s">
        <v>8914</v>
      </c>
      <c r="S13"/>
    </row>
    <row r="14" spans="1:20" ht="69.95">
      <c r="A14" s="71">
        <v>8</v>
      </c>
      <c r="B14" s="217" t="s">
        <v>8918</v>
      </c>
      <c r="C14" s="197" t="str">
        <f>VLOOKUP($B$2,'Sector Impact'!$K$4:$AA$16,A14+1,FALSE)</f>
        <v>Low</v>
      </c>
      <c r="D14" s="197"/>
      <c r="E14" s="197"/>
      <c r="F14" s="209"/>
      <c r="G14" s="500"/>
      <c r="H14" s="198" t="s">
        <v>8919</v>
      </c>
      <c r="I14" s="198" t="s">
        <v>8920</v>
      </c>
      <c r="J14" s="216"/>
      <c r="K14" s="882" t="s">
        <v>8921</v>
      </c>
      <c r="L14" s="888">
        <v>142316</v>
      </c>
      <c r="M14" s="952">
        <v>193190</v>
      </c>
      <c r="N14" s="908" t="s">
        <v>8914</v>
      </c>
      <c r="O14" s="953">
        <v>71987</v>
      </c>
      <c r="P14" s="228">
        <v>58608000</v>
      </c>
      <c r="Q14" s="889">
        <v>61600</v>
      </c>
      <c r="S14"/>
    </row>
    <row r="15" spans="1:20">
      <c r="A15" s="71">
        <v>9</v>
      </c>
      <c r="B15" s="217" t="s">
        <v>8922</v>
      </c>
      <c r="C15" s="197" t="str">
        <f>VLOOKUP($B$2,'Sector Impact'!$K$4:$AA$16,A15+1,FALSE)</f>
        <v>Low</v>
      </c>
      <c r="D15" s="197"/>
      <c r="E15" s="197"/>
      <c r="F15" s="209" t="s">
        <v>8874</v>
      </c>
      <c r="G15" s="210"/>
      <c r="H15" s="489"/>
      <c r="I15" s="489"/>
      <c r="J15" s="216"/>
      <c r="K15" s="882" t="s">
        <v>8923</v>
      </c>
      <c r="L15" s="906">
        <v>67.099999999999994</v>
      </c>
      <c r="M15" s="907">
        <v>1139</v>
      </c>
      <c r="N15" s="903" t="s">
        <v>8914</v>
      </c>
      <c r="O15" s="890" t="s">
        <v>8914</v>
      </c>
      <c r="P15" s="891">
        <v>244700</v>
      </c>
      <c r="Q15" s="892" t="s">
        <v>8914</v>
      </c>
      <c r="S15"/>
    </row>
    <row r="16" spans="1:20" ht="42" customHeight="1">
      <c r="A16" s="71">
        <v>10</v>
      </c>
      <c r="B16" s="199" t="s">
        <v>8924</v>
      </c>
      <c r="C16" s="197" t="str">
        <f>VLOOKUP($B$2,'Sector Impact'!$K$4:$AA$16,A16+1,FALSE)</f>
        <v>High</v>
      </c>
      <c r="D16" s="197" t="s">
        <v>8874</v>
      </c>
      <c r="E16" s="197" t="s">
        <v>8925</v>
      </c>
      <c r="F16" s="209" t="s">
        <v>8874</v>
      </c>
      <c r="G16" s="294"/>
      <c r="H16" s="198" t="s">
        <v>8877</v>
      </c>
      <c r="I16" s="490" t="s">
        <v>8877</v>
      </c>
      <c r="J16" s="216" t="s">
        <v>8926</v>
      </c>
      <c r="K16" s="205" t="s">
        <v>8927</v>
      </c>
      <c r="L16" s="895"/>
      <c r="M16" s="895"/>
      <c r="N16" s="895"/>
      <c r="O16" s="895"/>
      <c r="P16" s="896"/>
      <c r="Q16" s="896"/>
      <c r="S16"/>
    </row>
    <row r="17" spans="1:19" ht="14.1">
      <c r="A17" s="71">
        <v>11</v>
      </c>
      <c r="B17" s="199" t="s">
        <v>8928</v>
      </c>
      <c r="C17" s="197" t="str">
        <f>VLOOKUP($B$2,'Sector Impact'!$K$4:$AA$16,A17+1,FALSE)</f>
        <v>Low</v>
      </c>
      <c r="D17" s="218"/>
      <c r="E17" s="218"/>
      <c r="F17" s="218"/>
      <c r="G17" s="290"/>
      <c r="H17" s="198" t="s">
        <v>8877</v>
      </c>
      <c r="I17" s="490" t="s">
        <v>8877</v>
      </c>
      <c r="J17" s="216"/>
      <c r="K17" s="199" t="s">
        <v>8929</v>
      </c>
      <c r="L17" s="227">
        <v>58</v>
      </c>
      <c r="M17" s="227">
        <v>48</v>
      </c>
      <c r="N17" s="71">
        <v>27</v>
      </c>
      <c r="O17" s="227">
        <v>70</v>
      </c>
      <c r="P17" s="227">
        <v>83</v>
      </c>
      <c r="Q17" s="227">
        <v>34</v>
      </c>
      <c r="S17"/>
    </row>
    <row r="18" spans="1:19">
      <c r="A18" s="71">
        <v>12</v>
      </c>
      <c r="B18" s="199" t="s">
        <v>8930</v>
      </c>
      <c r="C18" s="197" t="str">
        <f>VLOOKUP($B$2,'Sector Impact'!$K$4:$AA$16,A18+1,FALSE)</f>
        <v>Low</v>
      </c>
      <c r="D18" s="197"/>
      <c r="E18" s="197"/>
      <c r="F18" s="209"/>
      <c r="G18" s="210"/>
      <c r="H18" s="489"/>
      <c r="I18" s="489"/>
      <c r="J18" s="219"/>
      <c r="K18" s="199" t="s">
        <v>8931</v>
      </c>
      <c r="L18" s="227">
        <v>18.899999999999999</v>
      </c>
      <c r="M18" s="227">
        <v>13.9</v>
      </c>
      <c r="N18" s="227">
        <v>18.2</v>
      </c>
      <c r="O18" s="227">
        <v>18.100000000000001</v>
      </c>
      <c r="P18" s="227">
        <v>13.9</v>
      </c>
      <c r="Q18" s="227">
        <v>18.3</v>
      </c>
    </row>
    <row r="19" spans="1:19" ht="14.1">
      <c r="A19" s="71">
        <v>13</v>
      </c>
      <c r="B19" s="199" t="s">
        <v>8932</v>
      </c>
      <c r="C19" s="197" t="str">
        <f>VLOOKUP($B$2,'Sector Impact'!$K$4:$AA$16,A19+1,FALSE)</f>
        <v>Low</v>
      </c>
      <c r="D19" s="197"/>
      <c r="E19" s="197"/>
      <c r="F19" s="209"/>
      <c r="G19" s="294"/>
      <c r="H19" s="198" t="s">
        <v>8877</v>
      </c>
      <c r="I19" s="490" t="s">
        <v>8877</v>
      </c>
      <c r="J19" s="216"/>
      <c r="K19" s="199" t="s">
        <v>8933</v>
      </c>
      <c r="L19" s="228" t="s">
        <v>8934</v>
      </c>
      <c r="M19" s="228" t="s">
        <v>8935</v>
      </c>
      <c r="N19" s="228" t="s">
        <v>8934</v>
      </c>
      <c r="O19" s="228" t="s">
        <v>8935</v>
      </c>
      <c r="P19" s="228" t="s">
        <v>8936</v>
      </c>
      <c r="Q19" s="228" t="s">
        <v>8937</v>
      </c>
    </row>
    <row r="20" spans="1:19" ht="14.1" thickBot="1">
      <c r="A20" s="71">
        <v>14</v>
      </c>
      <c r="B20" s="199" t="s">
        <v>8938</v>
      </c>
      <c r="C20" s="197" t="str">
        <f>VLOOKUP($B$2,'Sector Impact'!$K$4:$AA$16,A20+1,FALSE)</f>
        <v>Low</v>
      </c>
      <c r="D20" s="197"/>
      <c r="E20" s="197"/>
      <c r="F20" s="209"/>
      <c r="G20" s="210"/>
      <c r="H20" s="489"/>
      <c r="I20" s="489"/>
      <c r="J20" s="216"/>
      <c r="K20" s="199" t="s">
        <v>8939</v>
      </c>
      <c r="L20" s="227" t="s">
        <v>8936</v>
      </c>
      <c r="M20" s="227" t="s">
        <v>8940</v>
      </c>
      <c r="N20" s="227" t="s">
        <v>8941</v>
      </c>
      <c r="O20" s="227" t="s">
        <v>8942</v>
      </c>
      <c r="P20" s="227" t="s">
        <v>8940</v>
      </c>
      <c r="Q20" s="227" t="s">
        <v>8943</v>
      </c>
    </row>
    <row r="21" spans="1:19" ht="72.75" customHeight="1" thickBot="1">
      <c r="A21" s="71">
        <v>15</v>
      </c>
      <c r="B21" s="199" t="s">
        <v>8944</v>
      </c>
      <c r="C21" s="197" t="str">
        <f>VLOOKUP($B$2,'Sector Impact'!$K$4:$AA$16,A21+1,FALSE)</f>
        <v>Medium</v>
      </c>
      <c r="D21" s="197" t="s">
        <v>8874</v>
      </c>
      <c r="E21" s="197" t="s">
        <v>8945</v>
      </c>
      <c r="F21" s="209"/>
      <c r="G21" s="293"/>
      <c r="H21" s="491" t="s">
        <v>8946</v>
      </c>
      <c r="I21" s="490" t="s">
        <v>8877</v>
      </c>
      <c r="J21" s="198" t="s">
        <v>8947</v>
      </c>
    </row>
    <row r="22" spans="1:19" ht="66.75" customHeight="1" thickBot="1">
      <c r="A22" s="71">
        <v>16</v>
      </c>
      <c r="B22" s="199" t="s">
        <v>8948</v>
      </c>
      <c r="C22" s="201" t="str">
        <f>VLOOKUP($B$2,'Sector Impact'!$K$4:$AA$16,A22+1,FALSE)</f>
        <v>Very High</v>
      </c>
      <c r="D22" s="197" t="s">
        <v>8877</v>
      </c>
      <c r="E22" s="197" t="s">
        <v>8893</v>
      </c>
      <c r="F22" s="209" t="s">
        <v>8877</v>
      </c>
      <c r="G22" s="290"/>
      <c r="H22" s="910" t="s">
        <v>8949</v>
      </c>
      <c r="I22" s="910" t="s">
        <v>8877</v>
      </c>
      <c r="J22" s="200" t="s">
        <v>8950</v>
      </c>
    </row>
    <row r="23" spans="1:19" ht="15" thickBot="1">
      <c r="B23" s="205" t="s">
        <v>8951</v>
      </c>
      <c r="C23" s="220"/>
      <c r="D23" s="202"/>
      <c r="E23" s="211"/>
      <c r="F23" s="211"/>
      <c r="G23" s="212"/>
      <c r="H23" s="488"/>
      <c r="I23" s="488"/>
      <c r="J23" s="213"/>
      <c r="K23" s="1271" t="s">
        <v>8952</v>
      </c>
      <c r="L23" s="1272"/>
      <c r="M23" s="1273"/>
    </row>
    <row r="24" spans="1:19" ht="56.1">
      <c r="A24" s="71">
        <v>17</v>
      </c>
      <c r="B24" s="199" t="s">
        <v>8953</v>
      </c>
      <c r="C24" s="221"/>
      <c r="D24" s="222"/>
      <c r="E24" s="215" t="s">
        <v>8893</v>
      </c>
      <c r="F24" s="215" t="s">
        <v>8874</v>
      </c>
      <c r="G24" s="290"/>
      <c r="H24" s="198" t="s">
        <v>8954</v>
      </c>
      <c r="I24" s="490" t="s">
        <v>8955</v>
      </c>
      <c r="J24" s="910" t="s">
        <v>8956</v>
      </c>
      <c r="K24" s="250" t="s">
        <v>8957</v>
      </c>
      <c r="L24" s="72" t="s">
        <v>8958</v>
      </c>
      <c r="M24" s="73" t="s">
        <v>8959</v>
      </c>
      <c r="O24" s="614" t="s">
        <v>233</v>
      </c>
    </row>
    <row r="25" spans="1:19" ht="42" customHeight="1">
      <c r="A25" s="71">
        <v>18</v>
      </c>
      <c r="B25" s="199" t="s">
        <v>8960</v>
      </c>
      <c r="C25" s="221"/>
      <c r="D25" s="222"/>
      <c r="E25" s="215" t="s">
        <v>8925</v>
      </c>
      <c r="F25" s="215" t="s">
        <v>8874</v>
      </c>
      <c r="G25" s="294"/>
      <c r="H25" s="198" t="s">
        <v>8961</v>
      </c>
      <c r="I25" s="490" t="s">
        <v>8877</v>
      </c>
      <c r="J25" s="216" t="s">
        <v>8962</v>
      </c>
      <c r="K25" s="188" t="s">
        <v>8963</v>
      </c>
      <c r="L25" s="189" t="s">
        <v>8925</v>
      </c>
      <c r="M25" s="1274" t="s">
        <v>8964</v>
      </c>
      <c r="O25" s="615"/>
    </row>
    <row r="26" spans="1:19" ht="30" customHeight="1">
      <c r="A26" s="71">
        <v>19</v>
      </c>
      <c r="B26" s="199" t="s">
        <v>8965</v>
      </c>
      <c r="C26" s="221"/>
      <c r="D26" s="222"/>
      <c r="E26" s="215" t="s">
        <v>8893</v>
      </c>
      <c r="F26" s="215" t="s">
        <v>8874</v>
      </c>
      <c r="G26" s="290"/>
      <c r="H26" s="198" t="s">
        <v>8966</v>
      </c>
      <c r="I26" s="490" t="s">
        <v>8967</v>
      </c>
      <c r="J26" s="223" t="s">
        <v>8968</v>
      </c>
      <c r="K26" s="188" t="s">
        <v>8893</v>
      </c>
      <c r="L26" s="189" t="s">
        <v>8969</v>
      </c>
      <c r="M26" s="1275"/>
      <c r="O26" s="616"/>
    </row>
    <row r="27" spans="1:19" ht="31.5" customHeight="1">
      <c r="A27" s="71">
        <v>20</v>
      </c>
      <c r="B27" s="199" t="s">
        <v>8970</v>
      </c>
      <c r="C27" s="221"/>
      <c r="D27" s="222"/>
      <c r="E27" s="215" t="s">
        <v>8893</v>
      </c>
      <c r="F27" s="215" t="s">
        <v>8874</v>
      </c>
      <c r="G27" s="290"/>
      <c r="H27" s="198" t="s">
        <v>8971</v>
      </c>
      <c r="I27" s="490" t="s">
        <v>8877</v>
      </c>
      <c r="J27" s="223" t="s">
        <v>8972</v>
      </c>
      <c r="K27" s="190" t="s">
        <v>8973</v>
      </c>
      <c r="L27" s="191" t="s">
        <v>8893</v>
      </c>
      <c r="M27" s="1275"/>
      <c r="O27" s="617"/>
    </row>
    <row r="28" spans="1:19" ht="36" customHeight="1">
      <c r="A28" s="71">
        <v>21</v>
      </c>
      <c r="B28" s="199" t="s">
        <v>8974</v>
      </c>
      <c r="C28" s="221"/>
      <c r="D28" s="222"/>
      <c r="E28" s="215" t="s">
        <v>8925</v>
      </c>
      <c r="F28" s="215" t="s">
        <v>8877</v>
      </c>
      <c r="G28" s="294"/>
      <c r="H28" s="198" t="s">
        <v>8975</v>
      </c>
      <c r="I28" s="490" t="s">
        <v>8877</v>
      </c>
      <c r="J28" s="198" t="s">
        <v>8976</v>
      </c>
      <c r="K28" s="192" t="s">
        <v>8977</v>
      </c>
      <c r="L28" s="193" t="s">
        <v>8945</v>
      </c>
      <c r="M28" s="1276"/>
    </row>
    <row r="29" spans="1:19" ht="47.25" customHeight="1" thickBot="1">
      <c r="A29" s="71">
        <v>22</v>
      </c>
      <c r="B29" s="199" t="s">
        <v>8978</v>
      </c>
      <c r="C29" s="221"/>
      <c r="D29" s="222"/>
      <c r="E29" s="215" t="s">
        <v>8969</v>
      </c>
      <c r="F29" s="215" t="s">
        <v>8874</v>
      </c>
      <c r="G29" s="294"/>
      <c r="H29" s="198" t="s">
        <v>8979</v>
      </c>
      <c r="I29" s="490" t="s">
        <v>8877</v>
      </c>
      <c r="J29" s="216" t="s">
        <v>8980</v>
      </c>
    </row>
    <row r="30" spans="1:19" ht="46.5" customHeight="1" thickBot="1">
      <c r="A30" s="71">
        <v>23</v>
      </c>
      <c r="B30" s="199" t="s">
        <v>8981</v>
      </c>
      <c r="C30" s="221"/>
      <c r="D30" s="222"/>
      <c r="E30" s="215" t="s">
        <v>8969</v>
      </c>
      <c r="F30" s="215" t="s">
        <v>8877</v>
      </c>
      <c r="G30" s="294"/>
      <c r="H30" s="913" t="s">
        <v>8982</v>
      </c>
      <c r="I30" s="490" t="s">
        <v>8877</v>
      </c>
      <c r="J30" s="198" t="s">
        <v>8983</v>
      </c>
    </row>
    <row r="31" spans="1:19" ht="25.5" customHeight="1" thickBot="1">
      <c r="A31" s="71">
        <v>24</v>
      </c>
      <c r="B31" s="224" t="s">
        <v>8984</v>
      </c>
      <c r="C31" s="221"/>
      <c r="D31" s="222"/>
      <c r="E31" s="215" t="s">
        <v>8969</v>
      </c>
      <c r="F31" s="215" t="s">
        <v>8877</v>
      </c>
      <c r="G31" s="294"/>
      <c r="H31" s="198" t="s">
        <v>8877</v>
      </c>
      <c r="I31" s="490" t="s">
        <v>8877</v>
      </c>
      <c r="J31" s="214"/>
      <c r="L31" s="580"/>
    </row>
    <row r="32" spans="1:19" ht="33" customHeight="1" thickBot="1">
      <c r="A32" s="71">
        <v>25</v>
      </c>
      <c r="B32" s="199" t="s">
        <v>8985</v>
      </c>
      <c r="C32" s="221"/>
      <c r="D32" s="215" t="s">
        <v>8874</v>
      </c>
      <c r="E32" s="215" t="s">
        <v>8925</v>
      </c>
      <c r="F32" s="215" t="s">
        <v>8874</v>
      </c>
      <c r="G32" s="294"/>
      <c r="H32" s="198" t="s">
        <v>8986</v>
      </c>
      <c r="I32" s="490" t="s">
        <v>8877</v>
      </c>
      <c r="J32" s="216" t="s">
        <v>8987</v>
      </c>
      <c r="L32" s="581"/>
    </row>
    <row r="33" spans="1:14" ht="66" customHeight="1" thickBot="1">
      <c r="A33" s="71">
        <v>26</v>
      </c>
      <c r="B33" s="199" t="s">
        <v>8988</v>
      </c>
      <c r="C33" s="221"/>
      <c r="D33" s="215" t="s">
        <v>8874</v>
      </c>
      <c r="E33" s="215" t="s">
        <v>8945</v>
      </c>
      <c r="F33" s="215" t="s">
        <v>8877</v>
      </c>
      <c r="G33" s="293"/>
      <c r="H33" s="198" t="s">
        <v>8989</v>
      </c>
      <c r="I33" s="490" t="s">
        <v>8990</v>
      </c>
      <c r="J33" s="198" t="s">
        <v>8991</v>
      </c>
      <c r="L33" s="291"/>
      <c r="N33" s="291"/>
    </row>
    <row r="34" spans="1:14" ht="37.5" customHeight="1" thickBot="1">
      <c r="A34" s="71">
        <v>27</v>
      </c>
      <c r="B34" s="199" t="s">
        <v>8992</v>
      </c>
      <c r="C34" s="221"/>
      <c r="D34" s="225" t="s">
        <v>8874</v>
      </c>
      <c r="E34" s="215" t="s">
        <v>8969</v>
      </c>
      <c r="F34" s="215" t="s">
        <v>8877</v>
      </c>
      <c r="G34" s="294"/>
      <c r="H34" s="198" t="s">
        <v>8993</v>
      </c>
      <c r="I34" s="490" t="s">
        <v>8877</v>
      </c>
      <c r="J34" s="216" t="s">
        <v>8994</v>
      </c>
      <c r="L34" s="292"/>
      <c r="N34" s="292"/>
    </row>
    <row r="54" spans="14:19">
      <c r="N54" s="1270"/>
      <c r="O54" s="1270"/>
      <c r="P54" s="1270"/>
      <c r="Q54" s="1270"/>
      <c r="R54" s="1270"/>
      <c r="S54" s="1270"/>
    </row>
    <row r="66" spans="14:19">
      <c r="N66" s="1267"/>
      <c r="O66" s="1267"/>
      <c r="P66" s="1267"/>
      <c r="Q66" s="1267"/>
      <c r="R66" s="1267"/>
      <c r="S66" s="1267"/>
    </row>
    <row r="67" spans="14:19">
      <c r="N67" s="492"/>
      <c r="O67" s="492"/>
      <c r="P67" s="492"/>
      <c r="Q67" s="492"/>
      <c r="R67" s="492"/>
      <c r="S67" s="492"/>
    </row>
    <row r="68" spans="14:19">
      <c r="N68" s="492"/>
      <c r="O68" s="492"/>
      <c r="P68" s="492"/>
      <c r="Q68" s="492"/>
      <c r="R68" s="492"/>
      <c r="S68" s="492"/>
    </row>
    <row r="69" spans="14:19">
      <c r="N69" s="492"/>
      <c r="O69" s="492"/>
      <c r="P69" s="492"/>
      <c r="Q69" s="492"/>
      <c r="R69" s="492"/>
      <c r="S69" s="492"/>
    </row>
    <row r="70" spans="14:19">
      <c r="N70" s="492"/>
      <c r="O70" s="492"/>
      <c r="P70" s="492"/>
      <c r="Q70" s="492"/>
      <c r="R70" s="492"/>
      <c r="S70" s="492"/>
    </row>
    <row r="71" spans="14:19">
      <c r="N71" s="492"/>
      <c r="O71" s="492"/>
      <c r="P71" s="492"/>
      <c r="Q71" s="492"/>
      <c r="R71" s="492"/>
      <c r="S71" s="492"/>
    </row>
    <row r="72" spans="14:19">
      <c r="N72" s="492"/>
      <c r="O72" s="492"/>
      <c r="P72" s="492"/>
      <c r="Q72" s="492"/>
      <c r="R72" s="492"/>
      <c r="S72" s="492"/>
    </row>
    <row r="73" spans="14:19">
      <c r="N73" s="492"/>
      <c r="O73" s="492"/>
      <c r="P73" s="492"/>
      <c r="Q73" s="492"/>
      <c r="R73" s="492"/>
      <c r="S73" s="492"/>
    </row>
    <row r="74" spans="14:19">
      <c r="N74" s="493"/>
      <c r="O74" s="492"/>
      <c r="P74" s="492"/>
      <c r="Q74" s="492"/>
      <c r="R74" s="492"/>
      <c r="S74" s="492"/>
    </row>
    <row r="75" spans="14:19">
      <c r="N75" s="493"/>
      <c r="O75" s="492"/>
      <c r="P75" s="492"/>
      <c r="Q75" s="492"/>
      <c r="R75" s="492"/>
      <c r="S75" s="492"/>
    </row>
    <row r="76" spans="14:19">
      <c r="N76" s="493"/>
      <c r="O76" s="492"/>
      <c r="P76" s="492"/>
      <c r="Q76" s="492"/>
      <c r="R76" s="492"/>
      <c r="S76" s="492"/>
    </row>
    <row r="77" spans="14:19">
      <c r="N77" s="492"/>
      <c r="O77" s="492"/>
      <c r="P77" s="492"/>
      <c r="Q77" s="492"/>
      <c r="R77" s="492"/>
      <c r="S77" s="492"/>
    </row>
    <row r="78" spans="14:19">
      <c r="N78" s="1267"/>
      <c r="O78" s="1267"/>
      <c r="P78" s="1267"/>
      <c r="Q78" s="1267"/>
      <c r="R78" s="1267"/>
      <c r="S78" s="1267"/>
    </row>
    <row r="90" spans="14:19">
      <c r="N90" s="1267"/>
      <c r="O90" s="1267"/>
      <c r="P90" s="1267"/>
      <c r="Q90" s="1267"/>
      <c r="R90" s="1267"/>
      <c r="S90" s="1267"/>
    </row>
  </sheetData>
  <mergeCells count="8">
    <mergeCell ref="N90:S90"/>
    <mergeCell ref="B3:J3"/>
    <mergeCell ref="K3:Q3"/>
    <mergeCell ref="N54:S54"/>
    <mergeCell ref="N66:S66"/>
    <mergeCell ref="N78:S78"/>
    <mergeCell ref="K23:M23"/>
    <mergeCell ref="M25:M28"/>
  </mergeCells>
  <conditionalFormatting sqref="C10:I10">
    <cfRule type="expression" dxfId="33" priority="33">
      <formula>$C$10="Low"</formula>
    </cfRule>
  </conditionalFormatting>
  <conditionalFormatting sqref="D6 F6 H6:J6 H24:H29 J30 H31:H34">
    <cfRule type="expression" dxfId="32" priority="50">
      <formula>$C$6="Low"</formula>
    </cfRule>
  </conditionalFormatting>
  <conditionalFormatting sqref="D16:F16 I16:J16">
    <cfRule type="expression" dxfId="31" priority="41">
      <formula>$C$16="Low"</formula>
    </cfRule>
  </conditionalFormatting>
  <conditionalFormatting sqref="D21:F21">
    <cfRule type="expression" dxfId="30" priority="36">
      <formula>$C$21="Low"</formula>
    </cfRule>
  </conditionalFormatting>
  <conditionalFormatting sqref="D22:F22 H22:J22">
    <cfRule type="expression" dxfId="29" priority="35">
      <formula>$C$22="Low"</formula>
    </cfRule>
  </conditionalFormatting>
  <conditionalFormatting sqref="D9:G9 J9:J10">
    <cfRule type="expression" dxfId="28" priority="47">
      <formula>$C$9="Low"</formula>
    </cfRule>
  </conditionalFormatting>
  <conditionalFormatting sqref="D12:G12 J12">
    <cfRule type="expression" dxfId="27" priority="45">
      <formula>$C$12="Low"</formula>
    </cfRule>
  </conditionalFormatting>
  <conditionalFormatting sqref="D13:G13 J13">
    <cfRule type="expression" dxfId="26" priority="44">
      <formula>$C$13="Low"</formula>
    </cfRule>
  </conditionalFormatting>
  <conditionalFormatting sqref="D14:G14 J14">
    <cfRule type="expression" dxfId="25" priority="43">
      <formula>$C$14="Low"</formula>
    </cfRule>
  </conditionalFormatting>
  <conditionalFormatting sqref="D17:G17 J17">
    <cfRule type="expression" dxfId="24" priority="40">
      <formula>$C$17="Low"</formula>
    </cfRule>
  </conditionalFormatting>
  <conditionalFormatting sqref="D19:G19 J20">
    <cfRule type="expression" dxfId="23" priority="38">
      <formula>$C$19="Low"</formula>
    </cfRule>
  </conditionalFormatting>
  <conditionalFormatting sqref="D7:J7">
    <cfRule type="expression" dxfId="22" priority="49">
      <formula>$C$7="Low"</formula>
    </cfRule>
  </conditionalFormatting>
  <conditionalFormatting sqref="D15:J15">
    <cfRule type="expression" dxfId="21" priority="42">
      <formula>$C$15="Low"</formula>
    </cfRule>
  </conditionalFormatting>
  <conditionalFormatting sqref="D18:J18">
    <cfRule type="expression" dxfId="20" priority="39">
      <formula>$C$18="Low"</formula>
    </cfRule>
  </conditionalFormatting>
  <conditionalFormatting sqref="D20:J20">
    <cfRule type="expression" dxfId="19" priority="37">
      <formula>$C$20="Low"</formula>
    </cfRule>
  </conditionalFormatting>
  <conditionalFormatting sqref="E6 D8:F8 J33">
    <cfRule type="expression" dxfId="18" priority="48">
      <formula>$C$8="Low"</formula>
    </cfRule>
  </conditionalFormatting>
  <conditionalFormatting sqref="G6">
    <cfRule type="expression" dxfId="17" priority="31">
      <formula>$C$7="Low"</formula>
    </cfRule>
  </conditionalFormatting>
  <conditionalFormatting sqref="G8">
    <cfRule type="expression" dxfId="16" priority="5">
      <formula>$C$21="Low"</formula>
    </cfRule>
  </conditionalFormatting>
  <conditionalFormatting sqref="G21">
    <cfRule type="expression" dxfId="15" priority="1">
      <formula>$C$8="Low"</formula>
    </cfRule>
  </conditionalFormatting>
  <conditionalFormatting sqref="G33">
    <cfRule type="expression" dxfId="14" priority="7">
      <formula>$C$8="Low"</formula>
    </cfRule>
  </conditionalFormatting>
  <conditionalFormatting sqref="H16:H17">
    <cfRule type="expression" dxfId="13" priority="20">
      <formula>$C$6="Low"</formula>
    </cfRule>
  </conditionalFormatting>
  <conditionalFormatting sqref="H19">
    <cfRule type="expression" dxfId="12" priority="19">
      <formula>$C$6="Low"</formula>
    </cfRule>
  </conditionalFormatting>
  <conditionalFormatting sqref="H30">
    <cfRule type="expression" dxfId="11" priority="3">
      <formula>$C$16="Low"</formula>
    </cfRule>
  </conditionalFormatting>
  <conditionalFormatting sqref="H8:I9">
    <cfRule type="expression" dxfId="10" priority="28">
      <formula>$C$6="Low"</formula>
    </cfRule>
  </conditionalFormatting>
  <conditionalFormatting sqref="H12:I14">
    <cfRule type="expression" dxfId="9" priority="21">
      <formula>$C$6="Low"</formula>
    </cfRule>
  </conditionalFormatting>
  <conditionalFormatting sqref="I17">
    <cfRule type="expression" dxfId="8" priority="25">
      <formula>$C$16="Low"</formula>
    </cfRule>
  </conditionalFormatting>
  <conditionalFormatting sqref="I19">
    <cfRule type="expression" dxfId="7" priority="24">
      <formula>$C$16="Low"</formula>
    </cfRule>
  </conditionalFormatting>
  <conditionalFormatting sqref="I21">
    <cfRule type="expression" dxfId="6" priority="23">
      <formula>$C$16="Low"</formula>
    </cfRule>
  </conditionalFormatting>
  <conditionalFormatting sqref="I24:I34">
    <cfRule type="expression" dxfId="5" priority="22">
      <formula>$C$16="Low"</formula>
    </cfRule>
  </conditionalFormatting>
  <conditionalFormatting sqref="J19">
    <cfRule type="expression" dxfId="4" priority="16">
      <formula>$C$17="Low"</formula>
    </cfRule>
  </conditionalFormatting>
  <conditionalFormatting sqref="J21">
    <cfRule type="expression" dxfId="3" priority="18">
      <formula>$C$6="Low"</formula>
    </cfRule>
  </conditionalFormatting>
  <conditionalFormatting sqref="J28">
    <cfRule type="expression" dxfId="2" priority="10">
      <formula>$C$6="Low"</formula>
    </cfRule>
  </conditionalFormatting>
  <dataValidations count="3">
    <dataValidation type="list" allowBlank="1" showInputMessage="1" showErrorMessage="1" sqref="D6:D22 D32:D34 F24:F34 F6:F10 F12:F22 C11" xr:uid="{3F3EAFB5-AA53-4ACB-815F-B2974A5D886C}">
      <formula1>$T$1:$T$2</formula1>
    </dataValidation>
    <dataValidation type="list" showInputMessage="1" showErrorMessage="1" sqref="B2" xr:uid="{A02853CE-D21D-44BD-9939-055BC887EFBD}">
      <formula1>Sectors</formula1>
    </dataValidation>
    <dataValidation type="list" allowBlank="1" showInputMessage="1" showErrorMessage="1" sqref="E12:E22 E24:E34 E6:E10" xr:uid="{21B53BAA-5CFE-4F77-8669-06D93A31F2C2}">
      <formula1>$L$25:$L$28</formula1>
    </dataValidation>
  </dataValidations>
  <pageMargins left="0.7" right="0.7" top="0.75" bottom="0.75" header="0.3" footer="0.3"/>
  <pageSetup paperSize="9" orientation="portrait" horizontalDpi="4294967293" verticalDpi="0"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tabColor rgb="FF0070C0"/>
  </sheetPr>
  <dimension ref="A1:AI81"/>
  <sheetViews>
    <sheetView showGridLines="0" topLeftCell="A52" zoomScaleNormal="117" workbookViewId="0">
      <selection activeCell="G23" sqref="G23"/>
    </sheetView>
  </sheetViews>
  <sheetFormatPr defaultColWidth="11.42578125" defaultRowHeight="12.95" outlineLevelCol="1"/>
  <cols>
    <col min="1" max="1" width="24.42578125" bestFit="1" customWidth="1"/>
    <col min="2" max="2" width="11.42578125" customWidth="1" outlineLevel="1"/>
    <col min="3" max="3" width="32.140625" customWidth="1" outlineLevel="1"/>
    <col min="4" max="4" width="20" customWidth="1" outlineLevel="1"/>
    <col min="5" max="5" width="24" customWidth="1"/>
    <col min="6" max="6" width="27.28515625" customWidth="1"/>
    <col min="7" max="7" width="14.140625" style="1" customWidth="1"/>
    <col min="8" max="8" width="12.42578125" style="1" customWidth="1"/>
    <col min="9" max="11" width="11.140625" style="1" customWidth="1"/>
    <col min="12" max="12" width="19" style="1" customWidth="1"/>
    <col min="13" max="14" width="24.28515625" style="1" bestFit="1" customWidth="1"/>
    <col min="15" max="15" width="23.140625" style="1" bestFit="1" customWidth="1"/>
    <col min="16" max="25" width="24.28515625" style="1" bestFit="1" customWidth="1"/>
    <col min="26" max="28" width="23.140625" style="1" bestFit="1" customWidth="1"/>
    <col min="29" max="30" width="24.28515625" style="1" bestFit="1" customWidth="1"/>
    <col min="31" max="32" width="23.140625" style="1" bestFit="1" customWidth="1"/>
    <col min="33" max="33" width="14.42578125" customWidth="1"/>
  </cols>
  <sheetData>
    <row r="1" spans="1:35" ht="21" customHeight="1">
      <c r="A1" s="1282" t="s">
        <v>8995</v>
      </c>
      <c r="B1" s="1282"/>
      <c r="C1" s="1282"/>
      <c r="D1" s="1282"/>
      <c r="E1" s="1282"/>
      <c r="F1" s="1282"/>
      <c r="G1" s="1282"/>
      <c r="H1" s="1282"/>
      <c r="I1" s="1282"/>
      <c r="J1" s="1282"/>
      <c r="K1" s="1282"/>
      <c r="L1" s="1282"/>
      <c r="M1" s="1282"/>
      <c r="N1" s="1282"/>
      <c r="O1" s="1282"/>
      <c r="P1" s="1282"/>
      <c r="Q1" s="1282"/>
      <c r="R1" s="1282"/>
      <c r="S1" s="1282"/>
      <c r="T1" s="1282"/>
      <c r="U1" s="1282"/>
      <c r="V1" s="1282"/>
      <c r="W1" s="1282"/>
      <c r="X1" s="1282"/>
      <c r="Y1" s="1282"/>
      <c r="Z1" s="1282"/>
      <c r="AA1" s="1282"/>
      <c r="AB1" s="1282"/>
      <c r="AC1" s="1282"/>
      <c r="AD1" s="1282"/>
      <c r="AE1" s="1282"/>
      <c r="AF1" s="1282"/>
      <c r="AG1" s="9"/>
      <c r="AH1" s="9"/>
      <c r="AI1" s="9"/>
    </row>
    <row r="2" spans="1:35" ht="3.75" customHeight="1" thickBot="1">
      <c r="A2" s="1283"/>
      <c r="B2" s="1283"/>
      <c r="C2" s="1283"/>
      <c r="D2" s="1283"/>
      <c r="E2" s="1283"/>
      <c r="F2" s="1283"/>
      <c r="G2" s="1283"/>
      <c r="H2" s="1283"/>
      <c r="I2" s="1283"/>
      <c r="J2" s="1283"/>
      <c r="K2" s="1283"/>
      <c r="L2" s="1283"/>
      <c r="M2" s="1283"/>
      <c r="N2" s="1283"/>
      <c r="O2" s="1283"/>
      <c r="P2" s="1283"/>
      <c r="Q2" s="1283"/>
      <c r="R2" s="1283"/>
      <c r="S2" s="1283"/>
      <c r="T2" s="1283"/>
      <c r="U2" s="1283"/>
      <c r="V2" s="1283"/>
      <c r="W2" s="1283"/>
      <c r="X2" s="1283"/>
      <c r="Y2" s="1283"/>
      <c r="Z2" s="1283"/>
      <c r="AA2" s="1283"/>
      <c r="AB2" s="1283"/>
      <c r="AC2" s="1283"/>
      <c r="AD2" s="1283"/>
      <c r="AE2" s="1283"/>
      <c r="AF2" s="1283"/>
      <c r="AG2" s="494"/>
      <c r="AH2" s="9"/>
      <c r="AI2" s="9"/>
    </row>
    <row r="3" spans="1:35" ht="20.100000000000001" thickBot="1">
      <c r="A3" s="230"/>
      <c r="B3" s="230"/>
      <c r="C3" s="230"/>
      <c r="D3" s="230"/>
      <c r="E3" s="230"/>
      <c r="F3" s="230"/>
      <c r="G3" s="1289" t="s">
        <v>8996</v>
      </c>
      <c r="H3" s="1290"/>
      <c r="I3" s="1290"/>
      <c r="J3" s="1290"/>
      <c r="K3" s="1291" t="s">
        <v>8997</v>
      </c>
      <c r="L3" s="1292"/>
      <c r="M3" s="1292"/>
      <c r="N3" s="1292"/>
      <c r="O3" s="1292"/>
      <c r="P3" s="1292"/>
      <c r="Q3" s="1292"/>
      <c r="R3" s="1292"/>
      <c r="S3" s="1292"/>
      <c r="T3" s="1292"/>
      <c r="U3" s="1292"/>
      <c r="V3" s="1292"/>
      <c r="W3" s="1292"/>
      <c r="X3" s="1292"/>
      <c r="Y3" s="1292"/>
      <c r="Z3" s="1292"/>
      <c r="AA3" s="1292"/>
      <c r="AB3" s="1292"/>
      <c r="AC3" s="1292"/>
      <c r="AD3" s="1292"/>
      <c r="AE3" s="1292"/>
      <c r="AF3" s="1293"/>
      <c r="AG3" s="494"/>
      <c r="AH3" s="9"/>
      <c r="AI3" s="9"/>
    </row>
    <row r="4" spans="1:35" ht="15.95" thickBot="1">
      <c r="A4" s="254" t="s">
        <v>8998</v>
      </c>
      <c r="B4" s="257" t="s">
        <v>8999</v>
      </c>
      <c r="C4" s="258" t="s">
        <v>9000</v>
      </c>
      <c r="D4" s="267" t="s">
        <v>9001</v>
      </c>
      <c r="E4" s="267" t="s">
        <v>9002</v>
      </c>
      <c r="F4" s="268" t="s">
        <v>9003</v>
      </c>
      <c r="G4" s="267">
        <v>2023</v>
      </c>
      <c r="H4" s="267">
        <f>G4+1</f>
        <v>2024</v>
      </c>
      <c r="I4" s="267">
        <f t="shared" ref="I4:AF4" si="0">H4+1</f>
        <v>2025</v>
      </c>
      <c r="J4" s="268">
        <f t="shared" si="0"/>
        <v>2026</v>
      </c>
      <c r="K4" s="269">
        <f t="shared" si="0"/>
        <v>2027</v>
      </c>
      <c r="L4" s="269">
        <f t="shared" si="0"/>
        <v>2028</v>
      </c>
      <c r="M4" s="269">
        <f t="shared" si="0"/>
        <v>2029</v>
      </c>
      <c r="N4" s="269">
        <f t="shared" si="0"/>
        <v>2030</v>
      </c>
      <c r="O4" s="269">
        <f t="shared" si="0"/>
        <v>2031</v>
      </c>
      <c r="P4" s="269">
        <f t="shared" si="0"/>
        <v>2032</v>
      </c>
      <c r="Q4" s="269">
        <f t="shared" si="0"/>
        <v>2033</v>
      </c>
      <c r="R4" s="269">
        <f t="shared" si="0"/>
        <v>2034</v>
      </c>
      <c r="S4" s="269">
        <f t="shared" si="0"/>
        <v>2035</v>
      </c>
      <c r="T4" s="269">
        <f t="shared" si="0"/>
        <v>2036</v>
      </c>
      <c r="U4" s="269">
        <f t="shared" si="0"/>
        <v>2037</v>
      </c>
      <c r="V4" s="269">
        <f t="shared" si="0"/>
        <v>2038</v>
      </c>
      <c r="W4" s="269">
        <f t="shared" si="0"/>
        <v>2039</v>
      </c>
      <c r="X4" s="269">
        <f t="shared" si="0"/>
        <v>2040</v>
      </c>
      <c r="Y4" s="269">
        <f t="shared" si="0"/>
        <v>2041</v>
      </c>
      <c r="Z4" s="269">
        <f t="shared" si="0"/>
        <v>2042</v>
      </c>
      <c r="AA4" s="269">
        <f t="shared" si="0"/>
        <v>2043</v>
      </c>
      <c r="AB4" s="269">
        <f t="shared" si="0"/>
        <v>2044</v>
      </c>
      <c r="AC4" s="269">
        <f t="shared" si="0"/>
        <v>2045</v>
      </c>
      <c r="AD4" s="269">
        <f t="shared" si="0"/>
        <v>2046</v>
      </c>
      <c r="AE4" s="269">
        <f t="shared" si="0"/>
        <v>2047</v>
      </c>
      <c r="AF4" s="270">
        <f t="shared" si="0"/>
        <v>2048</v>
      </c>
      <c r="AG4" s="494"/>
      <c r="AH4" s="9"/>
      <c r="AI4" s="9"/>
    </row>
    <row r="5" spans="1:35">
      <c r="A5" s="1087" t="s">
        <v>9004</v>
      </c>
      <c r="B5" s="259">
        <v>1</v>
      </c>
      <c r="C5" s="265" t="s">
        <v>9005</v>
      </c>
      <c r="D5" s="274">
        <f>'Fin. Data'!E6</f>
        <v>0.19944521497919565</v>
      </c>
      <c r="E5" s="275">
        <f t="shared" ref="E5:M5" si="1">+E6/D6-1</f>
        <v>0.28823620104841186</v>
      </c>
      <c r="F5" s="314">
        <f t="shared" si="1"/>
        <v>0.32170426665070906</v>
      </c>
      <c r="G5" s="330">
        <f t="shared" si="1"/>
        <v>0.19986870104586418</v>
      </c>
      <c r="H5" s="330">
        <f>+H6/G6-1</f>
        <v>0.18433685582615822</v>
      </c>
      <c r="I5" s="330">
        <f>+I6/H6-1</f>
        <v>0.18420727066739628</v>
      </c>
      <c r="J5" s="331">
        <f>+J6/I6-1</f>
        <v>0.18420727066739651</v>
      </c>
      <c r="K5" s="329">
        <f t="shared" si="1"/>
        <v>0.18420727066739628</v>
      </c>
      <c r="L5" s="330">
        <f t="shared" si="1"/>
        <v>0.1377250000000001</v>
      </c>
      <c r="M5" s="330">
        <f t="shared" si="1"/>
        <v>0.1377250000000001</v>
      </c>
      <c r="N5" s="330">
        <v>0.13772500000000013</v>
      </c>
      <c r="O5" s="330">
        <f>Assumptions!AA95</f>
        <v>0.13772499999999999</v>
      </c>
      <c r="P5" s="330">
        <f>Assumptions!AB95</f>
        <v>0.13772499999999999</v>
      </c>
      <c r="Q5" s="330">
        <f>Assumptions!AC95</f>
        <v>0.13</v>
      </c>
      <c r="R5" s="330">
        <f>Assumptions!AD95</f>
        <v>0.13</v>
      </c>
      <c r="S5" s="330">
        <f>Assumptions!AE95</f>
        <v>0.13</v>
      </c>
      <c r="T5" s="330">
        <f>Assumptions!AF95</f>
        <v>0.12</v>
      </c>
      <c r="U5" s="330">
        <f>Assumptions!AG95</f>
        <v>0.11</v>
      </c>
      <c r="V5" s="330">
        <f>Assumptions!AH95</f>
        <v>0.11</v>
      </c>
      <c r="W5" s="330">
        <f>Assumptions!AI95</f>
        <v>0.09</v>
      </c>
      <c r="X5" s="330">
        <f>Assumptions!AJ95</f>
        <v>0.09</v>
      </c>
      <c r="Y5" s="330">
        <f>Assumptions!AK95</f>
        <v>0.09</v>
      </c>
      <c r="Z5" s="330">
        <f>Assumptions!AL95</f>
        <v>0.09</v>
      </c>
      <c r="AA5" s="330">
        <f>Assumptions!AM95</f>
        <v>0.09</v>
      </c>
      <c r="AB5" s="330">
        <f>Assumptions!AN95</f>
        <v>0.09</v>
      </c>
      <c r="AC5" s="330">
        <f>Assumptions!AO95</f>
        <v>0.09</v>
      </c>
      <c r="AD5" s="330">
        <f>Assumptions!AP95</f>
        <v>0.06</v>
      </c>
      <c r="AE5" s="330">
        <f>Assumptions!AQ95</f>
        <v>0.06</v>
      </c>
      <c r="AF5" s="330">
        <f>Assumptions!AR95</f>
        <v>0.06</v>
      </c>
      <c r="AG5" s="389"/>
      <c r="AH5" s="9"/>
      <c r="AI5" s="9"/>
    </row>
    <row r="6" spans="1:35" ht="15">
      <c r="A6" s="1087"/>
      <c r="B6" s="259">
        <v>2</v>
      </c>
      <c r="C6" s="253" t="s">
        <v>9006</v>
      </c>
      <c r="D6" s="700">
        <f>Inputs!E6</f>
        <v>2594.4</v>
      </c>
      <c r="E6" s="687">
        <f>Inputs!D6</f>
        <v>3342.2</v>
      </c>
      <c r="F6" s="315">
        <f>Inputs!C6</f>
        <v>4417.3999999999996</v>
      </c>
      <c r="G6" s="322">
        <v>5300.3</v>
      </c>
      <c r="H6" s="320">
        <f>Assumptions!T96</f>
        <v>6277.340636935387</v>
      </c>
      <c r="I6" s="320">
        <f>Assumptions!U96</f>
        <v>7433.6724227147897</v>
      </c>
      <c r="J6" s="320">
        <f>Assumptions!V96</f>
        <v>8803.0089307385733</v>
      </c>
      <c r="K6" s="322">
        <f>Assumptions!W96</f>
        <v>10424.587179530641</v>
      </c>
      <c r="L6" s="320">
        <f>Assumptions!X96</f>
        <v>11860.313448831499</v>
      </c>
      <c r="M6" s="320">
        <f>Assumptions!Y96</f>
        <v>13493.775118571819</v>
      </c>
      <c r="N6" s="320">
        <f>Assumptions!Z96</f>
        <v>15352.205296777123</v>
      </c>
      <c r="O6" s="320">
        <f>N6*(1+O5)</f>
        <v>17466.587771275754</v>
      </c>
      <c r="P6" s="320">
        <f t="shared" ref="P6:AF6" si="2">O6*(1+P5)</f>
        <v>19872.173572074709</v>
      </c>
      <c r="Q6" s="320">
        <f t="shared" si="2"/>
        <v>22455.556136444418</v>
      </c>
      <c r="R6" s="320">
        <f t="shared" si="2"/>
        <v>25374.77843418219</v>
      </c>
      <c r="S6" s="320">
        <f t="shared" si="2"/>
        <v>28673.499630625873</v>
      </c>
      <c r="T6" s="320">
        <f t="shared" si="2"/>
        <v>32114.319586300979</v>
      </c>
      <c r="U6" s="320">
        <f t="shared" si="2"/>
        <v>35646.894740794087</v>
      </c>
      <c r="V6" s="320">
        <f t="shared" si="2"/>
        <v>39568.053162281438</v>
      </c>
      <c r="W6" s="320">
        <f t="shared" si="2"/>
        <v>43129.177946886768</v>
      </c>
      <c r="X6" s="320">
        <f t="shared" si="2"/>
        <v>47010.803962106584</v>
      </c>
      <c r="Y6" s="320">
        <f t="shared" si="2"/>
        <v>51241.776318696182</v>
      </c>
      <c r="Z6" s="320">
        <f t="shared" si="2"/>
        <v>55853.536187378842</v>
      </c>
      <c r="AA6" s="320">
        <f t="shared" si="2"/>
        <v>60880.354444242941</v>
      </c>
      <c r="AB6" s="320">
        <f t="shared" si="2"/>
        <v>66359.586344224808</v>
      </c>
      <c r="AC6" s="320">
        <f t="shared" si="2"/>
        <v>72331.949115205047</v>
      </c>
      <c r="AD6" s="320">
        <f t="shared" si="2"/>
        <v>76671.866062117348</v>
      </c>
      <c r="AE6" s="320">
        <f t="shared" si="2"/>
        <v>81272.178025844391</v>
      </c>
      <c r="AF6" s="320">
        <f t="shared" si="2"/>
        <v>86148.508707395056</v>
      </c>
      <c r="AG6" s="495"/>
      <c r="AH6" s="9"/>
      <c r="AI6" s="9"/>
    </row>
    <row r="7" spans="1:35">
      <c r="A7" s="1087"/>
      <c r="B7" s="259">
        <v>3</v>
      </c>
      <c r="C7" s="83" t="s">
        <v>9007</v>
      </c>
      <c r="D7" s="311">
        <f>D8/D6</f>
        <v>0.20332254085723095</v>
      </c>
      <c r="E7" s="308">
        <f t="shared" ref="E7:F7" si="3">E8/E6</f>
        <v>0.19460235772844234</v>
      </c>
      <c r="F7" s="316">
        <f t="shared" si="3"/>
        <v>0.21949563091411239</v>
      </c>
      <c r="G7" s="332">
        <f>Assumptions!S113</f>
        <v>0.21</v>
      </c>
      <c r="H7" s="332">
        <f>Assumptions!T113</f>
        <v>0.2</v>
      </c>
      <c r="I7" s="332">
        <f>Assumptions!U113</f>
        <v>0.20499999999999999</v>
      </c>
      <c r="J7" s="332">
        <f>Assumptions!V113</f>
        <v>0.21</v>
      </c>
      <c r="K7" s="332">
        <f>Assumptions!W113</f>
        <v>0.215</v>
      </c>
      <c r="L7" s="332">
        <f>Assumptions!X113</f>
        <v>0.22</v>
      </c>
      <c r="M7" s="332">
        <f>Assumptions!Y113</f>
        <v>0.22500000000000001</v>
      </c>
      <c r="N7" s="332">
        <f>Assumptions!Z113</f>
        <v>0.23</v>
      </c>
      <c r="O7" s="332">
        <v>0.21394156761227828</v>
      </c>
      <c r="P7" s="332">
        <v>0.21539291459952489</v>
      </c>
      <c r="Q7" s="332">
        <v>0.21685410730352916</v>
      </c>
      <c r="R7" s="332">
        <v>0.2183252125161329</v>
      </c>
      <c r="S7" s="332">
        <v>0.21980629748228361</v>
      </c>
      <c r="T7" s="332">
        <v>0.22129742990310841</v>
      </c>
      <c r="U7" s="332">
        <v>0.2227986779390084</v>
      </c>
      <c r="V7" s="332">
        <v>0.22431011021277453</v>
      </c>
      <c r="W7" s="332">
        <v>0.22583179581272422</v>
      </c>
      <c r="X7" s="332">
        <v>0.22736380429585959</v>
      </c>
      <c r="Y7" s="332">
        <v>0.22890620569104686</v>
      </c>
      <c r="Z7" s="332">
        <v>0.23045907050221737</v>
      </c>
      <c r="AA7" s="332">
        <v>0.23202246971159035</v>
      </c>
      <c r="AB7" s="332">
        <v>0.23359647478291762</v>
      </c>
      <c r="AC7" s="332">
        <v>0.23518115766475028</v>
      </c>
      <c r="AD7" s="332">
        <v>0.23677659079372734</v>
      </c>
      <c r="AE7" s="332">
        <v>0.23838284709788693</v>
      </c>
      <c r="AF7" s="332">
        <v>0.23999999999999982</v>
      </c>
      <c r="AG7" s="389"/>
      <c r="AH7" s="9"/>
      <c r="AI7" s="9"/>
    </row>
    <row r="8" spans="1:35" ht="15">
      <c r="A8" s="1087"/>
      <c r="B8" s="259">
        <v>4</v>
      </c>
      <c r="C8" s="239" t="s">
        <v>59</v>
      </c>
      <c r="D8" s="312">
        <f>'Fin. Data'!E11</f>
        <v>527.5</v>
      </c>
      <c r="E8" s="309">
        <f>'Fin. Data'!D11</f>
        <v>650.4</v>
      </c>
      <c r="F8" s="317">
        <f>'Fin. Data'!C11</f>
        <v>969.6</v>
      </c>
      <c r="G8" s="322">
        <f>G7*G6</f>
        <v>1113.0630000000001</v>
      </c>
      <c r="H8" s="320">
        <f t="shared" ref="H8:AF8" si="4">H7*H6</f>
        <v>1255.4681273870774</v>
      </c>
      <c r="I8" s="320">
        <f>I7*I6</f>
        <v>1523.9028466565319</v>
      </c>
      <c r="J8" s="323">
        <f t="shared" si="4"/>
        <v>1848.6318754551003</v>
      </c>
      <c r="K8" s="322">
        <f t="shared" si="4"/>
        <v>2241.2862435990878</v>
      </c>
      <c r="L8" s="320">
        <f t="shared" si="4"/>
        <v>2609.26895874293</v>
      </c>
      <c r="M8" s="320">
        <f t="shared" si="4"/>
        <v>3036.0994016786594</v>
      </c>
      <c r="N8" s="320">
        <f t="shared" si="4"/>
        <v>3531.0072182587387</v>
      </c>
      <c r="O8" s="320">
        <f t="shared" si="4"/>
        <v>3736.8291686241846</v>
      </c>
      <c r="P8" s="320">
        <f t="shared" si="4"/>
        <v>4280.3253851168238</v>
      </c>
      <c r="Q8" s="320">
        <f t="shared" si="4"/>
        <v>4869.5795799729403</v>
      </c>
      <c r="R8" s="320">
        <f t="shared" si="4"/>
        <v>5539.953894192613</v>
      </c>
      <c r="S8" s="320">
        <f t="shared" si="4"/>
        <v>6302.6157896674995</v>
      </c>
      <c r="T8" s="320">
        <f t="shared" si="4"/>
        <v>7106.8163875354621</v>
      </c>
      <c r="U8" s="320">
        <f t="shared" si="4"/>
        <v>7942.0810208799139</v>
      </c>
      <c r="V8" s="320">
        <f t="shared" si="4"/>
        <v>8875.5143657362714</v>
      </c>
      <c r="W8" s="320">
        <f>W7*W6</f>
        <v>9739.9397076719815</v>
      </c>
      <c r="X8" s="320">
        <f t="shared" si="4"/>
        <v>10688.555231831422</v>
      </c>
      <c r="Y8" s="320">
        <f t="shared" si="4"/>
        <v>11729.560589982082</v>
      </c>
      <c r="Z8" s="320">
        <f t="shared" si="4"/>
        <v>12871.95403400529</v>
      </c>
      <c r="AA8" s="320">
        <f>AA7*AA6</f>
        <v>14125.610195070243</v>
      </c>
      <c r="AB8" s="320">
        <f t="shared" si="4"/>
        <v>15501.365438063554</v>
      </c>
      <c r="AC8" s="320">
        <f t="shared" si="4"/>
        <v>17011.111529061734</v>
      </c>
      <c r="AD8" s="320">
        <f t="shared" si="4"/>
        <v>18154.103055981432</v>
      </c>
      <c r="AE8" s="320">
        <f t="shared" si="4"/>
        <v>19373.893187647111</v>
      </c>
      <c r="AF8" s="323">
        <f t="shared" si="4"/>
        <v>20675.642089774799</v>
      </c>
      <c r="AG8" s="5"/>
      <c r="AH8" s="5"/>
      <c r="AI8" s="5"/>
    </row>
    <row r="9" spans="1:35" ht="15">
      <c r="A9" s="1087"/>
      <c r="B9" s="259" t="s">
        <v>9008</v>
      </c>
      <c r="C9" s="253" t="s">
        <v>9009</v>
      </c>
      <c r="D9" s="470">
        <v>-55.5</v>
      </c>
      <c r="E9" s="471">
        <v>-65.900000000000006</v>
      </c>
      <c r="F9" s="472">
        <v>-81</v>
      </c>
      <c r="G9" s="473">
        <v>-91.2</v>
      </c>
      <c r="H9" s="478">
        <f>$D$53*DCF!G40</f>
        <v>-133.99649869455641</v>
      </c>
      <c r="I9" s="478">
        <f>$D$53*DCF!H40</f>
        <v>-167.64304450853007</v>
      </c>
      <c r="J9" s="474">
        <f>$D$53*DCF!I40</f>
        <v>-205.10875351901262</v>
      </c>
      <c r="K9" s="475">
        <f>$E$53*DCF!J40</f>
        <v>-154.60199774159861</v>
      </c>
      <c r="L9" s="476">
        <f>$E$53*DCF!K40</f>
        <v>-188.4819060750732</v>
      </c>
      <c r="M9" s="476">
        <f>$E$53*DCF!L40</f>
        <v>-227.02792478377557</v>
      </c>
      <c r="N9" s="476">
        <f>$E$53*DCF!M40</f>
        <v>-270.88269391913394</v>
      </c>
      <c r="O9" s="476">
        <f>$E$53*DCF!N40</f>
        <v>-320.77736113365961</v>
      </c>
      <c r="P9" s="476">
        <f>$E$53*DCF!O40</f>
        <v>-377.54377139030584</v>
      </c>
      <c r="Q9" s="476">
        <f>$E$53*DCF!P40</f>
        <v>-442.1283354995486</v>
      </c>
      <c r="R9" s="476">
        <f>$E$53*DCF!Q40</f>
        <v>-515.10889294299295</v>
      </c>
      <c r="S9" s="476">
        <f>$E$53*DCF!R40</f>
        <v>-597.57692285408507</v>
      </c>
      <c r="T9" s="476">
        <f>$E$53*DCF!S40</f>
        <v>-690.76579665361919</v>
      </c>
      <c r="U9" s="476">
        <f>$E$53*DCF!T40</f>
        <v>-795.13733530909735</v>
      </c>
      <c r="V9" s="476">
        <f>$E$53*DCF!U40</f>
        <v>-910.98974321667811</v>
      </c>
      <c r="W9" s="476">
        <f>$E$53*DCF!V40</f>
        <v>-1039.5859159940928</v>
      </c>
      <c r="X9" s="476">
        <f>$E$53*DCF!W40</f>
        <v>-1179.7557443214748</v>
      </c>
      <c r="Y9" s="476">
        <f>$E$53*DCF!X40</f>
        <v>-1332.5408571983212</v>
      </c>
      <c r="Z9" s="476">
        <f>$E$53*DCF!Y40</f>
        <v>-1499.0766302340837</v>
      </c>
      <c r="AA9" s="476">
        <f>$E$53*DCF!Z40</f>
        <v>-1680.6006228430649</v>
      </c>
      <c r="AB9" s="476">
        <f>$E$53*DCF!AA40</f>
        <v>-1878.4617747868542</v>
      </c>
      <c r="AC9" s="476">
        <f>$E$53*DCF!AB40</f>
        <v>-2094.1304304055848</v>
      </c>
      <c r="AD9" s="476">
        <f>$E$53*DCF!AC40</f>
        <v>-2329.2092650300015</v>
      </c>
      <c r="AE9" s="476">
        <f>$E$53*DCF!AD40</f>
        <v>-2578.3928297318826</v>
      </c>
      <c r="AF9" s="477">
        <f>$E$53*DCF!AE40</f>
        <v>-2842.5274083158765</v>
      </c>
      <c r="AG9" s="5">
        <f>SUM(D9:AF9)</f>
        <v>-24745.652457102904</v>
      </c>
      <c r="AH9" s="5"/>
      <c r="AI9" s="5"/>
    </row>
    <row r="10" spans="1:35" ht="15">
      <c r="A10" s="1087"/>
      <c r="B10" s="259" t="s">
        <v>9010</v>
      </c>
      <c r="C10" s="253" t="s">
        <v>9011</v>
      </c>
      <c r="D10" s="470">
        <v>-13.3</v>
      </c>
      <c r="E10" s="471">
        <v>-18.5</v>
      </c>
      <c r="F10" s="472">
        <v>-23.3</v>
      </c>
      <c r="G10" s="473">
        <f>F38*$D$54</f>
        <v>-21.352</v>
      </c>
      <c r="H10" s="478">
        <f>G38*$D$54</f>
        <v>-24.981840000000002</v>
      </c>
      <c r="I10" s="478">
        <f t="shared" ref="I10" si="5">H38*$D$54</f>
        <v>-29.228752800000002</v>
      </c>
      <c r="J10" s="479">
        <f>I38*$D$54</f>
        <v>-34.197640776</v>
      </c>
      <c r="K10" s="475">
        <f t="shared" ref="K10:AF10" si="6">J38*$E$54</f>
        <v>-32.95043270064</v>
      </c>
      <c r="L10" s="476">
        <f t="shared" si="6"/>
        <v>-37.563493278729602</v>
      </c>
      <c r="M10" s="476">
        <f t="shared" si="6"/>
        <v>-42.822382337751748</v>
      </c>
      <c r="N10" s="476">
        <f t="shared" si="6"/>
        <v>-48.817515865036988</v>
      </c>
      <c r="O10" s="476">
        <f t="shared" si="6"/>
        <v>-55.651968086142169</v>
      </c>
      <c r="P10" s="476">
        <f t="shared" si="6"/>
        <v>-63.443243618202068</v>
      </c>
      <c r="Q10" s="476">
        <f t="shared" si="6"/>
        <v>-72.325297724750357</v>
      </c>
      <c r="R10" s="476">
        <f t="shared" si="6"/>
        <v>-82.450839406215422</v>
      </c>
      <c r="S10" s="476">
        <f t="shared" si="6"/>
        <v>-93.993956923085577</v>
      </c>
      <c r="T10" s="476">
        <f t="shared" si="6"/>
        <v>-107.15311089231756</v>
      </c>
      <c r="U10" s="476">
        <f t="shared" si="6"/>
        <v>-122.154546417242</v>
      </c>
      <c r="V10" s="476">
        <f t="shared" si="6"/>
        <v>-139.2561829156559</v>
      </c>
      <c r="W10" s="476">
        <f t="shared" si="6"/>
        <v>-158.75204852384772</v>
      </c>
      <c r="X10" s="476">
        <f t="shared" si="6"/>
        <v>-180.9773353171864</v>
      </c>
      <c r="Y10" s="476">
        <f t="shared" si="6"/>
        <v>-206.31416226159249</v>
      </c>
      <c r="Z10" s="476">
        <f t="shared" si="6"/>
        <v>-235.19814497821542</v>
      </c>
      <c r="AA10" s="476">
        <f t="shared" si="6"/>
        <v>-268.12588527516556</v>
      </c>
      <c r="AB10" s="476">
        <f t="shared" si="6"/>
        <v>-305.66350921368877</v>
      </c>
      <c r="AC10" s="476">
        <f t="shared" si="6"/>
        <v>-348.45640050360527</v>
      </c>
      <c r="AD10" s="476">
        <f>AC38*$E$54</f>
        <v>-397.24029657411</v>
      </c>
      <c r="AE10" s="476">
        <f t="shared" si="6"/>
        <v>-452.85393809448539</v>
      </c>
      <c r="AF10" s="477">
        <f t="shared" si="6"/>
        <v>-516.25348942771336</v>
      </c>
      <c r="AG10" s="5"/>
      <c r="AH10" s="5"/>
      <c r="AI10" s="5"/>
    </row>
    <row r="11" spans="1:35" ht="15">
      <c r="A11" s="1087"/>
      <c r="B11" s="259" t="s">
        <v>9012</v>
      </c>
      <c r="C11" s="253" t="s">
        <v>9013</v>
      </c>
      <c r="D11" s="470">
        <v>-191.7</v>
      </c>
      <c r="E11" s="471">
        <v>-207.9</v>
      </c>
      <c r="F11" s="472">
        <v>-217.3</v>
      </c>
      <c r="G11" s="473">
        <f>-G6*$D$55</f>
        <v>-265.01500000000004</v>
      </c>
      <c r="H11" s="473">
        <f t="shared" ref="H11:AH11" si="7">-H6*$D$55</f>
        <v>-313.86703184676935</v>
      </c>
      <c r="I11" s="473">
        <f t="shared" si="7"/>
        <v>-371.68362113573949</v>
      </c>
      <c r="J11" s="473">
        <f t="shared" si="7"/>
        <v>-440.15044653692871</v>
      </c>
      <c r="K11" s="473">
        <f t="shared" si="7"/>
        <v>-521.22935897653213</v>
      </c>
      <c r="L11" s="473">
        <f t="shared" si="7"/>
        <v>-593.01567244157502</v>
      </c>
      <c r="M11" s="473">
        <f t="shared" si="7"/>
        <v>-674.68875592859104</v>
      </c>
      <c r="N11" s="473">
        <f t="shared" si="7"/>
        <v>-767.61026483885621</v>
      </c>
      <c r="O11" s="473">
        <f t="shared" si="7"/>
        <v>-873.32938856378769</v>
      </c>
      <c r="P11" s="473">
        <f t="shared" si="7"/>
        <v>-993.60867860373548</v>
      </c>
      <c r="Q11" s="473">
        <f t="shared" si="7"/>
        <v>-1122.777806822221</v>
      </c>
      <c r="R11" s="473">
        <f t="shared" si="7"/>
        <v>-1268.7389217091095</v>
      </c>
      <c r="S11" s="473">
        <f t="shared" si="7"/>
        <v>-1433.6749815312937</v>
      </c>
      <c r="T11" s="473">
        <f t="shared" si="7"/>
        <v>-1605.715979315049</v>
      </c>
      <c r="U11" s="473">
        <f t="shared" si="7"/>
        <v>-1782.3447370397043</v>
      </c>
      <c r="V11" s="473">
        <f t="shared" si="7"/>
        <v>-1978.402658114072</v>
      </c>
      <c r="W11" s="473">
        <f t="shared" si="7"/>
        <v>-2156.4588973443383</v>
      </c>
      <c r="X11" s="473">
        <f t="shared" si="7"/>
        <v>-2350.5401981053292</v>
      </c>
      <c r="Y11" s="473">
        <f t="shared" si="7"/>
        <v>-2562.0888159348092</v>
      </c>
      <c r="Z11" s="473">
        <f t="shared" si="7"/>
        <v>-2792.6768093689425</v>
      </c>
      <c r="AA11" s="473">
        <f t="shared" si="7"/>
        <v>-3044.0177222121474</v>
      </c>
      <c r="AB11" s="473">
        <f t="shared" si="7"/>
        <v>-3317.9793172112404</v>
      </c>
      <c r="AC11" s="473">
        <f>-AC6*$D$55</f>
        <v>-3616.5974557602526</v>
      </c>
      <c r="AD11" s="473">
        <f t="shared" si="7"/>
        <v>-3833.5933031058676</v>
      </c>
      <c r="AE11" s="473">
        <f t="shared" si="7"/>
        <v>-4063.6089012922198</v>
      </c>
      <c r="AF11" s="473">
        <f t="shared" si="7"/>
        <v>-4307.4254353697534</v>
      </c>
      <c r="AG11" s="5">
        <f t="shared" si="7"/>
        <v>0</v>
      </c>
      <c r="AH11" s="5">
        <f t="shared" si="7"/>
        <v>0</v>
      </c>
      <c r="AI11" s="5" t="s">
        <v>9014</v>
      </c>
    </row>
    <row r="12" spans="1:35" ht="15">
      <c r="A12" s="1087"/>
      <c r="B12" s="259">
        <v>6</v>
      </c>
      <c r="C12" s="239" t="s">
        <v>50</v>
      </c>
      <c r="D12" s="312">
        <f>D8-D9-D10</f>
        <v>596.29999999999995</v>
      </c>
      <c r="E12" s="309">
        <f>E8-E9-E10</f>
        <v>734.8</v>
      </c>
      <c r="F12" s="317">
        <f>F8-F9-F10</f>
        <v>1073.8999999999999</v>
      </c>
      <c r="G12" s="333">
        <f>G8-G9-G10</f>
        <v>1225.6150000000002</v>
      </c>
      <c r="H12" s="334">
        <f t="shared" ref="H12:AF12" si="8">H8-H9-H10</f>
        <v>1414.4464660816338</v>
      </c>
      <c r="I12" s="334">
        <f t="shared" si="8"/>
        <v>1720.7746439650618</v>
      </c>
      <c r="J12" s="335">
        <f t="shared" si="8"/>
        <v>2087.9382697501128</v>
      </c>
      <c r="K12" s="333">
        <f t="shared" si="8"/>
        <v>2428.8386740413262</v>
      </c>
      <c r="L12" s="334">
        <f t="shared" si="8"/>
        <v>2835.314358096733</v>
      </c>
      <c r="M12" s="334">
        <f t="shared" si="8"/>
        <v>3305.9497088001867</v>
      </c>
      <c r="N12" s="334">
        <f t="shared" si="8"/>
        <v>3850.7074280429097</v>
      </c>
      <c r="O12" s="334">
        <f t="shared" si="8"/>
        <v>4113.2584978439863</v>
      </c>
      <c r="P12" s="334">
        <f t="shared" si="8"/>
        <v>4721.3124001253318</v>
      </c>
      <c r="Q12" s="334">
        <f t="shared" si="8"/>
        <v>5384.0332131972391</v>
      </c>
      <c r="R12" s="334">
        <f t="shared" si="8"/>
        <v>6137.5136265418214</v>
      </c>
      <c r="S12" s="334">
        <f t="shared" si="8"/>
        <v>6994.1866694446699</v>
      </c>
      <c r="T12" s="334">
        <f t="shared" si="8"/>
        <v>7904.7352950813984</v>
      </c>
      <c r="U12" s="334">
        <f t="shared" si="8"/>
        <v>8859.372902606252</v>
      </c>
      <c r="V12" s="334">
        <f t="shared" si="8"/>
        <v>9925.7602918686061</v>
      </c>
      <c r="W12" s="334">
        <f t="shared" si="8"/>
        <v>10938.277672189923</v>
      </c>
      <c r="X12" s="334">
        <f t="shared" si="8"/>
        <v>12049.288311470083</v>
      </c>
      <c r="Y12" s="334">
        <f t="shared" si="8"/>
        <v>13268.415609441996</v>
      </c>
      <c r="Z12" s="334">
        <f t="shared" si="8"/>
        <v>14606.22880921759</v>
      </c>
      <c r="AA12" s="334">
        <f>AA8-AA9-AA10</f>
        <v>16074.336703188474</v>
      </c>
      <c r="AB12" s="334">
        <f t="shared" si="8"/>
        <v>17685.4907220641</v>
      </c>
      <c r="AC12" s="334">
        <f t="shared" si="8"/>
        <v>19453.698359970924</v>
      </c>
      <c r="AD12" s="334">
        <f t="shared" si="8"/>
        <v>20880.552617585541</v>
      </c>
      <c r="AE12" s="334">
        <f t="shared" si="8"/>
        <v>22405.139955473478</v>
      </c>
      <c r="AF12" s="335">
        <f t="shared" si="8"/>
        <v>24034.422987518388</v>
      </c>
      <c r="AG12" s="5"/>
      <c r="AH12" s="5"/>
      <c r="AI12" s="5"/>
    </row>
    <row r="13" spans="1:35">
      <c r="A13" s="1087"/>
      <c r="B13" s="259">
        <v>7</v>
      </c>
      <c r="C13" s="253" t="s">
        <v>9015</v>
      </c>
      <c r="D13" s="467">
        <f>'Fin. Data'!E14</f>
        <v>12.2</v>
      </c>
      <c r="E13" s="468">
        <f>'Fin. Data'!D14</f>
        <v>-18.600000000000001</v>
      </c>
      <c r="F13" s="469">
        <f>'Fin. Data'!C14</f>
        <v>-5.2</v>
      </c>
      <c r="G13" s="475">
        <f>F43*$D$58-F44*$D$57</f>
        <v>3.4351799999999884</v>
      </c>
      <c r="H13" s="476">
        <f>G43*$D$58-G44*$D$57</f>
        <v>-21.327643072373569</v>
      </c>
      <c r="I13" s="476">
        <f>H43*$D$58-H44*$D$57</f>
        <v>-22.296696484980899</v>
      </c>
      <c r="J13" s="477">
        <f>I43*$D$58-I44*$D$57</f>
        <v>-34.973551461208416</v>
      </c>
      <c r="K13" s="475">
        <f>J43*$E$58-J44*$E$57</f>
        <v>-60.769531542854217</v>
      </c>
      <c r="L13" s="476">
        <f t="shared" ref="L13:AF13" si="9">K43*$E$58-K44*$E$57</f>
        <v>-40.415321579905758</v>
      </c>
      <c r="M13" s="476">
        <f t="shared" si="9"/>
        <v>-47.776870452430614</v>
      </c>
      <c r="N13" s="476">
        <f t="shared" si="9"/>
        <v>-54.23868596869702</v>
      </c>
      <c r="O13" s="476">
        <f t="shared" si="9"/>
        <v>-59.457653660541311</v>
      </c>
      <c r="P13" s="476">
        <f t="shared" si="9"/>
        <v>-63.758795203020632</v>
      </c>
      <c r="Q13" s="476">
        <f t="shared" si="9"/>
        <v>-70.847609555074996</v>
      </c>
      <c r="R13" s="476">
        <f t="shared" si="9"/>
        <v>-77.573733660179897</v>
      </c>
      <c r="S13" s="476">
        <f t="shared" si="9"/>
        <v>-97.695055224870231</v>
      </c>
      <c r="T13" s="476">
        <f t="shared" si="9"/>
        <v>-118.64590266380048</v>
      </c>
      <c r="U13" s="476">
        <f t="shared" si="9"/>
        <v>-141.02538886154431</v>
      </c>
      <c r="V13" s="476">
        <f t="shared" si="9"/>
        <v>-164.62676444578608</v>
      </c>
      <c r="W13" s="476">
        <f t="shared" si="9"/>
        <v>-188.29978729000408</v>
      </c>
      <c r="X13" s="476">
        <f t="shared" si="9"/>
        <v>-213.70197691196739</v>
      </c>
      <c r="Y13" s="476">
        <f t="shared" si="9"/>
        <v>-238.0520263141668</v>
      </c>
      <c r="Z13" s="476">
        <f t="shared" si="9"/>
        <v>-261.042512579591</v>
      </c>
      <c r="AA13" s="476">
        <f t="shared" si="9"/>
        <v>-282.28355529659746</v>
      </c>
      <c r="AB13" s="476">
        <f t="shared" si="9"/>
        <v>-301.43986569457036</v>
      </c>
      <c r="AC13" s="476">
        <f t="shared" si="9"/>
        <v>-318.06537214418591</v>
      </c>
      <c r="AD13" s="476">
        <f t="shared" si="9"/>
        <v>-331.65488615114691</v>
      </c>
      <c r="AE13" s="476">
        <f t="shared" si="9"/>
        <v>-346.97488701391154</v>
      </c>
      <c r="AF13" s="477">
        <f t="shared" si="9"/>
        <v>-356.19185172942099</v>
      </c>
      <c r="AG13" s="5"/>
      <c r="AH13" s="5"/>
      <c r="AI13" s="5"/>
    </row>
    <row r="14" spans="1:35" ht="15">
      <c r="A14" s="1087"/>
      <c r="B14" s="259">
        <v>8</v>
      </c>
      <c r="C14" s="253" t="s">
        <v>9016</v>
      </c>
      <c r="D14" s="313">
        <f>'Fin. Data'!E15</f>
        <v>2</v>
      </c>
      <c r="E14" s="310">
        <f>'Fin. Data'!D15</f>
        <v>-10.899999999999999</v>
      </c>
      <c r="F14" s="318">
        <f>'Fin. Data'!C15</f>
        <v>-76.3</v>
      </c>
      <c r="G14" s="322">
        <f>AVERAGE(D14:F14)*(1+G5)</f>
        <v>-34.076271109702539</v>
      </c>
      <c r="H14" s="320">
        <f>AVERAGE(E14:G14)*(1+H5)</f>
        <v>-47.877319204128611</v>
      </c>
      <c r="I14" s="320">
        <f t="shared" ref="I14:AF14" si="10">AVERAGE(F14:H14)*(1+I5)</f>
        <v>-62.468350752952766</v>
      </c>
      <c r="J14" s="323">
        <f>AVERAGE(G14:I14)*(1+J5)</f>
        <v>-57.008504218394592</v>
      </c>
      <c r="K14" s="322">
        <f t="shared" si="10"/>
        <v>-66.060676611712154</v>
      </c>
      <c r="L14" s="320">
        <f t="shared" si="10"/>
        <v>-70.363562706778794</v>
      </c>
      <c r="M14" s="320">
        <f t="shared" si="10"/>
        <v>-73.357756046834368</v>
      </c>
      <c r="N14" s="320">
        <f t="shared" si="10"/>
        <v>-79.558073559004924</v>
      </c>
      <c r="O14" s="320">
        <f t="shared" si="10"/>
        <v>-84.676848872957819</v>
      </c>
      <c r="P14" s="320">
        <f t="shared" si="10"/>
        <v>-90.105043374096482</v>
      </c>
      <c r="Q14" s="320">
        <f t="shared" si="10"/>
        <v>-95.8013871202823</v>
      </c>
      <c r="R14" s="320">
        <f t="shared" si="10"/>
        <v>-101.91970189503012</v>
      </c>
      <c r="S14" s="320">
        <f t="shared" si="10"/>
        <v>-108.41450986667734</v>
      </c>
      <c r="T14" s="320">
        <f t="shared" si="10"/>
        <v>-114.29062358260953</v>
      </c>
      <c r="U14" s="320">
        <f t="shared" si="10"/>
        <v>-120.1111890773973</v>
      </c>
      <c r="V14" s="320">
        <f t="shared" si="10"/>
        <v>-126.84203933487314</v>
      </c>
      <c r="W14" s="320">
        <f t="shared" si="10"/>
        <v>-131.25193289147305</v>
      </c>
      <c r="X14" s="320">
        <f t="shared" si="10"/>
        <v>-137.41454194036012</v>
      </c>
      <c r="Y14" s="320">
        <f t="shared" si="10"/>
        <v>-143.70142681390331</v>
      </c>
      <c r="Z14" s="320">
        <f t="shared" si="10"/>
        <v>-149.82700426461759</v>
      </c>
      <c r="AA14" s="320">
        <f t="shared" si="10"/>
        <v>-156.57594686352678</v>
      </c>
      <c r="AB14" s="320">
        <f t="shared" si="10"/>
        <v>-163.53792398561069</v>
      </c>
      <c r="AC14" s="320">
        <f t="shared" si="10"/>
        <v>-170.74518462466435</v>
      </c>
      <c r="AD14" s="320">
        <f t="shared" si="10"/>
        <v>-173.43686626741001</v>
      </c>
      <c r="AE14" s="320">
        <f t="shared" si="10"/>
        <v>-179.39439112344868</v>
      </c>
      <c r="AF14" s="323">
        <f t="shared" si="10"/>
        <v>-184.99700951215149</v>
      </c>
      <c r="AG14" s="5"/>
      <c r="AH14" s="5"/>
      <c r="AI14" s="5"/>
    </row>
    <row r="15" spans="1:35" ht="15">
      <c r="A15" s="1087"/>
      <c r="B15" s="259">
        <v>9</v>
      </c>
      <c r="C15" s="239" t="s">
        <v>9017</v>
      </c>
      <c r="D15" s="312">
        <f>D8+D13+D14</f>
        <v>541.70000000000005</v>
      </c>
      <c r="E15" s="309">
        <f>E8+E13+E14</f>
        <v>620.9</v>
      </c>
      <c r="F15" s="317">
        <f>F8+F13+F14</f>
        <v>888.1</v>
      </c>
      <c r="G15" s="333">
        <f>G8+G13+G14</f>
        <v>1082.4219088902976</v>
      </c>
      <c r="H15" s="334">
        <f t="shared" ref="H15:AF15" si="11">H8+H13+H14</f>
        <v>1186.2631651105753</v>
      </c>
      <c r="I15" s="334">
        <f t="shared" si="11"/>
        <v>1439.1377994185982</v>
      </c>
      <c r="J15" s="335">
        <f t="shared" si="11"/>
        <v>1756.6498197754972</v>
      </c>
      <c r="K15" s="333">
        <f t="shared" si="11"/>
        <v>2114.4560354445216</v>
      </c>
      <c r="L15" s="334">
        <f t="shared" si="11"/>
        <v>2498.4900744562456</v>
      </c>
      <c r="M15" s="334">
        <f t="shared" si="11"/>
        <v>2914.9647751793946</v>
      </c>
      <c r="N15" s="334">
        <f t="shared" si="11"/>
        <v>3397.2104587310369</v>
      </c>
      <c r="O15" s="334">
        <f t="shared" si="11"/>
        <v>3592.6946660906856</v>
      </c>
      <c r="P15" s="334">
        <f t="shared" si="11"/>
        <v>4126.4615465397064</v>
      </c>
      <c r="Q15" s="334">
        <f t="shared" si="11"/>
        <v>4702.9305832975833</v>
      </c>
      <c r="R15" s="334">
        <f t="shared" si="11"/>
        <v>5360.4604586374035</v>
      </c>
      <c r="S15" s="334">
        <f t="shared" si="11"/>
        <v>6096.5062245759518</v>
      </c>
      <c r="T15" s="334">
        <f t="shared" si="11"/>
        <v>6873.8798612890523</v>
      </c>
      <c r="U15" s="334">
        <f t="shared" si="11"/>
        <v>7680.9444429409723</v>
      </c>
      <c r="V15" s="334">
        <f t="shared" si="11"/>
        <v>8584.0455619556124</v>
      </c>
      <c r="W15" s="334">
        <f t="shared" si="11"/>
        <v>9420.3879874905051</v>
      </c>
      <c r="X15" s="334">
        <f t="shared" si="11"/>
        <v>10337.438712979096</v>
      </c>
      <c r="Y15" s="334">
        <f t="shared" si="11"/>
        <v>11347.807136854013</v>
      </c>
      <c r="Z15" s="334">
        <f t="shared" si="11"/>
        <v>12461.08451716108</v>
      </c>
      <c r="AA15" s="334">
        <f t="shared" si="11"/>
        <v>13686.75069291012</v>
      </c>
      <c r="AB15" s="334">
        <f t="shared" si="11"/>
        <v>15036.387648383374</v>
      </c>
      <c r="AC15" s="334">
        <f t="shared" si="11"/>
        <v>16522.300972292884</v>
      </c>
      <c r="AD15" s="334">
        <f t="shared" si="11"/>
        <v>17649.011303562875</v>
      </c>
      <c r="AE15" s="334">
        <f t="shared" si="11"/>
        <v>18847.52390950975</v>
      </c>
      <c r="AF15" s="335">
        <f t="shared" si="11"/>
        <v>20134.453228533228</v>
      </c>
      <c r="AG15" s="483"/>
      <c r="AH15" s="5"/>
      <c r="AI15" s="5"/>
    </row>
    <row r="16" spans="1:35" ht="15">
      <c r="A16" s="1087"/>
      <c r="B16" s="259">
        <v>10</v>
      </c>
      <c r="C16" s="253" t="s">
        <v>9018</v>
      </c>
      <c r="D16" s="844">
        <f>'Fin. Data'!E21</f>
        <v>-53.2</v>
      </c>
      <c r="E16" s="465">
        <f>'Fin. Data'!D21</f>
        <v>-14.1</v>
      </c>
      <c r="F16" s="466">
        <f>'Fin. Data'!C21</f>
        <v>-30.8</v>
      </c>
      <c r="G16" s="444">
        <f>-(1*$D$56)*G15</f>
        <v>-81.431266238778392</v>
      </c>
      <c r="H16" s="721">
        <f>-(1*$D$56)*H15</f>
        <v>-89.243307839554646</v>
      </c>
      <c r="I16" s="408">
        <f>-(1*$D$56)*I15</f>
        <v>-108.26722217669257</v>
      </c>
      <c r="J16" s="409">
        <f t="shared" ref="J16" si="12">-(1*$D$56)*J15</f>
        <v>-132.1538468387914</v>
      </c>
      <c r="K16" s="407">
        <f>-(1*$E$56)*K15</f>
        <v>-482.80389642413587</v>
      </c>
      <c r="L16" s="408">
        <f>-(1*$E$56)*L15</f>
        <v>-570.49223199900132</v>
      </c>
      <c r="M16" s="408">
        <f t="shared" ref="M16:AF16" si="13">-(1*$E$56)*M15</f>
        <v>-665.58789958470277</v>
      </c>
      <c r="N16" s="408">
        <f t="shared" si="13"/>
        <v>-775.70137139472592</v>
      </c>
      <c r="O16" s="408">
        <f t="shared" si="13"/>
        <v>-820.33721882807322</v>
      </c>
      <c r="P16" s="408">
        <f t="shared" si="13"/>
        <v>-942.21477283868001</v>
      </c>
      <c r="Q16" s="408">
        <f t="shared" si="13"/>
        <v>-1073.8427151789708</v>
      </c>
      <c r="R16" s="408">
        <f t="shared" si="13"/>
        <v>-1223.979667902418</v>
      </c>
      <c r="S16" s="408">
        <f t="shared" si="13"/>
        <v>-1392.0445308197072</v>
      </c>
      <c r="T16" s="408">
        <f t="shared" si="13"/>
        <v>-1569.5459848537621</v>
      </c>
      <c r="U16" s="408">
        <f t="shared" si="13"/>
        <v>-1753.8269148687223</v>
      </c>
      <c r="V16" s="408">
        <f t="shared" si="13"/>
        <v>-1960.0363284560806</v>
      </c>
      <c r="W16" s="408">
        <f t="shared" si="13"/>
        <v>-2151.0024091048895</v>
      </c>
      <c r="X16" s="408">
        <f t="shared" si="13"/>
        <v>-2360.3970032996049</v>
      </c>
      <c r="Y16" s="408">
        <f t="shared" si="13"/>
        <v>-2591.099275512217</v>
      </c>
      <c r="Z16" s="408">
        <f t="shared" si="13"/>
        <v>-2845.2992437324638</v>
      </c>
      <c r="AA16" s="408">
        <f t="shared" si="13"/>
        <v>-3125.161485106757</v>
      </c>
      <c r="AB16" s="408">
        <f t="shared" si="13"/>
        <v>-3433.330569702317</v>
      </c>
      <c r="AC16" s="408">
        <f t="shared" si="13"/>
        <v>-3772.6162916592793</v>
      </c>
      <c r="AD16" s="408">
        <f t="shared" si="13"/>
        <v>-4029.883470053991</v>
      </c>
      <c r="AE16" s="408">
        <f t="shared" si="13"/>
        <v>-4303.5456064922864</v>
      </c>
      <c r="AF16" s="409">
        <f t="shared" si="13"/>
        <v>-4597.3963554469092</v>
      </c>
      <c r="AG16" s="483"/>
      <c r="AH16" s="5"/>
      <c r="AI16" s="5"/>
    </row>
    <row r="17" spans="1:35" ht="15.95" thickBot="1">
      <c r="A17" s="1087"/>
      <c r="B17" s="260">
        <v>11</v>
      </c>
      <c r="C17" s="266" t="s">
        <v>9019</v>
      </c>
      <c r="D17" s="732">
        <f>'Fin. Data'!E23</f>
        <v>488.5</v>
      </c>
      <c r="E17" s="686">
        <f>'Fin. Data'!D23</f>
        <v>606.79999999999995</v>
      </c>
      <c r="F17" s="319">
        <f>'Fin. Data'!C23</f>
        <v>857.3</v>
      </c>
      <c r="G17" s="326">
        <f>G16+G15</f>
        <v>1000.9906426515192</v>
      </c>
      <c r="H17" s="327">
        <f t="shared" ref="H17:AF17" si="14">H16+H15</f>
        <v>1097.0198572710206</v>
      </c>
      <c r="I17" s="327">
        <f t="shared" si="14"/>
        <v>1330.8705772419057</v>
      </c>
      <c r="J17" s="328">
        <f t="shared" si="14"/>
        <v>1624.4959729367058</v>
      </c>
      <c r="K17" s="326">
        <f t="shared" si="14"/>
        <v>1631.6521390203857</v>
      </c>
      <c r="L17" s="327">
        <f t="shared" si="14"/>
        <v>1927.9978424572441</v>
      </c>
      <c r="M17" s="327">
        <f t="shared" si="14"/>
        <v>2249.3768755946917</v>
      </c>
      <c r="N17" s="327">
        <f t="shared" si="14"/>
        <v>2621.509087336311</v>
      </c>
      <c r="O17" s="327">
        <f t="shared" si="14"/>
        <v>2772.3574472626124</v>
      </c>
      <c r="P17" s="327">
        <f t="shared" si="14"/>
        <v>3184.2467737010265</v>
      </c>
      <c r="Q17" s="327">
        <f t="shared" si="14"/>
        <v>3629.0878681186123</v>
      </c>
      <c r="R17" s="327">
        <f t="shared" si="14"/>
        <v>4136.4807907349859</v>
      </c>
      <c r="S17" s="327">
        <f t="shared" si="14"/>
        <v>4704.4616937562441</v>
      </c>
      <c r="T17" s="327">
        <f t="shared" si="14"/>
        <v>5304.3338764352902</v>
      </c>
      <c r="U17" s="327">
        <f t="shared" si="14"/>
        <v>5927.11752807225</v>
      </c>
      <c r="V17" s="327">
        <f t="shared" si="14"/>
        <v>6624.0092334995315</v>
      </c>
      <c r="W17" s="327">
        <f t="shared" si="14"/>
        <v>7269.3855783856161</v>
      </c>
      <c r="X17" s="327">
        <f t="shared" si="14"/>
        <v>7977.0417096794909</v>
      </c>
      <c r="Y17" s="327">
        <f t="shared" si="14"/>
        <v>8756.7078613417962</v>
      </c>
      <c r="Z17" s="327">
        <f t="shared" si="14"/>
        <v>9615.7852734286171</v>
      </c>
      <c r="AA17" s="327">
        <f t="shared" si="14"/>
        <v>10561.589207803363</v>
      </c>
      <c r="AB17" s="327">
        <f t="shared" si="14"/>
        <v>11603.057078681057</v>
      </c>
      <c r="AC17" s="327">
        <f t="shared" si="14"/>
        <v>12749.684680633603</v>
      </c>
      <c r="AD17" s="327">
        <f t="shared" si="14"/>
        <v>13619.127833508883</v>
      </c>
      <c r="AE17" s="327">
        <f t="shared" si="14"/>
        <v>14543.978303017462</v>
      </c>
      <c r="AF17" s="328">
        <f t="shared" si="14"/>
        <v>15537.05687308632</v>
      </c>
      <c r="AG17" s="483"/>
      <c r="AH17" s="5"/>
      <c r="AI17" s="5"/>
    </row>
    <row r="18" spans="1:35" ht="15.95" thickBot="1">
      <c r="A18" s="243"/>
      <c r="B18" s="255"/>
      <c r="C18" s="256" t="s">
        <v>9020</v>
      </c>
      <c r="D18" s="264" t="s">
        <v>9020</v>
      </c>
      <c r="E18" s="264" t="s">
        <v>9020</v>
      </c>
      <c r="F18" s="264" t="s">
        <v>9020</v>
      </c>
      <c r="G18" s="261" t="s">
        <v>9020</v>
      </c>
      <c r="H18" s="261" t="s">
        <v>9020</v>
      </c>
      <c r="I18" s="261" t="s">
        <v>9020</v>
      </c>
      <c r="J18" s="261" t="s">
        <v>9020</v>
      </c>
      <c r="K18" s="261" t="s">
        <v>9020</v>
      </c>
      <c r="L18" s="261" t="s">
        <v>9020</v>
      </c>
      <c r="M18" s="261" t="s">
        <v>9020</v>
      </c>
      <c r="N18" s="261" t="s">
        <v>9020</v>
      </c>
      <c r="O18" s="261" t="s">
        <v>9020</v>
      </c>
      <c r="P18" s="261" t="s">
        <v>9020</v>
      </c>
      <c r="Q18" s="261" t="s">
        <v>9020</v>
      </c>
      <c r="R18" s="261" t="s">
        <v>9020</v>
      </c>
      <c r="S18" s="261" t="s">
        <v>9020</v>
      </c>
      <c r="T18" s="261" t="s">
        <v>9020</v>
      </c>
      <c r="U18" s="261" t="s">
        <v>9020</v>
      </c>
      <c r="V18" s="261" t="s">
        <v>9020</v>
      </c>
      <c r="W18" s="261" t="s">
        <v>9020</v>
      </c>
      <c r="X18" s="261" t="s">
        <v>9020</v>
      </c>
      <c r="Y18" s="261" t="s">
        <v>9020</v>
      </c>
      <c r="Z18" s="261" t="s">
        <v>9020</v>
      </c>
      <c r="AA18" s="261" t="s">
        <v>9020</v>
      </c>
      <c r="AB18" s="261" t="s">
        <v>9020</v>
      </c>
      <c r="AC18" s="261" t="s">
        <v>9020</v>
      </c>
      <c r="AD18" s="261" t="s">
        <v>9020</v>
      </c>
      <c r="AE18" s="261" t="s">
        <v>9020</v>
      </c>
      <c r="AF18" s="271" t="s">
        <v>9020</v>
      </c>
      <c r="AG18" s="483"/>
      <c r="AH18" s="5"/>
      <c r="AI18" s="5"/>
    </row>
    <row r="19" spans="1:35" ht="15">
      <c r="A19" s="1287" t="s">
        <v>9021</v>
      </c>
      <c r="B19" s="232">
        <v>12</v>
      </c>
      <c r="C19" s="420" t="s">
        <v>9022</v>
      </c>
      <c r="D19" s="406">
        <f>Inputs!E59-D21-D20</f>
        <v>1085.4000000000001</v>
      </c>
      <c r="E19" s="406">
        <f>Inputs!D59-DCF!E21-E20</f>
        <v>1305.2000000000003</v>
      </c>
      <c r="F19" s="406">
        <f>Inputs!C59-DCF!F20-DCF!F21</f>
        <v>1714.8999999999999</v>
      </c>
      <c r="G19" s="462">
        <f>G17-G10-G9-G11</f>
        <v>1378.5576426515192</v>
      </c>
      <c r="H19" s="480">
        <f t="shared" ref="H19:AF19" si="15">H17-H10-H9-H11</f>
        <v>1569.8652278123463</v>
      </c>
      <c r="I19" s="480">
        <f>I17-I10-I9-I11</f>
        <v>1899.4259956861752</v>
      </c>
      <c r="J19" s="481">
        <f t="shared" si="15"/>
        <v>2303.9528137686475</v>
      </c>
      <c r="K19" s="462">
        <f t="shared" si="15"/>
        <v>2340.4339284391563</v>
      </c>
      <c r="L19" s="480">
        <f t="shared" si="15"/>
        <v>2747.0589142526219</v>
      </c>
      <c r="M19" s="480">
        <f t="shared" si="15"/>
        <v>3193.91593864481</v>
      </c>
      <c r="N19" s="480">
        <f t="shared" si="15"/>
        <v>3708.819561959338</v>
      </c>
      <c r="O19" s="480">
        <f t="shared" si="15"/>
        <v>4022.1161650462018</v>
      </c>
      <c r="P19" s="480">
        <f t="shared" si="15"/>
        <v>4618.8424673132695</v>
      </c>
      <c r="Q19" s="480">
        <f t="shared" si="15"/>
        <v>5266.3193081651316</v>
      </c>
      <c r="R19" s="480">
        <f t="shared" si="15"/>
        <v>6002.7794447933029</v>
      </c>
      <c r="S19" s="480">
        <f t="shared" si="15"/>
        <v>6829.7075550647078</v>
      </c>
      <c r="T19" s="480">
        <f t="shared" si="15"/>
        <v>7707.9687632962759</v>
      </c>
      <c r="U19" s="480">
        <f t="shared" si="15"/>
        <v>8626.7541468382951</v>
      </c>
      <c r="V19" s="480">
        <f t="shared" si="15"/>
        <v>9652.6578177459378</v>
      </c>
      <c r="W19" s="480">
        <f t="shared" si="15"/>
        <v>10624.182440247896</v>
      </c>
      <c r="X19" s="480">
        <f t="shared" si="15"/>
        <v>11688.314987423482</v>
      </c>
      <c r="Y19" s="480">
        <f t="shared" si="15"/>
        <v>12857.651696736519</v>
      </c>
      <c r="Z19" s="480">
        <f t="shared" si="15"/>
        <v>14142.736858009859</v>
      </c>
      <c r="AA19" s="480">
        <f t="shared" si="15"/>
        <v>15554.333438133741</v>
      </c>
      <c r="AB19" s="480">
        <f t="shared" si="15"/>
        <v>17105.161679892841</v>
      </c>
      <c r="AC19" s="480">
        <f t="shared" si="15"/>
        <v>18808.868967303046</v>
      </c>
      <c r="AD19" s="480">
        <f t="shared" si="15"/>
        <v>20179.170698218863</v>
      </c>
      <c r="AE19" s="480">
        <f t="shared" si="15"/>
        <v>21638.83397213605</v>
      </c>
      <c r="AF19" s="482">
        <f t="shared" si="15"/>
        <v>23203.263206199663</v>
      </c>
      <c r="AG19" s="483"/>
      <c r="AH19" s="5"/>
      <c r="AI19" s="5"/>
    </row>
    <row r="20" spans="1:35" ht="15">
      <c r="A20" s="1288"/>
      <c r="B20" s="232">
        <v>13</v>
      </c>
      <c r="C20" s="253" t="s">
        <v>9023</v>
      </c>
      <c r="D20" s="276">
        <v>-191.7</v>
      </c>
      <c r="E20" s="276">
        <v>-207.9</v>
      </c>
      <c r="F20" s="276">
        <v>-217.3</v>
      </c>
      <c r="G20" s="462">
        <f>G11</f>
        <v>-265.01500000000004</v>
      </c>
      <c r="H20" s="480">
        <f t="shared" ref="H20:AF20" si="16">H11</f>
        <v>-313.86703184676935</v>
      </c>
      <c r="I20" s="480">
        <f t="shared" si="16"/>
        <v>-371.68362113573949</v>
      </c>
      <c r="J20" s="481">
        <f t="shared" si="16"/>
        <v>-440.15044653692871</v>
      </c>
      <c r="K20" s="462">
        <f t="shared" si="16"/>
        <v>-521.22935897653213</v>
      </c>
      <c r="L20" s="480">
        <f t="shared" si="16"/>
        <v>-593.01567244157502</v>
      </c>
      <c r="M20" s="480">
        <f t="shared" si="16"/>
        <v>-674.68875592859104</v>
      </c>
      <c r="N20" s="480">
        <f t="shared" si="16"/>
        <v>-767.61026483885621</v>
      </c>
      <c r="O20" s="480">
        <f t="shared" si="16"/>
        <v>-873.32938856378769</v>
      </c>
      <c r="P20" s="480">
        <f t="shared" si="16"/>
        <v>-993.60867860373548</v>
      </c>
      <c r="Q20" s="480">
        <f t="shared" si="16"/>
        <v>-1122.777806822221</v>
      </c>
      <c r="R20" s="480">
        <f t="shared" si="16"/>
        <v>-1268.7389217091095</v>
      </c>
      <c r="S20" s="480">
        <f t="shared" si="16"/>
        <v>-1433.6749815312937</v>
      </c>
      <c r="T20" s="480">
        <f t="shared" si="16"/>
        <v>-1605.715979315049</v>
      </c>
      <c r="U20" s="480">
        <f t="shared" si="16"/>
        <v>-1782.3447370397043</v>
      </c>
      <c r="V20" s="480">
        <f t="shared" si="16"/>
        <v>-1978.402658114072</v>
      </c>
      <c r="W20" s="480">
        <f t="shared" si="16"/>
        <v>-2156.4588973443383</v>
      </c>
      <c r="X20" s="480">
        <f t="shared" si="16"/>
        <v>-2350.5401981053292</v>
      </c>
      <c r="Y20" s="480">
        <f t="shared" si="16"/>
        <v>-2562.0888159348092</v>
      </c>
      <c r="Z20" s="480">
        <f t="shared" si="16"/>
        <v>-2792.6768093689425</v>
      </c>
      <c r="AA20" s="480">
        <f t="shared" si="16"/>
        <v>-3044.0177222121474</v>
      </c>
      <c r="AB20" s="480">
        <f t="shared" si="16"/>
        <v>-3317.9793172112404</v>
      </c>
      <c r="AC20" s="480">
        <f t="shared" si="16"/>
        <v>-3616.5974557602526</v>
      </c>
      <c r="AD20" s="480">
        <f t="shared" si="16"/>
        <v>-3833.5933031058676</v>
      </c>
      <c r="AE20" s="480">
        <f t="shared" si="16"/>
        <v>-4063.6089012922198</v>
      </c>
      <c r="AF20" s="482">
        <f t="shared" si="16"/>
        <v>-4307.4254353697534</v>
      </c>
      <c r="AG20" s="483"/>
      <c r="AH20" s="5"/>
      <c r="AI20" s="5"/>
    </row>
    <row r="21" spans="1:35" ht="15">
      <c r="A21" s="1288"/>
      <c r="B21" s="232">
        <v>14</v>
      </c>
      <c r="C21" s="253" t="s">
        <v>9024</v>
      </c>
      <c r="D21" s="279">
        <f>Inputs!E62</f>
        <v>190</v>
      </c>
      <c r="E21" s="278">
        <f>Inputs!D62</f>
        <v>402.39999999999992</v>
      </c>
      <c r="F21" s="559">
        <f>Inputs!C62</f>
        <v>233</v>
      </c>
      <c r="G21" s="357">
        <f t="shared" ref="G21:J21" si="17">$D$60*(G6-F6)</f>
        <v>220.72500000000014</v>
      </c>
      <c r="H21" s="437">
        <f t="shared" si="17"/>
        <v>244.26015923384671</v>
      </c>
      <c r="I21" s="437">
        <f t="shared" si="17"/>
        <v>289.08294644485068</v>
      </c>
      <c r="J21" s="438">
        <f t="shared" si="17"/>
        <v>342.3341270059459</v>
      </c>
      <c r="K21" s="324">
        <f t="shared" ref="K21:AF21" si="18">$E$60*(K6-J6)</f>
        <v>324.3156497584136</v>
      </c>
      <c r="L21" s="321">
        <f t="shared" si="18"/>
        <v>287.14525386017158</v>
      </c>
      <c r="M21" s="321">
        <f t="shared" si="18"/>
        <v>326.692333948064</v>
      </c>
      <c r="N21" s="321">
        <f t="shared" si="18"/>
        <v>371.68603564106093</v>
      </c>
      <c r="O21" s="321">
        <f t="shared" si="18"/>
        <v>422.87649489972614</v>
      </c>
      <c r="P21" s="321">
        <f t="shared" si="18"/>
        <v>481.11716015979113</v>
      </c>
      <c r="Q21" s="321">
        <f t="shared" si="18"/>
        <v>516.67651287394187</v>
      </c>
      <c r="R21" s="321">
        <f t="shared" si="18"/>
        <v>583.84445954755427</v>
      </c>
      <c r="S21" s="321">
        <f t="shared" si="18"/>
        <v>659.74423928873659</v>
      </c>
      <c r="T21" s="321">
        <f t="shared" si="18"/>
        <v>688.16399113502121</v>
      </c>
      <c r="U21" s="321">
        <f t="shared" si="18"/>
        <v>706.51503089862172</v>
      </c>
      <c r="V21" s="321">
        <f t="shared" si="18"/>
        <v>784.23168429747022</v>
      </c>
      <c r="W21" s="321">
        <f t="shared" si="18"/>
        <v>712.22495692106611</v>
      </c>
      <c r="X21" s="321">
        <f t="shared" si="18"/>
        <v>776.32520304396314</v>
      </c>
      <c r="Y21" s="321">
        <f t="shared" si="18"/>
        <v>846.19447131791969</v>
      </c>
      <c r="Z21" s="321">
        <f t="shared" si="18"/>
        <v>922.35197373653216</v>
      </c>
      <c r="AA21" s="321">
        <f t="shared" si="18"/>
        <v>1005.3636513728197</v>
      </c>
      <c r="AB21" s="321">
        <f t="shared" si="18"/>
        <v>1095.8463799963736</v>
      </c>
      <c r="AC21" s="321">
        <f t="shared" si="18"/>
        <v>1194.4725541960477</v>
      </c>
      <c r="AD21" s="321">
        <f t="shared" si="18"/>
        <v>867.98338938246025</v>
      </c>
      <c r="AE21" s="321">
        <f t="shared" si="18"/>
        <v>920.0623927454086</v>
      </c>
      <c r="AF21" s="325">
        <f t="shared" si="18"/>
        <v>975.26613631013322</v>
      </c>
      <c r="AG21" s="483"/>
      <c r="AH21" s="5"/>
      <c r="AI21" s="5"/>
    </row>
    <row r="22" spans="1:35" ht="15">
      <c r="A22" s="1288"/>
      <c r="B22" s="232">
        <v>15</v>
      </c>
      <c r="C22" s="262" t="s">
        <v>9025</v>
      </c>
      <c r="D22" s="776">
        <f>D19+D20+D21</f>
        <v>1083.7</v>
      </c>
      <c r="E22" s="776">
        <f>E19+E20+E21</f>
        <v>1499.7</v>
      </c>
      <c r="F22" s="560">
        <f t="shared" ref="F22:AF22" si="19">F19+F20+F21</f>
        <v>1730.6</v>
      </c>
      <c r="G22" s="433">
        <f>G19+G20+G21</f>
        <v>1334.2676426515193</v>
      </c>
      <c r="H22" s="434">
        <f>H19+H20+H21</f>
        <v>1500.2583551994237</v>
      </c>
      <c r="I22" s="434">
        <f t="shared" si="19"/>
        <v>1816.8253209952863</v>
      </c>
      <c r="J22" s="435">
        <f t="shared" si="19"/>
        <v>2206.1364942376649</v>
      </c>
      <c r="K22" s="433">
        <f t="shared" si="19"/>
        <v>2143.5202192210377</v>
      </c>
      <c r="L22" s="434">
        <f t="shared" si="19"/>
        <v>2441.1884956712183</v>
      </c>
      <c r="M22" s="434">
        <f t="shared" si="19"/>
        <v>2845.919516664283</v>
      </c>
      <c r="N22" s="434">
        <f t="shared" si="19"/>
        <v>3312.8953327615427</v>
      </c>
      <c r="O22" s="434">
        <f t="shared" si="19"/>
        <v>3571.66327138214</v>
      </c>
      <c r="P22" s="434">
        <f t="shared" si="19"/>
        <v>4106.3509488693253</v>
      </c>
      <c r="Q22" s="434">
        <f t="shared" si="19"/>
        <v>4660.2180142168518</v>
      </c>
      <c r="R22" s="434">
        <f t="shared" si="19"/>
        <v>5317.8849826317473</v>
      </c>
      <c r="S22" s="434">
        <f t="shared" si="19"/>
        <v>6055.7768128221505</v>
      </c>
      <c r="T22" s="434">
        <f t="shared" si="19"/>
        <v>6790.4167751162477</v>
      </c>
      <c r="U22" s="434">
        <f t="shared" si="19"/>
        <v>7550.924440697212</v>
      </c>
      <c r="V22" s="434">
        <f t="shared" si="19"/>
        <v>8458.4868439293368</v>
      </c>
      <c r="W22" s="434">
        <f t="shared" si="19"/>
        <v>9179.9484998246226</v>
      </c>
      <c r="X22" s="434">
        <f t="shared" si="19"/>
        <v>10114.099992362117</v>
      </c>
      <c r="Y22" s="434">
        <f t="shared" si="19"/>
        <v>11141.75735211963</v>
      </c>
      <c r="Z22" s="434">
        <f t="shared" si="19"/>
        <v>12272.412022377448</v>
      </c>
      <c r="AA22" s="434">
        <f t="shared" si="19"/>
        <v>13515.679367294413</v>
      </c>
      <c r="AB22" s="434">
        <f t="shared" si="19"/>
        <v>14883.028742677974</v>
      </c>
      <c r="AC22" s="434">
        <f t="shared" si="19"/>
        <v>16386.74406573884</v>
      </c>
      <c r="AD22" s="434">
        <f t="shared" si="19"/>
        <v>17213.560784495457</v>
      </c>
      <c r="AE22" s="434">
        <f t="shared" si="19"/>
        <v>18495.287463589237</v>
      </c>
      <c r="AF22" s="436">
        <f t="shared" si="19"/>
        <v>19871.103907140041</v>
      </c>
      <c r="AG22" s="483"/>
      <c r="AH22" s="5"/>
      <c r="AI22" s="5"/>
    </row>
    <row r="23" spans="1:35" ht="15">
      <c r="A23" s="1288"/>
      <c r="B23" s="232">
        <v>16</v>
      </c>
      <c r="C23" s="253" t="s">
        <v>9026</v>
      </c>
      <c r="D23" s="299">
        <f>'Fin. Data'!E32</f>
        <v>-125.9</v>
      </c>
      <c r="E23" s="298">
        <f>'Fin. Data'!D32</f>
        <v>-295.89999999999998</v>
      </c>
      <c r="F23" s="808">
        <f>'Fin. Data'!C32</f>
        <v>-281.2</v>
      </c>
      <c r="G23" s="324">
        <f>G6*Assumptions!D85</f>
        <v>-399.95623368195481</v>
      </c>
      <c r="H23" s="321">
        <f>H6*Assumptions!E85</f>
        <v>-420.58182267467095</v>
      </c>
      <c r="I23" s="321">
        <f>I6*Assumptions!F85</f>
        <v>-468.32136263103177</v>
      </c>
      <c r="J23" s="321">
        <f>J6*Assumptions!G85</f>
        <v>-528.18053584431436</v>
      </c>
      <c r="K23" s="324">
        <f t="shared" ref="K23:S23" si="20">K6*$E$62</f>
        <v>-677.59816666949166</v>
      </c>
      <c r="L23" s="321">
        <f t="shared" si="20"/>
        <v>-770.92037417404742</v>
      </c>
      <c r="M23" s="321">
        <f t="shared" si="20"/>
        <v>-877.09538270716826</v>
      </c>
      <c r="N23" s="321">
        <f t="shared" si="20"/>
        <v>-997.89334429051303</v>
      </c>
      <c r="O23" s="321">
        <f t="shared" si="20"/>
        <v>-1135.328205132924</v>
      </c>
      <c r="P23" s="321">
        <f t="shared" si="20"/>
        <v>-1291.6912821848562</v>
      </c>
      <c r="Q23" s="321">
        <f t="shared" si="20"/>
        <v>-1459.6111488688873</v>
      </c>
      <c r="R23" s="321">
        <f t="shared" si="20"/>
        <v>-1649.3605982218423</v>
      </c>
      <c r="S23" s="321">
        <f t="shared" si="20"/>
        <v>-1863.7774759906818</v>
      </c>
      <c r="T23" s="321">
        <f>T6*$E$62</f>
        <v>-2087.4307731095637</v>
      </c>
      <c r="U23" s="321">
        <f t="shared" ref="U23:AF23" si="21">U6*$E$62</f>
        <v>-2317.0481581516156</v>
      </c>
      <c r="V23" s="321">
        <f t="shared" si="21"/>
        <v>-2571.9234555482935</v>
      </c>
      <c r="W23" s="321">
        <f t="shared" si="21"/>
        <v>-2803.3965665476398</v>
      </c>
      <c r="X23" s="321">
        <f t="shared" si="21"/>
        <v>-3055.7022575369278</v>
      </c>
      <c r="Y23" s="321">
        <f t="shared" si="21"/>
        <v>-3330.715460715252</v>
      </c>
      <c r="Z23" s="321">
        <f t="shared" si="21"/>
        <v>-3630.4798521796247</v>
      </c>
      <c r="AA23" s="321">
        <f t="shared" si="21"/>
        <v>-3957.2230388757912</v>
      </c>
      <c r="AB23" s="321">
        <f t="shared" si="21"/>
        <v>-4313.3731123746129</v>
      </c>
      <c r="AC23" s="321">
        <f t="shared" si="21"/>
        <v>-4701.5766924883283</v>
      </c>
      <c r="AD23" s="321">
        <f t="shared" si="21"/>
        <v>-4983.6712940376274</v>
      </c>
      <c r="AE23" s="321">
        <f t="shared" si="21"/>
        <v>-5282.6915716798858</v>
      </c>
      <c r="AF23" s="325">
        <f t="shared" si="21"/>
        <v>-5599.6530659806785</v>
      </c>
      <c r="AG23" s="484">
        <f>SUM(D23:AF23)</f>
        <v>-61878.201232298212</v>
      </c>
      <c r="AH23" s="5"/>
      <c r="AI23" s="5"/>
    </row>
    <row r="24" spans="1:35" ht="15">
      <c r="A24" s="1288"/>
      <c r="B24" s="232">
        <v>17</v>
      </c>
      <c r="C24" s="253" t="s">
        <v>9027</v>
      </c>
      <c r="D24" s="279">
        <f>Inputs!E66</f>
        <v>53.1</v>
      </c>
      <c r="E24" s="278">
        <f>'Fin. Data'!D33</f>
        <v>-1029.2</v>
      </c>
      <c r="F24" s="809">
        <f>'Fin. Data'!C33</f>
        <v>1045.0999999999999</v>
      </c>
      <c r="G24" s="324">
        <f>G6*$D$63</f>
        <v>-303.76229836993218</v>
      </c>
      <c r="H24" s="321">
        <f t="shared" ref="H24:J24" si="22">H6*$D$63</f>
        <v>-359.75688536997285</v>
      </c>
      <c r="I24" s="321">
        <f>I6*$D$63</f>
        <v>-426.02671932777889</v>
      </c>
      <c r="J24" s="418">
        <f t="shared" si="22"/>
        <v>-504.50393852653394</v>
      </c>
      <c r="K24" s="324">
        <f t="shared" ref="K24:AF24" si="23">K6*$E$63</f>
        <v>-552.50312051512401</v>
      </c>
      <c r="L24" s="321">
        <f t="shared" si="23"/>
        <v>-628.59661278806948</v>
      </c>
      <c r="M24" s="321">
        <f t="shared" si="23"/>
        <v>-715.17008128430643</v>
      </c>
      <c r="N24" s="321">
        <f t="shared" si="23"/>
        <v>-813.66688072918748</v>
      </c>
      <c r="O24" s="321">
        <f t="shared" si="23"/>
        <v>-925.72915187761487</v>
      </c>
      <c r="P24" s="321">
        <f t="shared" si="23"/>
        <v>-1053.2251993199595</v>
      </c>
      <c r="Q24" s="321">
        <f>Q6*$E$63</f>
        <v>-1190.1444752315542</v>
      </c>
      <c r="R24" s="321">
        <f t="shared" si="23"/>
        <v>-1344.8632570116561</v>
      </c>
      <c r="S24" s="321">
        <f t="shared" si="23"/>
        <v>-1519.6954804231711</v>
      </c>
      <c r="T24" s="321">
        <f t="shared" si="23"/>
        <v>-1702.0589380739518</v>
      </c>
      <c r="U24" s="321">
        <f t="shared" si="23"/>
        <v>-1889.2854212620866</v>
      </c>
      <c r="V24" s="321">
        <f t="shared" si="23"/>
        <v>-2097.1068176009162</v>
      </c>
      <c r="W24" s="321">
        <f t="shared" si="23"/>
        <v>-2285.8464311849984</v>
      </c>
      <c r="X24" s="321">
        <f t="shared" si="23"/>
        <v>-2491.5726099916487</v>
      </c>
      <c r="Y24" s="321">
        <f t="shared" si="23"/>
        <v>-2715.8141448908978</v>
      </c>
      <c r="Z24" s="321">
        <f t="shared" si="23"/>
        <v>-2960.2374179310787</v>
      </c>
      <c r="AA24" s="321">
        <f t="shared" si="23"/>
        <v>-3226.6587855448756</v>
      </c>
      <c r="AB24" s="321">
        <f t="shared" si="23"/>
        <v>-3517.0580762439149</v>
      </c>
      <c r="AC24" s="321">
        <f t="shared" si="23"/>
        <v>-3833.5933031058676</v>
      </c>
      <c r="AD24" s="321">
        <f t="shared" si="23"/>
        <v>-4063.6089012922193</v>
      </c>
      <c r="AE24" s="321">
        <f t="shared" si="23"/>
        <v>-4307.4254353697524</v>
      </c>
      <c r="AF24" s="325">
        <f t="shared" si="23"/>
        <v>-4565.870961491938</v>
      </c>
      <c r="AG24" s="483"/>
      <c r="AH24" s="485">
        <f>AG9-AG23</f>
        <v>37132.548775195304</v>
      </c>
      <c r="AI24" s="5"/>
    </row>
    <row r="25" spans="1:35" ht="15">
      <c r="A25" s="1288"/>
      <c r="B25" s="232">
        <v>18</v>
      </c>
      <c r="C25" s="253" t="s">
        <v>9028</v>
      </c>
      <c r="D25" s="279">
        <f>Inputs!E67</f>
        <v>0</v>
      </c>
      <c r="E25" s="278">
        <f>Inputs!D67</f>
        <v>0</v>
      </c>
      <c r="F25" s="559">
        <f>Inputs!C67</f>
        <v>0</v>
      </c>
      <c r="G25" s="324">
        <f>(1+G5)*AVERAGE(D25:F25)</f>
        <v>0</v>
      </c>
      <c r="H25" s="321">
        <f t="shared" ref="H25:AF25" si="24">(1+H5)*AVERAGE(E25:G25)</f>
        <v>0</v>
      </c>
      <c r="I25" s="321">
        <f t="shared" si="24"/>
        <v>0</v>
      </c>
      <c r="J25" s="418">
        <f t="shared" si="24"/>
        <v>0</v>
      </c>
      <c r="K25" s="324">
        <f t="shared" si="24"/>
        <v>0</v>
      </c>
      <c r="L25" s="321">
        <f t="shared" si="24"/>
        <v>0</v>
      </c>
      <c r="M25" s="321">
        <f t="shared" si="24"/>
        <v>0</v>
      </c>
      <c r="N25" s="321">
        <f t="shared" si="24"/>
        <v>0</v>
      </c>
      <c r="O25" s="321">
        <f t="shared" si="24"/>
        <v>0</v>
      </c>
      <c r="P25" s="321">
        <f t="shared" si="24"/>
        <v>0</v>
      </c>
      <c r="Q25" s="321">
        <f t="shared" si="24"/>
        <v>0</v>
      </c>
      <c r="R25" s="321">
        <f t="shared" si="24"/>
        <v>0</v>
      </c>
      <c r="S25" s="321">
        <f t="shared" si="24"/>
        <v>0</v>
      </c>
      <c r="T25" s="321">
        <f t="shared" si="24"/>
        <v>0</v>
      </c>
      <c r="U25" s="321">
        <f t="shared" si="24"/>
        <v>0</v>
      </c>
      <c r="V25" s="321">
        <f t="shared" si="24"/>
        <v>0</v>
      </c>
      <c r="W25" s="321">
        <f t="shared" si="24"/>
        <v>0</v>
      </c>
      <c r="X25" s="321">
        <f t="shared" si="24"/>
        <v>0</v>
      </c>
      <c r="Y25" s="321">
        <f t="shared" si="24"/>
        <v>0</v>
      </c>
      <c r="Z25" s="321">
        <f t="shared" si="24"/>
        <v>0</v>
      </c>
      <c r="AA25" s="321">
        <f t="shared" si="24"/>
        <v>0</v>
      </c>
      <c r="AB25" s="321">
        <f t="shared" si="24"/>
        <v>0</v>
      </c>
      <c r="AC25" s="321">
        <f t="shared" si="24"/>
        <v>0</v>
      </c>
      <c r="AD25" s="321">
        <f t="shared" si="24"/>
        <v>0</v>
      </c>
      <c r="AE25" s="321">
        <f t="shared" si="24"/>
        <v>0</v>
      </c>
      <c r="AF25" s="325">
        <f t="shared" si="24"/>
        <v>0</v>
      </c>
      <c r="AG25" s="302"/>
      <c r="AH25" s="5"/>
      <c r="AI25" s="5"/>
    </row>
    <row r="26" spans="1:35" ht="15">
      <c r="A26" s="1288"/>
      <c r="B26" s="232">
        <v>19</v>
      </c>
      <c r="C26" s="262" t="s">
        <v>9029</v>
      </c>
      <c r="D26" s="277">
        <f t="shared" ref="D26:AF26" si="25">D23+D24+D25</f>
        <v>-72.800000000000011</v>
      </c>
      <c r="E26" s="775">
        <f>E23+E24+E25</f>
        <v>-1325.1</v>
      </c>
      <c r="F26" s="807">
        <f>F23+F24+F25</f>
        <v>763.89999999999986</v>
      </c>
      <c r="G26" s="337">
        <f>G23+G24+G25</f>
        <v>-703.718532051887</v>
      </c>
      <c r="H26" s="336">
        <f t="shared" si="25"/>
        <v>-780.33870804464379</v>
      </c>
      <c r="I26" s="336">
        <f t="shared" si="25"/>
        <v>-894.34808195881067</v>
      </c>
      <c r="J26" s="417">
        <f t="shared" si="25"/>
        <v>-1032.6844743708484</v>
      </c>
      <c r="K26" s="337">
        <f t="shared" si="25"/>
        <v>-1230.1012871846156</v>
      </c>
      <c r="L26" s="336">
        <f t="shared" si="25"/>
        <v>-1399.5169869621168</v>
      </c>
      <c r="M26" s="336">
        <f t="shared" si="25"/>
        <v>-1592.2654639914747</v>
      </c>
      <c r="N26" s="336">
        <f t="shared" si="25"/>
        <v>-1811.5602250197005</v>
      </c>
      <c r="O26" s="336">
        <f t="shared" si="25"/>
        <v>-2061.0573570105389</v>
      </c>
      <c r="P26" s="336">
        <f t="shared" si="25"/>
        <v>-2344.9164815048157</v>
      </c>
      <c r="Q26" s="336">
        <f t="shared" si="25"/>
        <v>-2649.7556241004413</v>
      </c>
      <c r="R26" s="336">
        <f t="shared" si="25"/>
        <v>-2994.2238552334984</v>
      </c>
      <c r="S26" s="336">
        <f t="shared" si="25"/>
        <v>-3383.4729564138529</v>
      </c>
      <c r="T26" s="336">
        <f t="shared" si="25"/>
        <v>-3789.4897111835153</v>
      </c>
      <c r="U26" s="336">
        <f t="shared" si="25"/>
        <v>-4206.333579413702</v>
      </c>
      <c r="V26" s="336">
        <f t="shared" si="25"/>
        <v>-4669.0302731492102</v>
      </c>
      <c r="W26" s="336">
        <f t="shared" si="25"/>
        <v>-5089.2429977326383</v>
      </c>
      <c r="X26" s="336">
        <f t="shared" si="25"/>
        <v>-5547.2748675285766</v>
      </c>
      <c r="Y26" s="336">
        <f t="shared" si="25"/>
        <v>-6046.5296056061497</v>
      </c>
      <c r="Z26" s="336">
        <f t="shared" si="25"/>
        <v>-6590.7172701107029</v>
      </c>
      <c r="AA26" s="336">
        <f t="shared" si="25"/>
        <v>-7183.8818244206668</v>
      </c>
      <c r="AB26" s="336">
        <f t="shared" si="25"/>
        <v>-7830.4311886185278</v>
      </c>
      <c r="AC26" s="336">
        <f t="shared" si="25"/>
        <v>-8535.1699955941949</v>
      </c>
      <c r="AD26" s="336">
        <f t="shared" si="25"/>
        <v>-9047.2801953298476</v>
      </c>
      <c r="AE26" s="336">
        <f t="shared" si="25"/>
        <v>-9590.1170070496373</v>
      </c>
      <c r="AF26" s="297">
        <f t="shared" si="25"/>
        <v>-10165.524027472617</v>
      </c>
      <c r="AG26" s="483"/>
      <c r="AH26" s="5"/>
      <c r="AI26" s="5"/>
    </row>
    <row r="27" spans="1:35" ht="15">
      <c r="A27" s="1288"/>
      <c r="B27" s="232">
        <v>20</v>
      </c>
      <c r="C27" s="253" t="s">
        <v>9030</v>
      </c>
      <c r="D27" s="279">
        <f>Inputs!E71+Inputs!E72</f>
        <v>0</v>
      </c>
      <c r="E27" s="278">
        <f>Inputs!D71+Inputs!D72</f>
        <v>0.1</v>
      </c>
      <c r="F27" s="561">
        <f>Inputs!C71+Inputs!C72</f>
        <v>-0.7</v>
      </c>
      <c r="G27" s="338">
        <v>0</v>
      </c>
      <c r="H27" s="280">
        <v>0</v>
      </c>
      <c r="I27" s="280">
        <v>0</v>
      </c>
      <c r="J27" s="419">
        <v>0</v>
      </c>
      <c r="K27" s="338">
        <v>0</v>
      </c>
      <c r="L27" s="280">
        <v>0</v>
      </c>
      <c r="M27" s="280">
        <v>0</v>
      </c>
      <c r="N27" s="280">
        <v>0</v>
      </c>
      <c r="O27" s="280">
        <v>0</v>
      </c>
      <c r="P27" s="280">
        <v>0</v>
      </c>
      <c r="Q27" s="280">
        <v>0</v>
      </c>
      <c r="R27" s="280">
        <v>0</v>
      </c>
      <c r="S27" s="280">
        <v>0</v>
      </c>
      <c r="T27" s="280">
        <v>0</v>
      </c>
      <c r="U27" s="280">
        <v>0</v>
      </c>
      <c r="V27" s="280">
        <v>0</v>
      </c>
      <c r="W27" s="280">
        <v>0</v>
      </c>
      <c r="X27" s="280">
        <v>0</v>
      </c>
      <c r="Y27" s="280">
        <v>0</v>
      </c>
      <c r="Z27" s="280">
        <v>0</v>
      </c>
      <c r="AA27" s="280">
        <v>0</v>
      </c>
      <c r="AB27" s="280">
        <v>0</v>
      </c>
      <c r="AC27" s="280">
        <v>0</v>
      </c>
      <c r="AD27" s="280">
        <v>0</v>
      </c>
      <c r="AE27" s="280">
        <v>0</v>
      </c>
      <c r="AF27" s="281">
        <v>0</v>
      </c>
      <c r="AG27" s="483"/>
      <c r="AH27" s="5"/>
      <c r="AI27" s="5"/>
    </row>
    <row r="28" spans="1:35" ht="15">
      <c r="A28" s="1288"/>
      <c r="B28" s="232">
        <v>21</v>
      </c>
      <c r="C28" s="253" t="s">
        <v>9031</v>
      </c>
      <c r="D28" s="299">
        <f>+SUM(Inputs!E69:E70)</f>
        <v>0</v>
      </c>
      <c r="E28" s="278">
        <f>+SUM(Inputs!D69:D70)</f>
        <v>989.4</v>
      </c>
      <c r="F28" s="559">
        <f>+SUM(Inputs!C69:C70)</f>
        <v>0</v>
      </c>
      <c r="G28" s="324">
        <f>G44-F44</f>
        <v>16.953500000000304</v>
      </c>
      <c r="H28" s="321">
        <f>H44-G44</f>
        <v>169.94831947347029</v>
      </c>
      <c r="I28" s="321">
        <f t="shared" ref="I28:AF28" si="26">I44-H44</f>
        <v>275.69536009508511</v>
      </c>
      <c r="J28" s="418">
        <f t="shared" si="26"/>
        <v>330.44726320654604</v>
      </c>
      <c r="K28" s="324">
        <f t="shared" si="26"/>
        <v>-786.16703945650488</v>
      </c>
      <c r="L28" s="321">
        <f t="shared" si="26"/>
        <v>182.91405782493302</v>
      </c>
      <c r="M28" s="321">
        <f t="shared" si="26"/>
        <v>211.7859078165543</v>
      </c>
      <c r="N28" s="321">
        <f t="shared" si="26"/>
        <v>245.14097365922521</v>
      </c>
      <c r="O28" s="321">
        <f t="shared" si="26"/>
        <v>118.14798141048459</v>
      </c>
      <c r="P28" s="321">
        <f t="shared" si="26"/>
        <v>273.62425602660528</v>
      </c>
      <c r="Q28" s="321">
        <f t="shared" si="26"/>
        <v>298.2243658823586</v>
      </c>
      <c r="R28" s="321">
        <f t="shared" si="26"/>
        <v>339.06618600506181</v>
      </c>
      <c r="S28" s="321">
        <f t="shared" si="26"/>
        <v>385.50286930628181</v>
      </c>
      <c r="T28" s="321">
        <f t="shared" si="26"/>
        <v>409.74688153652778</v>
      </c>
      <c r="U28" s="321">
        <f t="shared" si="26"/>
        <v>429.58692338618448</v>
      </c>
      <c r="V28" s="321">
        <f t="shared" si="26"/>
        <v>479.87432516805893</v>
      </c>
      <c r="W28" s="321">
        <f t="shared" si="26"/>
        <v>455.63282114459253</v>
      </c>
      <c r="X28" s="321">
        <f t="shared" si="26"/>
        <v>499.95478767607256</v>
      </c>
      <c r="Y28" s="321">
        <f t="shared" si="26"/>
        <v>548.60728408736031</v>
      </c>
      <c r="Z28" s="321">
        <f t="shared" si="26"/>
        <v>602.01593989901721</v>
      </c>
      <c r="AA28" s="321">
        <f t="shared" si="26"/>
        <v>660.64855228689794</v>
      </c>
      <c r="AB28" s="321">
        <f t="shared" si="26"/>
        <v>725.01930849403197</v>
      </c>
      <c r="AC28" s="321">
        <f t="shared" si="26"/>
        <v>795.69343705807114</v>
      </c>
      <c r="AD28" s="321">
        <f t="shared" si="26"/>
        <v>642.084415926578</v>
      </c>
      <c r="AE28" s="321">
        <f t="shared" si="26"/>
        <v>686.06430204957178</v>
      </c>
      <c r="AF28" s="325">
        <f t="shared" si="26"/>
        <v>733.17736442020941</v>
      </c>
      <c r="AG28" s="483"/>
      <c r="AH28" s="5"/>
      <c r="AI28" s="5"/>
    </row>
    <row r="29" spans="1:35" ht="15">
      <c r="A29" s="1288"/>
      <c r="B29" s="232">
        <v>22</v>
      </c>
      <c r="C29" s="253" t="s">
        <v>9032</v>
      </c>
      <c r="D29" s="299">
        <f>'Fin. Data'!E28</f>
        <v>-1080.0999999999999</v>
      </c>
      <c r="E29" s="278">
        <f>'Fin. Data'!D28</f>
        <v>-741.8</v>
      </c>
      <c r="F29" s="561">
        <f>'Fin. Data'!C28</f>
        <v>-1991.2</v>
      </c>
      <c r="G29" s="321">
        <f>-Assumptions!I96</f>
        <v>-1050</v>
      </c>
      <c r="H29" s="321">
        <f>-Assumptions!I97</f>
        <v>-480</v>
      </c>
      <c r="I29" s="321">
        <f>-I17*D65</f>
        <v>-902.33025137001209</v>
      </c>
      <c r="J29" s="321">
        <f>-J17*D65</f>
        <v>-1101.4082696510866</v>
      </c>
      <c r="K29" s="418">
        <f>-K17*$E$65</f>
        <v>-734.24346255917362</v>
      </c>
      <c r="L29" s="418">
        <f t="shared" ref="L29:O29" si="27">-L17*$E$65</f>
        <v>-867.59902910575988</v>
      </c>
      <c r="M29" s="418">
        <f>-M17*$E$65</f>
        <v>-1012.2195940176113</v>
      </c>
      <c r="N29" s="418">
        <f t="shared" si="27"/>
        <v>-1179.6790893013399</v>
      </c>
      <c r="O29" s="418">
        <f t="shared" si="27"/>
        <v>-1247.5608512681756</v>
      </c>
      <c r="P29" s="418">
        <f t="shared" ref="P29" si="28">-P17*$E$65</f>
        <v>-1432.911048165462</v>
      </c>
      <c r="Q29" s="418">
        <f>-Q17*$E$65</f>
        <v>-1633.0895406533755</v>
      </c>
      <c r="R29" s="418">
        <f>-R17*Assumptions!$O$97</f>
        <v>-2275.0644349042423</v>
      </c>
      <c r="S29" s="418">
        <f>-S17*Assumptions!$O$97</f>
        <v>-2587.4539315659345</v>
      </c>
      <c r="T29" s="418">
        <f>-T17*Assumptions!$O$97</f>
        <v>-2917.3836320394098</v>
      </c>
      <c r="U29" s="418">
        <f>-U17*Assumptions!$O$97</f>
        <v>-3259.9146404397379</v>
      </c>
      <c r="V29" s="418">
        <f>-V17*Assumptions!$O$97</f>
        <v>-3643.2050784247426</v>
      </c>
      <c r="W29" s="418">
        <f>-W17*Assumptions!$O$97</f>
        <v>-3998.1620681120894</v>
      </c>
      <c r="X29" s="418">
        <f>-X17*Assumptions!$O$97</f>
        <v>-4387.3729403237203</v>
      </c>
      <c r="Y29" s="418">
        <f>-Y17*Assumptions!$O$97</f>
        <v>-4816.1893237379882</v>
      </c>
      <c r="Z29" s="418">
        <f>-Z17*Assumptions!$O$97</f>
        <v>-5288.6819003857399</v>
      </c>
      <c r="AA29" s="418">
        <f>-AA17*Assumptions!$O$97</f>
        <v>-5808.8740642918501</v>
      </c>
      <c r="AB29" s="418">
        <f>-AB17*Assumptions!$O$97</f>
        <v>-6381.6813932745818</v>
      </c>
      <c r="AC29" s="418">
        <f>-AC17*Assumptions!$O$97</f>
        <v>-7012.3265743484826</v>
      </c>
      <c r="AD29" s="418">
        <f>-AD17*Assumptions!$O$97</f>
        <v>-7490.5203084298864</v>
      </c>
      <c r="AE29" s="418">
        <f>-AE17*Assumptions!$O$97</f>
        <v>-7999.1880666596053</v>
      </c>
      <c r="AF29" s="418">
        <f>-AF17*Assumptions!$O$97</f>
        <v>-8545.3812801974764</v>
      </c>
      <c r="AG29" s="483"/>
      <c r="AH29" s="5"/>
      <c r="AI29" s="5"/>
    </row>
    <row r="30" spans="1:35" s="5" customFormat="1" ht="15">
      <c r="A30" s="1288"/>
      <c r="B30" s="232">
        <v>23</v>
      </c>
      <c r="C30" s="253" t="s">
        <v>9033</v>
      </c>
      <c r="D30" s="279">
        <f>'Fin. Data'!E27</f>
        <v>0</v>
      </c>
      <c r="E30" s="278">
        <f>'Fin. Data'!D27</f>
        <v>0</v>
      </c>
      <c r="F30" s="559">
        <f>'Fin. Data'!C27</f>
        <v>0</v>
      </c>
      <c r="G30" s="324">
        <f>-$D$64*G17</f>
        <v>0</v>
      </c>
      <c r="H30" s="321">
        <f t="shared" ref="H30:J30" si="29">-$D$64*H17</f>
        <v>0</v>
      </c>
      <c r="I30" s="321">
        <f t="shared" si="29"/>
        <v>0</v>
      </c>
      <c r="J30" s="418">
        <f t="shared" si="29"/>
        <v>0</v>
      </c>
      <c r="K30" s="324">
        <f t="shared" ref="K30:AF30" si="30">-$E$64*K17</f>
        <v>0</v>
      </c>
      <c r="L30" s="321">
        <f t="shared" si="30"/>
        <v>0</v>
      </c>
      <c r="M30" s="321">
        <f t="shared" si="30"/>
        <v>0</v>
      </c>
      <c r="N30" s="321">
        <f t="shared" si="30"/>
        <v>0</v>
      </c>
      <c r="O30" s="321">
        <f t="shared" si="30"/>
        <v>0</v>
      </c>
      <c r="P30" s="321">
        <f t="shared" si="30"/>
        <v>0</v>
      </c>
      <c r="Q30" s="321">
        <f t="shared" si="30"/>
        <v>0</v>
      </c>
      <c r="R30" s="321">
        <f t="shared" si="30"/>
        <v>0</v>
      </c>
      <c r="S30" s="321">
        <f t="shared" si="30"/>
        <v>0</v>
      </c>
      <c r="T30" s="321">
        <f t="shared" si="30"/>
        <v>0</v>
      </c>
      <c r="U30" s="321">
        <f t="shared" si="30"/>
        <v>0</v>
      </c>
      <c r="V30" s="321">
        <f t="shared" si="30"/>
        <v>0</v>
      </c>
      <c r="W30" s="321">
        <f t="shared" si="30"/>
        <v>0</v>
      </c>
      <c r="X30" s="321">
        <f t="shared" si="30"/>
        <v>0</v>
      </c>
      <c r="Y30" s="321">
        <f t="shared" si="30"/>
        <v>0</v>
      </c>
      <c r="Z30" s="321">
        <f t="shared" si="30"/>
        <v>0</v>
      </c>
      <c r="AA30" s="321">
        <f t="shared" si="30"/>
        <v>0</v>
      </c>
      <c r="AB30" s="321">
        <f t="shared" si="30"/>
        <v>0</v>
      </c>
      <c r="AC30" s="321">
        <f t="shared" si="30"/>
        <v>0</v>
      </c>
      <c r="AD30" s="321">
        <f t="shared" si="30"/>
        <v>0</v>
      </c>
      <c r="AE30" s="321">
        <f t="shared" si="30"/>
        <v>0</v>
      </c>
      <c r="AF30" s="325">
        <f t="shared" si="30"/>
        <v>0</v>
      </c>
      <c r="AG30" s="483"/>
    </row>
    <row r="31" spans="1:35" s="2" customFormat="1" ht="15">
      <c r="A31" s="1288"/>
      <c r="B31" s="232">
        <v>24</v>
      </c>
      <c r="C31" s="253" t="s">
        <v>9034</v>
      </c>
      <c r="D31" s="359">
        <f>Inputs!E75</f>
        <v>-91.5</v>
      </c>
      <c r="E31" s="358">
        <f>Inputs!D75</f>
        <v>-164.90000000000009</v>
      </c>
      <c r="F31" s="562">
        <f>Inputs!C75</f>
        <v>-138.40000000000032</v>
      </c>
      <c r="G31" s="324">
        <f>(1+G5)*AVERAGE(D31:F31)</f>
        <v>-157.90272105763589</v>
      </c>
      <c r="H31" s="321">
        <f>(1+H5)*AVERAGE(E31:G31)</f>
        <v>-182.07312685195654</v>
      </c>
      <c r="I31" s="321">
        <f t="shared" ref="I31:AF31" si="31">(1+I5)*AVERAGE(F31:H31)</f>
        <v>-188.83205240207343</v>
      </c>
      <c r="J31" s="418">
        <f t="shared" si="31"/>
        <v>-208.73938677847821</v>
      </c>
      <c r="K31" s="459">
        <f t="shared" si="31"/>
        <v>-228.80643649951466</v>
      </c>
      <c r="L31" s="460">
        <f t="shared" si="31"/>
        <v>-237.54858953603448</v>
      </c>
      <c r="M31" s="460">
        <f t="shared" si="31"/>
        <v>-256.02393027294642</v>
      </c>
      <c r="N31" s="460">
        <f t="shared" si="31"/>
        <v>-273.95619935536109</v>
      </c>
      <c r="O31" s="460">
        <f t="shared" si="31"/>
        <v>-291.07887067041702</v>
      </c>
      <c r="P31" s="460">
        <f t="shared" si="31"/>
        <v>-311.37978370495546</v>
      </c>
      <c r="Q31" s="460">
        <f t="shared" si="31"/>
        <v>-330.1162615719096</v>
      </c>
      <c r="R31" s="460">
        <f t="shared" si="31"/>
        <v>-351.26988500680955</v>
      </c>
      <c r="S31" s="460">
        <f t="shared" si="31"/>
        <v>-373.94183374018405</v>
      </c>
      <c r="T31" s="460">
        <f t="shared" si="31"/>
        <v>-393.98911265239059</v>
      </c>
      <c r="U31" s="460">
        <f t="shared" si="31"/>
        <v>-414.10430761777218</v>
      </c>
      <c r="V31" s="460">
        <f t="shared" si="31"/>
        <v>-437.35304398382834</v>
      </c>
      <c r="W31" s="460">
        <f t="shared" si="31"/>
        <v>-452.51221534561677</v>
      </c>
      <c r="X31" s="460">
        <f t="shared" si="31"/>
        <v>-473.77560932415565</v>
      </c>
      <c r="Y31" s="460">
        <f t="shared" si="31"/>
        <v>-495.45618227747491</v>
      </c>
      <c r="Z31" s="460">
        <f t="shared" si="31"/>
        <v>-516.56698919083328</v>
      </c>
      <c r="AA31" s="460">
        <f t="shared" si="31"/>
        <v>-539.84022368792853</v>
      </c>
      <c r="AB31" s="460">
        <f t="shared" si="31"/>
        <v>-563.84370024009934</v>
      </c>
      <c r="AC31" s="460">
        <f t="shared" si="31"/>
        <v>-588.69116509985292</v>
      </c>
      <c r="AD31" s="460">
        <f t="shared" si="31"/>
        <v>-597.97253145651791</v>
      </c>
      <c r="AE31" s="460">
        <f t="shared" si="31"/>
        <v>-618.51261353475297</v>
      </c>
      <c r="AF31" s="461">
        <f t="shared" si="31"/>
        <v>-637.82896289886378</v>
      </c>
      <c r="AG31" s="483"/>
      <c r="AH31" s="496"/>
      <c r="AI31" s="496"/>
    </row>
    <row r="32" spans="1:35" s="5" customFormat="1" ht="16.5" customHeight="1" thickBot="1">
      <c r="A32" s="1288"/>
      <c r="B32" s="233">
        <v>25</v>
      </c>
      <c r="C32" s="263" t="s">
        <v>9035</v>
      </c>
      <c r="D32" s="412">
        <f t="shared" ref="D32:AF32" si="32">D27+D28+D29+D30+D31</f>
        <v>-1171.5999999999999</v>
      </c>
      <c r="E32" s="413">
        <f>E27+E28+E29+E30+E31</f>
        <v>82.799999999999955</v>
      </c>
      <c r="F32" s="563">
        <f t="shared" si="32"/>
        <v>-2130.3000000000002</v>
      </c>
      <c r="G32" s="412">
        <f>G27+G28+G29+G30+G31</f>
        <v>-1190.9492210576357</v>
      </c>
      <c r="H32" s="413">
        <f t="shared" si="32"/>
        <v>-492.12480737848625</v>
      </c>
      <c r="I32" s="413">
        <f t="shared" si="32"/>
        <v>-815.46694367700047</v>
      </c>
      <c r="J32" s="414">
        <f t="shared" si="32"/>
        <v>-979.70039322301875</v>
      </c>
      <c r="K32" s="412">
        <f t="shared" si="32"/>
        <v>-1749.2169385151931</v>
      </c>
      <c r="L32" s="413">
        <f t="shared" si="32"/>
        <v>-922.23356081686131</v>
      </c>
      <c r="M32" s="413">
        <f t="shared" si="32"/>
        <v>-1056.4576164740033</v>
      </c>
      <c r="N32" s="413">
        <f t="shared" si="32"/>
        <v>-1208.4943149974758</v>
      </c>
      <c r="O32" s="413">
        <f t="shared" si="32"/>
        <v>-1420.491740528108</v>
      </c>
      <c r="P32" s="413">
        <f t="shared" si="32"/>
        <v>-1470.6665758438121</v>
      </c>
      <c r="Q32" s="413">
        <f t="shared" si="32"/>
        <v>-1664.9814363429264</v>
      </c>
      <c r="R32" s="413">
        <f t="shared" si="32"/>
        <v>-2287.26813390599</v>
      </c>
      <c r="S32" s="413">
        <f t="shared" si="32"/>
        <v>-2575.8928959998366</v>
      </c>
      <c r="T32" s="413">
        <f t="shared" si="32"/>
        <v>-2901.6258631552728</v>
      </c>
      <c r="U32" s="413">
        <f t="shared" si="32"/>
        <v>-3244.4320246713255</v>
      </c>
      <c r="V32" s="413">
        <f t="shared" si="32"/>
        <v>-3600.6837972405119</v>
      </c>
      <c r="W32" s="413">
        <f t="shared" si="32"/>
        <v>-3995.0414623131137</v>
      </c>
      <c r="X32" s="413">
        <f t="shared" si="32"/>
        <v>-4361.1937619718037</v>
      </c>
      <c r="Y32" s="413">
        <f t="shared" si="32"/>
        <v>-4763.0382219281028</v>
      </c>
      <c r="Z32" s="413">
        <f t="shared" si="32"/>
        <v>-5203.2329496775565</v>
      </c>
      <c r="AA32" s="413">
        <f t="shared" si="32"/>
        <v>-5688.0657356928805</v>
      </c>
      <c r="AB32" s="413">
        <f t="shared" si="32"/>
        <v>-6220.5057850206495</v>
      </c>
      <c r="AC32" s="413">
        <f t="shared" si="32"/>
        <v>-6805.3243023902642</v>
      </c>
      <c r="AD32" s="413">
        <f t="shared" si="32"/>
        <v>-7446.408423959826</v>
      </c>
      <c r="AE32" s="413">
        <f t="shared" si="32"/>
        <v>-7931.6363781447862</v>
      </c>
      <c r="AF32" s="563">
        <f t="shared" si="32"/>
        <v>-8450.0328786761311</v>
      </c>
      <c r="AG32" s="483"/>
    </row>
    <row r="33" spans="1:33" ht="14.1" thickBot="1">
      <c r="A33" s="1277"/>
      <c r="B33" s="1278"/>
      <c r="C33" s="1278"/>
      <c r="D33" s="1278"/>
      <c r="E33" s="1278"/>
      <c r="F33" s="1278"/>
      <c r="G33" s="1278"/>
      <c r="H33" s="1278"/>
      <c r="I33" s="1278"/>
      <c r="J33" s="1278"/>
      <c r="K33" s="1278"/>
      <c r="L33" s="1278"/>
      <c r="M33" s="1278"/>
      <c r="N33" s="1278"/>
      <c r="O33" s="1278"/>
      <c r="P33" s="1278"/>
      <c r="Q33" s="1278"/>
      <c r="R33" s="1278"/>
      <c r="S33" s="1278"/>
      <c r="T33" s="1278"/>
      <c r="U33" s="1278"/>
      <c r="V33" s="1278"/>
      <c r="W33" s="1278"/>
      <c r="X33" s="1278"/>
      <c r="Y33" s="1278"/>
      <c r="Z33" s="1278"/>
      <c r="AA33" s="1278"/>
      <c r="AB33" s="1278"/>
      <c r="AC33" s="1278"/>
      <c r="AD33" s="1278"/>
      <c r="AE33" s="1278"/>
      <c r="AF33" s="1279"/>
      <c r="AG33" s="5"/>
    </row>
    <row r="34" spans="1:33" ht="15">
      <c r="A34" s="1300" t="s">
        <v>9036</v>
      </c>
      <c r="B34" s="232">
        <v>26</v>
      </c>
      <c r="C34" s="236" t="s">
        <v>9037</v>
      </c>
      <c r="D34" s="773">
        <f>D22+D26+D27+D28+D31</f>
        <v>919.40000000000009</v>
      </c>
      <c r="E34" s="774">
        <f>E22+E26+E27+E28+E31</f>
        <v>999.2</v>
      </c>
      <c r="F34" s="810">
        <f>F22+F26+F27+F28+F31</f>
        <v>2355.3999999999996</v>
      </c>
      <c r="G34" s="564">
        <f t="shared" ref="G34:AF34" si="33">G22+G26+G27+G28+G31</f>
        <v>489.59988954199673</v>
      </c>
      <c r="H34" s="410">
        <f t="shared" si="33"/>
        <v>707.79483977629366</v>
      </c>
      <c r="I34" s="410">
        <f t="shared" si="33"/>
        <v>1009.3405467294872</v>
      </c>
      <c r="J34" s="411">
        <f t="shared" si="33"/>
        <v>1295.1598962948842</v>
      </c>
      <c r="K34" s="440">
        <f t="shared" si="33"/>
        <v>-101.55454391959742</v>
      </c>
      <c r="L34" s="410">
        <f t="shared" si="33"/>
        <v>987.03697699800011</v>
      </c>
      <c r="M34" s="410">
        <f t="shared" si="33"/>
        <v>1209.4160302164162</v>
      </c>
      <c r="N34" s="410">
        <f t="shared" si="33"/>
        <v>1472.5198820457063</v>
      </c>
      <c r="O34" s="410">
        <f t="shared" si="33"/>
        <v>1337.6750251116687</v>
      </c>
      <c r="P34" s="410">
        <f t="shared" si="33"/>
        <v>1723.6789396861595</v>
      </c>
      <c r="Q34" s="410">
        <f t="shared" si="33"/>
        <v>1978.5704944268596</v>
      </c>
      <c r="R34" s="410">
        <f t="shared" si="33"/>
        <v>2311.4574283965012</v>
      </c>
      <c r="S34" s="410">
        <f t="shared" si="33"/>
        <v>2683.8648919743955</v>
      </c>
      <c r="T34" s="410">
        <f t="shared" si="33"/>
        <v>3016.6848328168694</v>
      </c>
      <c r="U34" s="410">
        <f t="shared" si="33"/>
        <v>3360.0734770519225</v>
      </c>
      <c r="V34" s="410">
        <f t="shared" si="33"/>
        <v>3831.9778519643573</v>
      </c>
      <c r="W34" s="410">
        <f t="shared" si="33"/>
        <v>4093.82610789096</v>
      </c>
      <c r="X34" s="410">
        <f t="shared" si="33"/>
        <v>4593.0043031854566</v>
      </c>
      <c r="Y34" s="410">
        <f t="shared" si="33"/>
        <v>5148.3788483233657</v>
      </c>
      <c r="Z34" s="410">
        <f t="shared" si="33"/>
        <v>5767.1437029749286</v>
      </c>
      <c r="AA34" s="410">
        <f t="shared" si="33"/>
        <v>6452.605871472716</v>
      </c>
      <c r="AB34" s="410">
        <f t="shared" si="33"/>
        <v>7213.7731623133786</v>
      </c>
      <c r="AC34" s="410">
        <f t="shared" si="33"/>
        <v>8058.5763421028632</v>
      </c>
      <c r="AD34" s="410">
        <f t="shared" si="33"/>
        <v>8210.3924736356694</v>
      </c>
      <c r="AE34" s="410">
        <f t="shared" si="33"/>
        <v>8972.7221450544184</v>
      </c>
      <c r="AF34" s="411">
        <f t="shared" si="33"/>
        <v>9800.9282811887697</v>
      </c>
      <c r="AG34" s="483"/>
    </row>
    <row r="35" spans="1:33" s="2" customFormat="1" ht="15">
      <c r="A35" s="1300"/>
      <c r="B35" s="232">
        <v>27</v>
      </c>
      <c r="C35" s="236" t="s">
        <v>9038</v>
      </c>
      <c r="D35" s="340">
        <f>-1*(D29+D30)</f>
        <v>1080.0999999999999</v>
      </c>
      <c r="E35" s="339">
        <f>-1*(E29+E30)</f>
        <v>741.8</v>
      </c>
      <c r="F35" s="341">
        <f t="shared" ref="F35:AF35" si="34">-1*(F29+F30)</f>
        <v>1991.2</v>
      </c>
      <c r="G35" s="349">
        <f t="shared" si="34"/>
        <v>1050</v>
      </c>
      <c r="H35" s="300">
        <f t="shared" si="34"/>
        <v>480</v>
      </c>
      <c r="I35" s="300">
        <f t="shared" si="34"/>
        <v>902.33025137001209</v>
      </c>
      <c r="J35" s="350">
        <f>-1*(J29+J30)</f>
        <v>1101.4082696510866</v>
      </c>
      <c r="K35" s="300">
        <f t="shared" si="34"/>
        <v>734.24346255917362</v>
      </c>
      <c r="L35" s="300">
        <f t="shared" si="34"/>
        <v>867.59902910575988</v>
      </c>
      <c r="M35" s="300">
        <f t="shared" si="34"/>
        <v>1012.2195940176113</v>
      </c>
      <c r="N35" s="300">
        <f t="shared" si="34"/>
        <v>1179.6790893013399</v>
      </c>
      <c r="O35" s="300">
        <f t="shared" si="34"/>
        <v>1247.5608512681756</v>
      </c>
      <c r="P35" s="300">
        <f t="shared" si="34"/>
        <v>1432.911048165462</v>
      </c>
      <c r="Q35" s="300">
        <f t="shared" si="34"/>
        <v>1633.0895406533755</v>
      </c>
      <c r="R35" s="300">
        <f t="shared" si="34"/>
        <v>2275.0644349042423</v>
      </c>
      <c r="S35" s="300">
        <f t="shared" si="34"/>
        <v>2587.4539315659345</v>
      </c>
      <c r="T35" s="300">
        <f t="shared" si="34"/>
        <v>2917.3836320394098</v>
      </c>
      <c r="U35" s="300">
        <f t="shared" si="34"/>
        <v>3259.9146404397379</v>
      </c>
      <c r="V35" s="300">
        <f t="shared" si="34"/>
        <v>3643.2050784247426</v>
      </c>
      <c r="W35" s="300">
        <f t="shared" si="34"/>
        <v>3998.1620681120894</v>
      </c>
      <c r="X35" s="300">
        <f t="shared" si="34"/>
        <v>4387.3729403237203</v>
      </c>
      <c r="Y35" s="300">
        <f t="shared" si="34"/>
        <v>4816.1893237379882</v>
      </c>
      <c r="Z35" s="300">
        <f t="shared" si="34"/>
        <v>5288.6819003857399</v>
      </c>
      <c r="AA35" s="300">
        <f t="shared" si="34"/>
        <v>5808.8740642918501</v>
      </c>
      <c r="AB35" s="300">
        <f t="shared" si="34"/>
        <v>6381.6813932745818</v>
      </c>
      <c r="AC35" s="300">
        <f t="shared" si="34"/>
        <v>7012.3265743484826</v>
      </c>
      <c r="AD35" s="300">
        <f t="shared" si="34"/>
        <v>7490.5203084298864</v>
      </c>
      <c r="AE35" s="300">
        <f t="shared" si="34"/>
        <v>7999.1880666596053</v>
      </c>
      <c r="AF35" s="350">
        <f t="shared" si="34"/>
        <v>8545.3812801974764</v>
      </c>
      <c r="AG35" s="483"/>
    </row>
    <row r="36" spans="1:33" s="5" customFormat="1" ht="15.95" thickBot="1">
      <c r="A36" s="1300"/>
      <c r="B36" s="233">
        <v>28</v>
      </c>
      <c r="C36" s="231" t="s">
        <v>9039</v>
      </c>
      <c r="D36" s="393">
        <f>D34-D35</f>
        <v>-160.69999999999982</v>
      </c>
      <c r="E36" s="394">
        <f>E34-E35</f>
        <v>257.40000000000009</v>
      </c>
      <c r="F36" s="342">
        <f>F34-F35</f>
        <v>364.19999999999959</v>
      </c>
      <c r="G36" s="351">
        <f>G34-G35</f>
        <v>-560.40011045800327</v>
      </c>
      <c r="H36" s="352">
        <f t="shared" ref="H36:AF36" si="35">H34-H35</f>
        <v>227.79483977629366</v>
      </c>
      <c r="I36" s="352">
        <f t="shared" si="35"/>
        <v>107.01029535947509</v>
      </c>
      <c r="J36" s="353">
        <f t="shared" si="35"/>
        <v>193.75162664379764</v>
      </c>
      <c r="K36" s="352">
        <f t="shared" si="35"/>
        <v>-835.79800647877107</v>
      </c>
      <c r="L36" s="352">
        <f t="shared" si="35"/>
        <v>119.43794789224023</v>
      </c>
      <c r="M36" s="352">
        <f t="shared" si="35"/>
        <v>197.19643619880492</v>
      </c>
      <c r="N36" s="352">
        <f t="shared" si="35"/>
        <v>292.84079274436635</v>
      </c>
      <c r="O36" s="352">
        <f t="shared" si="35"/>
        <v>90.114173843493063</v>
      </c>
      <c r="P36" s="352">
        <f t="shared" si="35"/>
        <v>290.7678915206975</v>
      </c>
      <c r="Q36" s="352">
        <f t="shared" si="35"/>
        <v>345.48095377348409</v>
      </c>
      <c r="R36" s="352">
        <f t="shared" si="35"/>
        <v>36.392993492258938</v>
      </c>
      <c r="S36" s="352">
        <f t="shared" si="35"/>
        <v>96.410960408461051</v>
      </c>
      <c r="T36" s="352">
        <f t="shared" si="35"/>
        <v>99.301200777459599</v>
      </c>
      <c r="U36" s="352">
        <f t="shared" si="35"/>
        <v>100.15883661218459</v>
      </c>
      <c r="V36" s="352">
        <f t="shared" si="35"/>
        <v>188.77277353961472</v>
      </c>
      <c r="W36" s="352">
        <f t="shared" si="35"/>
        <v>95.664039778870574</v>
      </c>
      <c r="X36" s="352">
        <f t="shared" si="35"/>
        <v>205.63136286173631</v>
      </c>
      <c r="Y36" s="352">
        <f t="shared" si="35"/>
        <v>332.18952458537751</v>
      </c>
      <c r="Z36" s="352">
        <f t="shared" si="35"/>
        <v>478.46180258918866</v>
      </c>
      <c r="AA36" s="352">
        <f t="shared" si="35"/>
        <v>643.73180718086587</v>
      </c>
      <c r="AB36" s="352">
        <f t="shared" si="35"/>
        <v>832.09176903879688</v>
      </c>
      <c r="AC36" s="352">
        <f t="shared" si="35"/>
        <v>1046.2497677543806</v>
      </c>
      <c r="AD36" s="352">
        <f t="shared" si="35"/>
        <v>719.87216520578295</v>
      </c>
      <c r="AE36" s="352">
        <f t="shared" si="35"/>
        <v>973.53407839481315</v>
      </c>
      <c r="AF36" s="353">
        <f t="shared" si="35"/>
        <v>1255.5470009912933</v>
      </c>
      <c r="AG36" s="483"/>
    </row>
    <row r="37" spans="1:33" ht="15.95" thickBot="1">
      <c r="A37" s="242"/>
      <c r="B37" s="240"/>
      <c r="C37" s="241"/>
      <c r="D37" s="415"/>
      <c r="E37" s="415"/>
      <c r="F37" s="415"/>
      <c r="G37" s="415"/>
      <c r="H37" s="415"/>
      <c r="I37" s="415"/>
      <c r="J37" s="415"/>
      <c r="K37" s="415"/>
      <c r="L37" s="415"/>
      <c r="M37" s="415"/>
      <c r="N37" s="415"/>
      <c r="O37" s="415"/>
      <c r="P37" s="415"/>
      <c r="Q37" s="415"/>
      <c r="R37" s="415"/>
      <c r="S37" s="415"/>
      <c r="T37" s="415"/>
      <c r="U37" s="415"/>
      <c r="V37" s="415"/>
      <c r="W37" s="415"/>
      <c r="X37" s="415"/>
      <c r="Y37" s="415"/>
      <c r="Z37" s="415"/>
      <c r="AA37" s="415"/>
      <c r="AB37" s="415"/>
      <c r="AC37" s="415"/>
      <c r="AD37" s="415"/>
      <c r="AE37" s="415"/>
      <c r="AF37" s="416"/>
      <c r="AG37" s="483"/>
    </row>
    <row r="38" spans="1:33" ht="15">
      <c r="A38" s="1301" t="s">
        <v>9040</v>
      </c>
      <c r="B38" s="234">
        <v>29</v>
      </c>
      <c r="C38" s="236" t="s">
        <v>9041</v>
      </c>
      <c r="D38" s="741">
        <v>84.1</v>
      </c>
      <c r="E38" s="742">
        <v>115.3</v>
      </c>
      <c r="F38" s="743">
        <v>125.6</v>
      </c>
      <c r="G38" s="344">
        <f>+F38+(-G10)</f>
        <v>146.952</v>
      </c>
      <c r="H38" s="345">
        <f t="shared" ref="H38:AF38" si="36">+G38+(-H10)</f>
        <v>171.93384</v>
      </c>
      <c r="I38" s="345">
        <f t="shared" si="36"/>
        <v>201.1625928</v>
      </c>
      <c r="J38" s="346">
        <f t="shared" si="36"/>
        <v>235.36023357599998</v>
      </c>
      <c r="K38" s="441">
        <f t="shared" si="36"/>
        <v>268.31066627664001</v>
      </c>
      <c r="L38" s="345">
        <f t="shared" si="36"/>
        <v>305.8741595553696</v>
      </c>
      <c r="M38" s="345">
        <f t="shared" si="36"/>
        <v>348.69654189312132</v>
      </c>
      <c r="N38" s="345">
        <f t="shared" si="36"/>
        <v>397.51405775815829</v>
      </c>
      <c r="O38" s="345">
        <f t="shared" si="36"/>
        <v>453.16602584430046</v>
      </c>
      <c r="P38" s="345">
        <f t="shared" si="36"/>
        <v>516.60926946250254</v>
      </c>
      <c r="Q38" s="345">
        <f t="shared" si="36"/>
        <v>588.93456718725292</v>
      </c>
      <c r="R38" s="345">
        <f t="shared" si="36"/>
        <v>671.38540659346836</v>
      </c>
      <c r="S38" s="345">
        <f t="shared" si="36"/>
        <v>765.37936351655389</v>
      </c>
      <c r="T38" s="345">
        <f t="shared" si="36"/>
        <v>872.53247440887139</v>
      </c>
      <c r="U38" s="345">
        <f t="shared" si="36"/>
        <v>994.68702082611344</v>
      </c>
      <c r="V38" s="345">
        <f t="shared" si="36"/>
        <v>1133.9432037417694</v>
      </c>
      <c r="W38" s="345">
        <f t="shared" si="36"/>
        <v>1292.695252265617</v>
      </c>
      <c r="X38" s="345">
        <f t="shared" si="36"/>
        <v>1473.6725875828033</v>
      </c>
      <c r="Y38" s="345">
        <f t="shared" si="36"/>
        <v>1679.9867498443957</v>
      </c>
      <c r="Z38" s="345">
        <f t="shared" si="36"/>
        <v>1915.1848948226111</v>
      </c>
      <c r="AA38" s="345">
        <f t="shared" si="36"/>
        <v>2183.3107800977768</v>
      </c>
      <c r="AB38" s="345">
        <f t="shared" si="36"/>
        <v>2488.9742893114658</v>
      </c>
      <c r="AC38" s="345">
        <f t="shared" si="36"/>
        <v>2837.4306898150712</v>
      </c>
      <c r="AD38" s="345">
        <f t="shared" si="36"/>
        <v>3234.6709863891811</v>
      </c>
      <c r="AE38" s="345">
        <f t="shared" si="36"/>
        <v>3687.5249244836664</v>
      </c>
      <c r="AF38" s="346">
        <f t="shared" si="36"/>
        <v>4203.7784139113801</v>
      </c>
      <c r="AG38" s="484">
        <f>SUM(G38:AF38)</f>
        <v>33069.670991964093</v>
      </c>
    </row>
    <row r="39" spans="1:33" ht="15">
      <c r="A39" s="1300"/>
      <c r="B39" s="234">
        <v>30</v>
      </c>
      <c r="C39" s="236" t="s">
        <v>9042</v>
      </c>
      <c r="D39" s="340">
        <v>52.5</v>
      </c>
      <c r="E39" s="339">
        <v>51.7</v>
      </c>
      <c r="F39" s="341">
        <v>69.599999999999994</v>
      </c>
      <c r="G39" s="347">
        <f>F39-G10</f>
        <v>90.951999999999998</v>
      </c>
      <c r="H39" s="343">
        <f t="shared" ref="H39:AF39" si="37">G39-H10</f>
        <v>115.93384</v>
      </c>
      <c r="I39" s="343">
        <f t="shared" si="37"/>
        <v>145.1625928</v>
      </c>
      <c r="J39" s="348">
        <f t="shared" si="37"/>
        <v>179.36023357599998</v>
      </c>
      <c r="K39" s="442">
        <f t="shared" si="37"/>
        <v>212.31066627663998</v>
      </c>
      <c r="L39" s="343">
        <f t="shared" si="37"/>
        <v>249.87415955536957</v>
      </c>
      <c r="M39" s="343">
        <f t="shared" si="37"/>
        <v>292.69654189312132</v>
      </c>
      <c r="N39" s="343">
        <f t="shared" si="37"/>
        <v>341.51405775815829</v>
      </c>
      <c r="O39" s="343">
        <f t="shared" si="37"/>
        <v>397.16602584430046</v>
      </c>
      <c r="P39" s="343">
        <f t="shared" si="37"/>
        <v>460.60926946250254</v>
      </c>
      <c r="Q39" s="343">
        <f t="shared" si="37"/>
        <v>532.93456718725292</v>
      </c>
      <c r="R39" s="343">
        <f t="shared" si="37"/>
        <v>615.38540659346836</v>
      </c>
      <c r="S39" s="343">
        <f t="shared" si="37"/>
        <v>709.37936351655389</v>
      </c>
      <c r="T39" s="343">
        <f t="shared" si="37"/>
        <v>816.53247440887139</v>
      </c>
      <c r="U39" s="343">
        <f t="shared" si="37"/>
        <v>938.68702082611344</v>
      </c>
      <c r="V39" s="343">
        <f t="shared" si="37"/>
        <v>1077.9432037417694</v>
      </c>
      <c r="W39" s="343">
        <f t="shared" si="37"/>
        <v>1236.695252265617</v>
      </c>
      <c r="X39" s="343">
        <f t="shared" si="37"/>
        <v>1417.6725875828033</v>
      </c>
      <c r="Y39" s="343">
        <f t="shared" si="37"/>
        <v>1623.9867498443957</v>
      </c>
      <c r="Z39" s="343">
        <f t="shared" si="37"/>
        <v>1859.1848948226111</v>
      </c>
      <c r="AA39" s="343">
        <f t="shared" si="37"/>
        <v>2127.3107800977768</v>
      </c>
      <c r="AB39" s="343">
        <f t="shared" si="37"/>
        <v>2432.9742893114658</v>
      </c>
      <c r="AC39" s="343">
        <f t="shared" si="37"/>
        <v>2781.4306898150712</v>
      </c>
      <c r="AD39" s="343">
        <f t="shared" si="37"/>
        <v>3178.6709863891811</v>
      </c>
      <c r="AE39" s="343">
        <f t="shared" si="37"/>
        <v>3631.5249244836664</v>
      </c>
      <c r="AF39" s="348">
        <f t="shared" si="37"/>
        <v>4147.7784139113801</v>
      </c>
      <c r="AG39" s="484">
        <f>SUM(G39:AF39)</f>
        <v>31613.670991964093</v>
      </c>
    </row>
    <row r="40" spans="1:33" ht="15">
      <c r="A40" s="1300"/>
      <c r="B40" s="234">
        <v>31</v>
      </c>
      <c r="C40" s="236" t="s">
        <v>9043</v>
      </c>
      <c r="D40" s="738">
        <v>669.8</v>
      </c>
      <c r="E40" s="739">
        <v>964.4</v>
      </c>
      <c r="F40" s="740">
        <v>1275</v>
      </c>
      <c r="G40" s="347">
        <f>F40+(-G23)</f>
        <v>1674.9562336819549</v>
      </c>
      <c r="H40" s="343">
        <f t="shared" ref="H40:AF40" si="38">G40+(-H23)</f>
        <v>2095.5380563566259</v>
      </c>
      <c r="I40" s="343">
        <f t="shared" si="38"/>
        <v>2563.8594189876576</v>
      </c>
      <c r="J40" s="348">
        <f t="shared" si="38"/>
        <v>3092.039954831972</v>
      </c>
      <c r="K40" s="442">
        <f t="shared" si="38"/>
        <v>3769.6381215014635</v>
      </c>
      <c r="L40" s="343">
        <f t="shared" si="38"/>
        <v>4540.558495675511</v>
      </c>
      <c r="M40" s="343">
        <f>L40+(-M23)</f>
        <v>5417.6538783826791</v>
      </c>
      <c r="N40" s="343">
        <f t="shared" si="38"/>
        <v>6415.5472226731918</v>
      </c>
      <c r="O40" s="343">
        <f t="shared" si="38"/>
        <v>7550.875427806116</v>
      </c>
      <c r="P40" s="343">
        <f t="shared" si="38"/>
        <v>8842.5667099909715</v>
      </c>
      <c r="Q40" s="343">
        <f t="shared" si="38"/>
        <v>10302.177858859859</v>
      </c>
      <c r="R40" s="343">
        <f t="shared" si="38"/>
        <v>11951.5384570817</v>
      </c>
      <c r="S40" s="343">
        <f t="shared" si="38"/>
        <v>13815.315933072383</v>
      </c>
      <c r="T40" s="343">
        <f t="shared" si="38"/>
        <v>15902.746706181946</v>
      </c>
      <c r="U40" s="343">
        <f t="shared" si="38"/>
        <v>18219.794864333562</v>
      </c>
      <c r="V40" s="343">
        <f t="shared" si="38"/>
        <v>20791.718319881857</v>
      </c>
      <c r="W40" s="343">
        <f t="shared" si="38"/>
        <v>23595.114886429496</v>
      </c>
      <c r="X40" s="343">
        <f t="shared" si="38"/>
        <v>26650.817143966422</v>
      </c>
      <c r="Y40" s="343">
        <f t="shared" si="38"/>
        <v>29981.532604681674</v>
      </c>
      <c r="Z40" s="343">
        <f t="shared" si="38"/>
        <v>33612.012456861296</v>
      </c>
      <c r="AA40" s="343">
        <f t="shared" si="38"/>
        <v>37569.235495737084</v>
      </c>
      <c r="AB40" s="343">
        <f t="shared" si="38"/>
        <v>41882.608608111696</v>
      </c>
      <c r="AC40" s="343">
        <f t="shared" si="38"/>
        <v>46584.185300600024</v>
      </c>
      <c r="AD40" s="343">
        <f t="shared" si="38"/>
        <v>51567.856594637648</v>
      </c>
      <c r="AE40" s="343">
        <f t="shared" si="38"/>
        <v>56850.548166317531</v>
      </c>
      <c r="AF40" s="348">
        <f t="shared" si="38"/>
        <v>62450.201232298212</v>
      </c>
      <c r="AG40" s="484">
        <f>SUM(G40:AF40)</f>
        <v>547690.63814894052</v>
      </c>
    </row>
    <row r="41" spans="1:33" ht="15.95" thickBot="1">
      <c r="A41" s="1300"/>
      <c r="B41" s="235">
        <v>32</v>
      </c>
      <c r="C41" s="231" t="s">
        <v>9044</v>
      </c>
      <c r="D41" s="565">
        <v>172.5</v>
      </c>
      <c r="E41" s="566">
        <v>211.7</v>
      </c>
      <c r="F41" s="567">
        <v>280.2</v>
      </c>
      <c r="G41" s="568">
        <f>F41-G9</f>
        <v>371.4</v>
      </c>
      <c r="H41" s="569">
        <f t="shared" ref="H41:AF41" si="39">G41-H9</f>
        <v>505.39649869455639</v>
      </c>
      <c r="I41" s="569">
        <f t="shared" si="39"/>
        <v>673.0395432030864</v>
      </c>
      <c r="J41" s="570">
        <f t="shared" si="39"/>
        <v>878.14829672209908</v>
      </c>
      <c r="K41" s="571">
        <f t="shared" si="39"/>
        <v>1032.7502944636976</v>
      </c>
      <c r="L41" s="569">
        <f t="shared" si="39"/>
        <v>1221.2322005387709</v>
      </c>
      <c r="M41" s="569">
        <f t="shared" si="39"/>
        <v>1448.2601253225466</v>
      </c>
      <c r="N41" s="569">
        <f t="shared" si="39"/>
        <v>1719.1428192416806</v>
      </c>
      <c r="O41" s="569">
        <f t="shared" si="39"/>
        <v>2039.9201803753404</v>
      </c>
      <c r="P41" s="569">
        <f t="shared" si="39"/>
        <v>2417.463951765646</v>
      </c>
      <c r="Q41" s="569">
        <f t="shared" si="39"/>
        <v>2859.5922872651945</v>
      </c>
      <c r="R41" s="569">
        <f t="shared" si="39"/>
        <v>3374.7011802081875</v>
      </c>
      <c r="S41" s="569">
        <f t="shared" si="39"/>
        <v>3972.2781030622727</v>
      </c>
      <c r="T41" s="569">
        <f t="shared" si="39"/>
        <v>4663.0438997158917</v>
      </c>
      <c r="U41" s="569">
        <f t="shared" si="39"/>
        <v>5458.1812350249893</v>
      </c>
      <c r="V41" s="569">
        <f t="shared" si="39"/>
        <v>6369.1709782416674</v>
      </c>
      <c r="W41" s="569">
        <f t="shared" si="39"/>
        <v>7408.7568942357602</v>
      </c>
      <c r="X41" s="569">
        <f t="shared" si="39"/>
        <v>8588.5126385572348</v>
      </c>
      <c r="Y41" s="569">
        <f t="shared" si="39"/>
        <v>9921.0534957555556</v>
      </c>
      <c r="Z41" s="569">
        <f t="shared" si="39"/>
        <v>11420.130125989639</v>
      </c>
      <c r="AA41" s="569">
        <f t="shared" si="39"/>
        <v>13100.730748832704</v>
      </c>
      <c r="AB41" s="569">
        <f t="shared" si="39"/>
        <v>14979.192523619558</v>
      </c>
      <c r="AC41" s="569">
        <f t="shared" si="39"/>
        <v>17073.322954025141</v>
      </c>
      <c r="AD41" s="569">
        <f t="shared" si="39"/>
        <v>19402.532219055141</v>
      </c>
      <c r="AE41" s="569">
        <f t="shared" si="39"/>
        <v>21980.925048787023</v>
      </c>
      <c r="AF41" s="570">
        <f t="shared" si="39"/>
        <v>24823.4524571029</v>
      </c>
      <c r="AG41" s="484">
        <f>SUM(G41:AF41)</f>
        <v>187702.33069980628</v>
      </c>
    </row>
    <row r="42" spans="1:33" s="5" customFormat="1" ht="15.95" thickBot="1">
      <c r="A42" s="1294"/>
      <c r="B42" s="1295"/>
      <c r="C42" s="1295"/>
      <c r="D42" s="1295"/>
      <c r="E42" s="1295"/>
      <c r="F42" s="1295"/>
      <c r="G42" s="1295"/>
      <c r="H42" s="1295"/>
      <c r="I42" s="1295"/>
      <c r="J42" s="1295"/>
      <c r="K42" s="1295"/>
      <c r="L42" s="1295"/>
      <c r="M42" s="1295"/>
      <c r="N42" s="1295"/>
      <c r="O42" s="1295"/>
      <c r="P42" s="1295"/>
      <c r="Q42" s="1295"/>
      <c r="R42" s="1295"/>
      <c r="S42" s="1295"/>
      <c r="T42" s="1295"/>
      <c r="U42" s="1295"/>
      <c r="V42" s="1295"/>
      <c r="W42" s="1295"/>
      <c r="X42" s="1295"/>
      <c r="Y42" s="1295"/>
      <c r="Z42" s="1295"/>
      <c r="AA42" s="1295"/>
      <c r="AB42" s="1295"/>
      <c r="AC42" s="1295"/>
      <c r="AD42" s="1295"/>
      <c r="AE42" s="1295"/>
      <c r="AF42" s="1296"/>
      <c r="AG42" s="483"/>
    </row>
    <row r="43" spans="1:33" ht="15" customHeight="1">
      <c r="A43" s="1288" t="s">
        <v>9045</v>
      </c>
      <c r="B43" s="232">
        <v>33</v>
      </c>
      <c r="C43" s="778" t="s">
        <v>9046</v>
      </c>
      <c r="D43" s="553">
        <f>'Fin. Data'!E39</f>
        <v>1061.8</v>
      </c>
      <c r="E43" s="575">
        <f>E36+D43</f>
        <v>1319.2</v>
      </c>
      <c r="F43" s="811">
        <f>F36+E43</f>
        <v>1683.3999999999996</v>
      </c>
      <c r="G43" s="572">
        <f>G36+F43</f>
        <v>1122.9998895419963</v>
      </c>
      <c r="H43" s="573">
        <f t="shared" ref="H43:AF43" si="40">H36+G43</f>
        <v>1350.7947293182899</v>
      </c>
      <c r="I43" s="573">
        <f t="shared" si="40"/>
        <v>1457.805024677765</v>
      </c>
      <c r="J43" s="574">
        <f t="shared" si="40"/>
        <v>1651.5566513215626</v>
      </c>
      <c r="K43" s="575">
        <f t="shared" si="40"/>
        <v>815.75864484279157</v>
      </c>
      <c r="L43" s="573">
        <f t="shared" si="40"/>
        <v>935.1965927350318</v>
      </c>
      <c r="M43" s="573">
        <f t="shared" si="40"/>
        <v>1132.3930289338368</v>
      </c>
      <c r="N43" s="573">
        <f t="shared" si="40"/>
        <v>1425.2338216782032</v>
      </c>
      <c r="O43" s="573">
        <f>O36+N43</f>
        <v>1515.3479955216962</v>
      </c>
      <c r="P43" s="573">
        <f t="shared" si="40"/>
        <v>1806.1158870423938</v>
      </c>
      <c r="Q43" s="573">
        <f t="shared" si="40"/>
        <v>2151.5968408158778</v>
      </c>
      <c r="R43" s="573">
        <f t="shared" si="40"/>
        <v>2187.9898343081368</v>
      </c>
      <c r="S43" s="573">
        <f t="shared" si="40"/>
        <v>2284.4007947165978</v>
      </c>
      <c r="T43" s="573">
        <f t="shared" si="40"/>
        <v>2383.7019954940574</v>
      </c>
      <c r="U43" s="573">
        <f t="shared" si="40"/>
        <v>2483.860832106242</v>
      </c>
      <c r="V43" s="573">
        <f t="shared" si="40"/>
        <v>2672.6336056458567</v>
      </c>
      <c r="W43" s="573">
        <f t="shared" si="40"/>
        <v>2768.2976454247273</v>
      </c>
      <c r="X43" s="573">
        <f t="shared" si="40"/>
        <v>2973.9290082864636</v>
      </c>
      <c r="Y43" s="573">
        <f t="shared" si="40"/>
        <v>3306.1185328718411</v>
      </c>
      <c r="Z43" s="573">
        <f t="shared" si="40"/>
        <v>3784.5803354610298</v>
      </c>
      <c r="AA43" s="573">
        <f t="shared" si="40"/>
        <v>4428.3121426418957</v>
      </c>
      <c r="AB43" s="573">
        <f t="shared" si="40"/>
        <v>5260.4039116806925</v>
      </c>
      <c r="AC43" s="573">
        <f t="shared" si="40"/>
        <v>6306.6536794350732</v>
      </c>
      <c r="AD43" s="573">
        <f t="shared" si="40"/>
        <v>7026.5258446408561</v>
      </c>
      <c r="AE43" s="573">
        <f t="shared" si="40"/>
        <v>8000.0599230356693</v>
      </c>
      <c r="AF43" s="697">
        <f t="shared" si="40"/>
        <v>9255.6069240269626</v>
      </c>
      <c r="AG43" s="483"/>
    </row>
    <row r="44" spans="1:33" ht="15">
      <c r="A44" s="1288"/>
      <c r="B44" s="232">
        <v>34</v>
      </c>
      <c r="C44" s="236" t="s">
        <v>318</v>
      </c>
      <c r="D44" s="553">
        <f>'Fin. Data'!E58</f>
        <v>53.1</v>
      </c>
      <c r="E44" s="306">
        <f>'Fin. Data'!D58</f>
        <v>1055.1999999999998</v>
      </c>
      <c r="F44" s="554">
        <f>'Fin. Data'!C58</f>
        <v>1086.0999999999999</v>
      </c>
      <c r="G44" s="322">
        <f>G12*$D$68</f>
        <v>1103.0535000000002</v>
      </c>
      <c r="H44" s="322">
        <f>H12*$D$68</f>
        <v>1273.0018194734705</v>
      </c>
      <c r="I44" s="322">
        <f>I12*$D$68</f>
        <v>1548.6971795685556</v>
      </c>
      <c r="J44" s="322">
        <f>J12*$D$68</f>
        <v>1879.1444427751017</v>
      </c>
      <c r="K44" s="443">
        <f t="shared" ref="K44:AF44" si="41">K12*$E$68</f>
        <v>1092.9774033185968</v>
      </c>
      <c r="L44" s="443">
        <f t="shared" si="41"/>
        <v>1275.8914611435298</v>
      </c>
      <c r="M44" s="443">
        <f t="shared" si="41"/>
        <v>1487.6773689600841</v>
      </c>
      <c r="N44" s="443">
        <f t="shared" si="41"/>
        <v>1732.8183426193093</v>
      </c>
      <c r="O44" s="443">
        <f t="shared" si="41"/>
        <v>1850.9663240297939</v>
      </c>
      <c r="P44" s="443">
        <f t="shared" si="41"/>
        <v>2124.5905800563992</v>
      </c>
      <c r="Q44" s="443">
        <f t="shared" si="41"/>
        <v>2422.8149459387578</v>
      </c>
      <c r="R44" s="443">
        <f t="shared" si="41"/>
        <v>2761.8811319438196</v>
      </c>
      <c r="S44" s="443">
        <f t="shared" si="41"/>
        <v>3147.3840012501014</v>
      </c>
      <c r="T44" s="443">
        <f t="shared" si="41"/>
        <v>3557.1308827866292</v>
      </c>
      <c r="U44" s="443">
        <f t="shared" si="41"/>
        <v>3986.7178061728137</v>
      </c>
      <c r="V44" s="443">
        <f t="shared" si="41"/>
        <v>4466.5921313408726</v>
      </c>
      <c r="W44" s="443">
        <f t="shared" si="41"/>
        <v>4922.2249524854651</v>
      </c>
      <c r="X44" s="443">
        <f t="shared" si="41"/>
        <v>5422.1797401615377</v>
      </c>
      <c r="Y44" s="443">
        <f t="shared" si="41"/>
        <v>5970.787024248898</v>
      </c>
      <c r="Z44" s="443">
        <f t="shared" si="41"/>
        <v>6572.8029641479152</v>
      </c>
      <c r="AA44" s="443">
        <f t="shared" si="41"/>
        <v>7233.4515164348131</v>
      </c>
      <c r="AB44" s="443">
        <f t="shared" si="41"/>
        <v>7958.4708249288451</v>
      </c>
      <c r="AC44" s="443">
        <f t="shared" si="41"/>
        <v>8754.1642619869162</v>
      </c>
      <c r="AD44" s="443">
        <f t="shared" si="41"/>
        <v>9396.2486779134942</v>
      </c>
      <c r="AE44" s="696">
        <f t="shared" si="41"/>
        <v>10082.312979963066</v>
      </c>
      <c r="AF44" s="699">
        <f t="shared" si="41"/>
        <v>10815.490344383275</v>
      </c>
      <c r="AG44" s="495"/>
    </row>
    <row r="45" spans="1:33" ht="15">
      <c r="A45" s="1288"/>
      <c r="B45" s="232">
        <v>35</v>
      </c>
      <c r="C45" s="236" t="s">
        <v>9047</v>
      </c>
      <c r="D45" s="555"/>
      <c r="E45" s="405"/>
      <c r="F45" s="556">
        <f>1/((1+$F$50)^G50)</f>
        <v>1</v>
      </c>
      <c r="G45" s="354">
        <f t="shared" ref="G45:AF45" si="42">1/((1+$F$50)^G49)</f>
        <v>0.89884166274921506</v>
      </c>
      <c r="H45" s="301">
        <f t="shared" si="42"/>
        <v>0.80791633469377366</v>
      </c>
      <c r="I45" s="301">
        <f t="shared" si="42"/>
        <v>0.72618886163840279</v>
      </c>
      <c r="J45" s="355">
        <f t="shared" si="42"/>
        <v>0.65272880386502174</v>
      </c>
      <c r="K45" s="403">
        <f t="shared" si="42"/>
        <v>0.58669984339034242</v>
      </c>
      <c r="L45" s="301">
        <f t="shared" si="42"/>
        <v>0.52735026276767949</v>
      </c>
      <c r="M45" s="301">
        <f t="shared" si="42"/>
        <v>0.47400438703733649</v>
      </c>
      <c r="N45" s="301">
        <f t="shared" si="42"/>
        <v>0.42605489139506203</v>
      </c>
      <c r="O45" s="301">
        <f t="shared" si="42"/>
        <v>0.38295588700397376</v>
      </c>
      <c r="P45" s="301">
        <f t="shared" si="42"/>
        <v>0.34421670623425232</v>
      </c>
      <c r="Q45" s="301">
        <f t="shared" si="42"/>
        <v>0.30939631657765343</v>
      </c>
      <c r="R45" s="301">
        <f t="shared" si="42"/>
        <v>0.27809829964114063</v>
      </c>
      <c r="S45" s="301">
        <f t="shared" si="42"/>
        <v>0.24996633805717225</v>
      </c>
      <c r="T45" s="301">
        <f t="shared" si="42"/>
        <v>0.22468015893064108</v>
      </c>
      <c r="U45" s="301">
        <f t="shared" si="42"/>
        <v>0.20195188763997537</v>
      </c>
      <c r="V45" s="301">
        <f t="shared" si="42"/>
        <v>0.18152277048165813</v>
      </c>
      <c r="W45" s="301">
        <f t="shared" si="42"/>
        <v>0.16316022884657772</v>
      </c>
      <c r="X45" s="301">
        <f t="shared" si="42"/>
        <v>0.14665521139100038</v>
      </c>
      <c r="Y45" s="301">
        <f t="shared" si="42"/>
        <v>0.13181981405752438</v>
      </c>
      <c r="Z45" s="301">
        <f t="shared" si="42"/>
        <v>0.11848514085075758</v>
      </c>
      <c r="AA45" s="301">
        <f t="shared" si="42"/>
        <v>0.10649938101336989</v>
      </c>
      <c r="AB45" s="301">
        <f t="shared" si="42"/>
        <v>9.5726080711819594E-2</v>
      </c>
      <c r="AC45" s="301">
        <f t="shared" si="42"/>
        <v>8.6042589555477486E-2</v>
      </c>
      <c r="AD45" s="301">
        <f t="shared" si="42"/>
        <v>7.7338664263293624E-2</v>
      </c>
      <c r="AE45" s="301">
        <f t="shared" si="42"/>
        <v>6.9515213581222132E-2</v>
      </c>
      <c r="AF45" s="698">
        <f t="shared" si="42"/>
        <v>6.248317016171253E-2</v>
      </c>
      <c r="AG45" s="495"/>
    </row>
    <row r="46" spans="1:33" ht="15">
      <c r="A46" s="1288"/>
      <c r="B46" s="232">
        <v>36</v>
      </c>
      <c r="C46" s="236" t="s">
        <v>9048</v>
      </c>
      <c r="D46" s="557"/>
      <c r="E46" s="558" t="s">
        <v>9049</v>
      </c>
      <c r="F46" s="355">
        <f>1/((1+$F$50+0.001)^G50)</f>
        <v>1</v>
      </c>
      <c r="G46" s="354">
        <f>1/((1+$F$50+0.001)^G49)</f>
        <v>0.89803447195124031</v>
      </c>
      <c r="H46" s="301">
        <f>1/((1+$F$50+0.001)^H49)</f>
        <v>0.80646591281274316</v>
      </c>
      <c r="I46" s="301">
        <f t="shared" ref="I46:AF46" si="43">1/((1+$F$50+0.001)^I49)</f>
        <v>0.72423419015946688</v>
      </c>
      <c r="J46" s="355">
        <f t="shared" si="43"/>
        <v>0.65038726852889095</v>
      </c>
      <c r="K46" s="403">
        <f t="shared" si="43"/>
        <v>0.58407018725715221</v>
      </c>
      <c r="L46" s="301">
        <f t="shared" si="43"/>
        <v>0.52451516219593874</v>
      </c>
      <c r="M46" s="301">
        <f t="shared" si="43"/>
        <v>0.47103269671304909</v>
      </c>
      <c r="N46" s="301">
        <f t="shared" si="43"/>
        <v>0.42300359906447177</v>
      </c>
      <c r="O46" s="301">
        <f t="shared" si="43"/>
        <v>0.37987181371933704</v>
      </c>
      <c r="P46" s="301">
        <f t="shared" si="43"/>
        <v>0.34113798364260484</v>
      </c>
      <c r="Q46" s="301">
        <f t="shared" si="43"/>
        <v>0.30635366900299749</v>
      </c>
      <c r="R46" s="301">
        <f t="shared" si="43"/>
        <v>0.27511615537343193</v>
      </c>
      <c r="S46" s="301">
        <f t="shared" si="43"/>
        <v>0.24706379131603534</v>
      </c>
      <c r="T46" s="301">
        <f t="shared" si="43"/>
        <v>0.22187180137276721</v>
      </c>
      <c r="U46" s="301">
        <f t="shared" si="43"/>
        <v>0.19924852598666354</v>
      </c>
      <c r="V46" s="301">
        <f t="shared" si="43"/>
        <v>0.17893204482149636</v>
      </c>
      <c r="W46" s="301">
        <f t="shared" si="43"/>
        <v>0.16068714438642814</v>
      </c>
      <c r="X46" s="301">
        <f t="shared" si="43"/>
        <v>0.14430259485841873</v>
      </c>
      <c r="Y46" s="301">
        <f t="shared" si="43"/>
        <v>0.12958870457487384</v>
      </c>
      <c r="Z46" s="301">
        <f t="shared" si="43"/>
        <v>0.1163751238837421</v>
      </c>
      <c r="AA46" s="301">
        <f t="shared" si="43"/>
        <v>0.10450887292519652</v>
      </c>
      <c r="AB46" s="301">
        <f t="shared" si="43"/>
        <v>9.3852570511598149E-2</v>
      </c>
      <c r="AC46" s="301">
        <f t="shared" si="43"/>
        <v>8.4282843600649596E-2</v>
      </c>
      <c r="AD46" s="301">
        <f t="shared" si="43"/>
        <v>7.5688898947458338E-2</v>
      </c>
      <c r="AE46" s="301">
        <f t="shared" si="43"/>
        <v>6.7971240398851537E-2</v>
      </c>
      <c r="AF46" s="355">
        <f t="shared" si="43"/>
        <v>6.1040516979453459E-2</v>
      </c>
      <c r="AG46" s="495"/>
    </row>
    <row r="47" spans="1:33" ht="15.95" thickBot="1">
      <c r="A47" s="1288"/>
      <c r="B47" s="233">
        <v>37</v>
      </c>
      <c r="C47" s="231" t="s">
        <v>9050</v>
      </c>
      <c r="D47" s="557"/>
      <c r="E47" s="558" t="s">
        <v>9051</v>
      </c>
      <c r="F47" s="576">
        <f>1/((1+$F$50+0.005)^G50)</f>
        <v>1</v>
      </c>
      <c r="G47" s="577">
        <f t="shared" ref="G47:AF47" si="44">1/((1+$F$50+0.005)^G49)</f>
        <v>0.89482015457123354</v>
      </c>
      <c r="H47" s="578">
        <f t="shared" si="44"/>
        <v>0.80070310902688635</v>
      </c>
      <c r="I47" s="578">
        <f t="shared" si="44"/>
        <v>0.71648527978510568</v>
      </c>
      <c r="J47" s="576">
        <f t="shared" si="44"/>
        <v>0.64112546880532173</v>
      </c>
      <c r="K47" s="579">
        <f t="shared" si="44"/>
        <v>0.57369199109593261</v>
      </c>
      <c r="L47" s="578">
        <f t="shared" si="44"/>
        <v>0.51335115614874116</v>
      </c>
      <c r="M47" s="578">
        <f t="shared" si="44"/>
        <v>0.45935696089433797</v>
      </c>
      <c r="N47" s="578">
        <f t="shared" si="44"/>
        <v>0.41104186675084359</v>
      </c>
      <c r="O47" s="578">
        <f t="shared" si="44"/>
        <v>0.36780854674123825</v>
      </c>
      <c r="P47" s="578">
        <f t="shared" si="44"/>
        <v>0.32912250064761556</v>
      </c>
      <c r="Q47" s="578">
        <f t="shared" si="44"/>
        <v>0.29450544690237029</v>
      </c>
      <c r="R47" s="578">
        <f t="shared" si="44"/>
        <v>0.26352940951924925</v>
      </c>
      <c r="S47" s="578">
        <f t="shared" si="44"/>
        <v>0.23581142696008045</v>
      </c>
      <c r="T47" s="578">
        <f t="shared" si="44"/>
        <v>0.21100881752208239</v>
      </c>
      <c r="U47" s="578">
        <f t="shared" si="44"/>
        <v>0.18881494271100294</v>
      </c>
      <c r="V47" s="578">
        <f t="shared" si="44"/>
        <v>0.16895541622201826</v>
      </c>
      <c r="W47" s="578">
        <f t="shared" si="44"/>
        <v>0.15118471165943348</v>
      </c>
      <c r="X47" s="578">
        <f t="shared" si="44"/>
        <v>0.13528312705590165</v>
      </c>
      <c r="Y47" s="578">
        <f t="shared" si="44"/>
        <v>0.12105406866304173</v>
      </c>
      <c r="Z47" s="578">
        <f t="shared" si="44"/>
        <v>0.10832162043253975</v>
      </c>
      <c r="AA47" s="578">
        <f t="shared" si="44"/>
        <v>9.6928369138851694E-2</v>
      </c>
      <c r="AB47" s="578">
        <f t="shared" si="44"/>
        <v>8.6733458255164861E-2</v>
      </c>
      <c r="AC47" s="578">
        <f t="shared" si="44"/>
        <v>7.7610846522384244E-2</v>
      </c>
      <c r="AD47" s="578">
        <f t="shared" si="44"/>
        <v>6.9447749681564155E-2</v>
      </c>
      <c r="AE47" s="578">
        <f t="shared" si="44"/>
        <v>6.2143246104681575E-2</v>
      </c>
      <c r="AF47" s="576">
        <f t="shared" si="44"/>
        <v>5.5607029084949362E-2</v>
      </c>
      <c r="AG47" s="495"/>
    </row>
    <row r="48" spans="1:33" ht="15.95" thickBot="1">
      <c r="A48" s="1297" t="s">
        <v>9020</v>
      </c>
      <c r="B48" s="1298"/>
      <c r="C48" s="1298"/>
      <c r="D48" s="1298"/>
      <c r="E48" s="1298"/>
      <c r="F48" s="1298"/>
      <c r="G48" s="1298"/>
      <c r="H48" s="1298"/>
      <c r="I48" s="1298"/>
      <c r="J48" s="1298"/>
      <c r="K48" s="1298"/>
      <c r="L48" s="1298"/>
      <c r="M48" s="1298"/>
      <c r="N48" s="1298"/>
      <c r="O48" s="1298"/>
      <c r="P48" s="1298"/>
      <c r="Q48" s="1298"/>
      <c r="R48" s="1298"/>
      <c r="S48" s="1298"/>
      <c r="T48" s="1298"/>
      <c r="U48" s="1298"/>
      <c r="V48" s="1298"/>
      <c r="W48" s="1298"/>
      <c r="X48" s="1298"/>
      <c r="Y48" s="1298"/>
      <c r="Z48" s="1298"/>
      <c r="AA48" s="1298"/>
      <c r="AB48" s="1298"/>
      <c r="AC48" s="1298"/>
      <c r="AD48" s="1298"/>
      <c r="AE48" s="1298"/>
      <c r="AF48" s="1299"/>
      <c r="AG48" s="495"/>
    </row>
    <row r="49" spans="1:32" ht="15">
      <c r="A49" s="1302" t="s">
        <v>9052</v>
      </c>
      <c r="C49" s="248" t="s">
        <v>9053</v>
      </c>
      <c r="D49" s="237" t="s">
        <v>9054</v>
      </c>
      <c r="E49" s="238" t="s">
        <v>9055</v>
      </c>
      <c r="F49" s="249" t="s">
        <v>9056</v>
      </c>
      <c r="G49" s="302">
        <v>1</v>
      </c>
      <c r="H49" s="303">
        <v>2</v>
      </c>
      <c r="I49" s="303">
        <v>3</v>
      </c>
      <c r="J49" s="302">
        <v>4</v>
      </c>
      <c r="K49" s="303">
        <v>5</v>
      </c>
      <c r="L49" s="303">
        <v>6</v>
      </c>
      <c r="M49" s="302">
        <v>7</v>
      </c>
      <c r="N49" s="303">
        <v>8</v>
      </c>
      <c r="O49" s="303">
        <v>9</v>
      </c>
      <c r="P49" s="302">
        <v>10</v>
      </c>
      <c r="Q49" s="303">
        <v>11</v>
      </c>
      <c r="R49" s="303">
        <v>12</v>
      </c>
      <c r="S49" s="302">
        <v>13</v>
      </c>
      <c r="T49" s="303">
        <v>14</v>
      </c>
      <c r="U49" s="303">
        <v>15</v>
      </c>
      <c r="V49" s="302">
        <v>16</v>
      </c>
      <c r="W49" s="303">
        <v>17</v>
      </c>
      <c r="X49" s="303">
        <v>18</v>
      </c>
      <c r="Y49" s="302">
        <v>19</v>
      </c>
      <c r="Z49" s="303">
        <v>20</v>
      </c>
      <c r="AA49" s="303">
        <v>21</v>
      </c>
      <c r="AB49" s="302">
        <v>22</v>
      </c>
      <c r="AC49" s="303">
        <v>23</v>
      </c>
      <c r="AD49" s="303">
        <v>24</v>
      </c>
      <c r="AE49" s="302">
        <v>25</v>
      </c>
      <c r="AF49" s="303">
        <v>26</v>
      </c>
    </row>
    <row r="50" spans="1:32" ht="15.95" thickBot="1">
      <c r="A50" s="1303"/>
      <c r="C50" s="244">
        <f>Assumptions!C52</f>
        <v>4.2299999999999997E-2</v>
      </c>
      <c r="D50" s="245">
        <f>Assumptions!E125</f>
        <v>6.2742999999999993E-2</v>
      </c>
      <c r="E50" s="246">
        <f>Assumptions!C135</f>
        <v>7.4999999999999997E-3</v>
      </c>
      <c r="F50" s="247">
        <f>E50+D50+C50</f>
        <v>0.112543</v>
      </c>
      <c r="G50" s="302">
        <v>0</v>
      </c>
      <c r="S50" s="230"/>
      <c r="T50" s="230"/>
      <c r="U50" s="230"/>
      <c r="V50" s="230"/>
      <c r="W50" s="230"/>
      <c r="X50" s="230"/>
      <c r="Y50" s="230"/>
      <c r="Z50" s="230"/>
      <c r="AA50" s="230"/>
      <c r="AB50" s="230"/>
      <c r="AC50" s="230"/>
      <c r="AD50" s="230"/>
      <c r="AE50" s="230"/>
      <c r="AF50" s="230"/>
    </row>
    <row r="51" spans="1:32" ht="15">
      <c r="A51" s="230"/>
      <c r="C51" s="230"/>
      <c r="D51" s="230"/>
      <c r="G51"/>
      <c r="H51" s="230"/>
      <c r="I51" s="230"/>
      <c r="J51" s="230"/>
      <c r="K51" s="230"/>
      <c r="S51" s="230"/>
      <c r="T51" s="230"/>
      <c r="U51" s="230"/>
      <c r="V51" s="230"/>
      <c r="W51" s="230"/>
      <c r="X51" s="230"/>
      <c r="Y51" s="230"/>
      <c r="Z51" s="230"/>
      <c r="AA51" s="230"/>
      <c r="AB51" s="230"/>
      <c r="AC51" s="230"/>
      <c r="AD51" s="230"/>
      <c r="AE51" s="230"/>
      <c r="AF51" s="230"/>
    </row>
    <row r="52" spans="1:32" ht="15" customHeight="1">
      <c r="A52" s="1304" t="s">
        <v>9057</v>
      </c>
      <c r="C52" s="422" t="s">
        <v>9020</v>
      </c>
      <c r="D52" s="423" t="s">
        <v>8996</v>
      </c>
      <c r="E52" s="424" t="s">
        <v>8997</v>
      </c>
      <c r="F52" s="423" t="s">
        <v>9058</v>
      </c>
      <c r="G52" s="230"/>
      <c r="I52" s="458"/>
      <c r="J52" s="458"/>
      <c r="K52" s="230"/>
      <c r="S52" s="230"/>
      <c r="T52" s="230"/>
      <c r="U52" s="230"/>
      <c r="V52" s="230"/>
      <c r="W52" s="230"/>
      <c r="X52" s="230"/>
      <c r="Y52" s="230"/>
      <c r="Z52" s="230"/>
      <c r="AA52" s="230"/>
      <c r="AB52" s="230"/>
      <c r="AC52" s="230"/>
      <c r="AD52" s="230"/>
      <c r="AE52" s="230"/>
      <c r="AF52" s="230"/>
    </row>
    <row r="53" spans="1:32" ht="15" customHeight="1">
      <c r="A53" s="1304"/>
      <c r="C53" s="425" t="s">
        <v>9059</v>
      </c>
      <c r="D53" s="390">
        <f>Assumptions!L17</f>
        <v>-0.08</v>
      </c>
      <c r="E53" s="390">
        <f>Assumptions!M17</f>
        <v>-0.05</v>
      </c>
      <c r="F53" s="426" t="s">
        <v>9060</v>
      </c>
      <c r="G53" s="464"/>
      <c r="I53" s="230"/>
      <c r="J53" s="230"/>
      <c r="K53" s="230"/>
      <c r="S53" s="230"/>
      <c r="T53" s="230"/>
      <c r="U53" s="230"/>
      <c r="V53" s="230"/>
      <c r="W53" s="230"/>
      <c r="X53" s="230"/>
      <c r="Y53" s="230"/>
      <c r="Z53" s="230"/>
      <c r="AA53" s="230"/>
      <c r="AB53" s="230"/>
      <c r="AC53" s="230"/>
      <c r="AD53" s="230"/>
      <c r="AE53" s="230"/>
      <c r="AF53" s="230"/>
    </row>
    <row r="54" spans="1:32" ht="15" customHeight="1">
      <c r="A54" s="1304"/>
      <c r="C54" s="427" t="s">
        <v>9061</v>
      </c>
      <c r="D54" s="390">
        <f>Assumptions!L18</f>
        <v>-0.17</v>
      </c>
      <c r="E54" s="390">
        <f>Assumptions!M18</f>
        <v>-0.14000000000000001</v>
      </c>
      <c r="F54" s="428" t="s">
        <v>9062</v>
      </c>
      <c r="G54" s="230"/>
      <c r="I54" s="230"/>
      <c r="J54" s="230"/>
      <c r="K54" s="230"/>
      <c r="S54" s="230"/>
      <c r="T54" s="230"/>
      <c r="U54" s="230"/>
      <c r="V54" s="230"/>
      <c r="W54" s="230"/>
      <c r="X54" s="230"/>
      <c r="Y54" s="230"/>
      <c r="Z54" s="230"/>
      <c r="AA54" s="230"/>
      <c r="AB54" s="230"/>
      <c r="AC54" s="230"/>
      <c r="AD54" s="230"/>
      <c r="AE54" s="230"/>
      <c r="AF54" s="230"/>
    </row>
    <row r="55" spans="1:32" ht="15" customHeight="1">
      <c r="A55" s="1304"/>
      <c r="C55" s="404" t="s">
        <v>9063</v>
      </c>
      <c r="D55" s="390">
        <f>Assumptions!L19</f>
        <v>0.05</v>
      </c>
      <c r="E55" s="390">
        <f>Assumptions!M19</f>
        <v>0.04</v>
      </c>
      <c r="F55" s="426" t="s">
        <v>9064</v>
      </c>
      <c r="G55" s="230"/>
      <c r="I55" s="230"/>
      <c r="J55" s="230"/>
      <c r="K55" s="230"/>
      <c r="L55" s="230"/>
      <c r="M55" s="230"/>
      <c r="N55" s="230"/>
      <c r="O55" s="230"/>
      <c r="P55" s="230"/>
      <c r="Q55" s="230"/>
      <c r="R55" s="230"/>
      <c r="S55" s="230"/>
      <c r="T55" s="230"/>
      <c r="U55" s="230"/>
      <c r="V55" s="230"/>
      <c r="W55" s="230"/>
      <c r="X55" s="230"/>
      <c r="Y55" s="230"/>
      <c r="Z55" s="230"/>
      <c r="AA55" s="230"/>
      <c r="AB55" s="230"/>
      <c r="AC55" s="230"/>
      <c r="AD55" s="230"/>
      <c r="AE55" s="230"/>
      <c r="AF55" s="230"/>
    </row>
    <row r="56" spans="1:32" ht="15" customHeight="1">
      <c r="A56" s="1304"/>
      <c r="C56" s="427" t="s">
        <v>9065</v>
      </c>
      <c r="D56" s="391">
        <f>Assumptions!L20</f>
        <v>7.5230615317332217E-2</v>
      </c>
      <c r="E56" s="392">
        <f>Assumptions!M20</f>
        <v>0.22833480021855176</v>
      </c>
      <c r="F56" s="426" t="s">
        <v>9066</v>
      </c>
      <c r="G56" s="230"/>
      <c r="I56" s="230"/>
      <c r="J56" s="230"/>
      <c r="K56" s="230"/>
      <c r="L56" s="230"/>
      <c r="M56" s="230"/>
      <c r="N56" s="230"/>
      <c r="O56" s="230"/>
      <c r="P56" s="230"/>
      <c r="Q56" s="230"/>
      <c r="R56" s="230"/>
      <c r="S56" s="230"/>
      <c r="T56" s="230"/>
      <c r="U56" s="230"/>
      <c r="V56" s="230"/>
      <c r="W56" s="230"/>
      <c r="X56" s="230"/>
      <c r="Y56" s="230"/>
      <c r="Z56" s="230"/>
      <c r="AA56" s="230"/>
      <c r="AB56" s="230"/>
      <c r="AC56" s="230"/>
      <c r="AD56" s="230"/>
      <c r="AE56" s="230"/>
      <c r="AF56" s="230"/>
    </row>
    <row r="57" spans="1:32" ht="15" customHeight="1">
      <c r="A57" s="1304"/>
      <c r="C57" s="404" t="s">
        <v>9067</v>
      </c>
      <c r="D57" s="395">
        <f>Assumptions!F36</f>
        <v>6.2399999999999997E-2</v>
      </c>
      <c r="E57" s="429">
        <f>Assumptions!F37</f>
        <v>6.3100000000000003E-2</v>
      </c>
      <c r="F57" s="428" t="s">
        <v>9068</v>
      </c>
      <c r="G57" s="230"/>
      <c r="I57" s="230"/>
      <c r="J57" s="230"/>
      <c r="K57" s="230"/>
      <c r="L57" s="230"/>
      <c r="M57" s="230"/>
      <c r="N57" s="230"/>
      <c r="O57" s="230"/>
      <c r="P57" s="230"/>
      <c r="Q57" s="230"/>
      <c r="R57" s="230"/>
      <c r="S57" s="230"/>
      <c r="T57" s="230"/>
      <c r="U57" s="230"/>
      <c r="V57" s="230"/>
      <c r="W57" s="230"/>
      <c r="X57" s="230"/>
      <c r="Y57" s="230"/>
      <c r="Z57" s="230"/>
      <c r="AA57" s="230"/>
      <c r="AB57" s="230"/>
      <c r="AC57" s="230"/>
      <c r="AD57" s="230"/>
      <c r="AE57" s="230"/>
      <c r="AF57" s="230"/>
    </row>
    <row r="58" spans="1:32" ht="15" customHeight="1">
      <c r="A58" s="1304"/>
      <c r="C58" s="427" t="s">
        <v>9069</v>
      </c>
      <c r="D58" s="396">
        <f>Assumptions!C52</f>
        <v>4.2299999999999997E-2</v>
      </c>
      <c r="E58" s="392">
        <v>3.5000000000000003E-2</v>
      </c>
      <c r="F58" s="426" t="s">
        <v>9070</v>
      </c>
      <c r="G58" s="230"/>
      <c r="H58" s="230"/>
      <c r="I58" s="231"/>
      <c r="J58" s="251"/>
      <c r="K58" s="251"/>
      <c r="L58" s="251"/>
      <c r="M58" s="251"/>
      <c r="N58" s="251"/>
      <c r="O58" s="230"/>
      <c r="P58" s="230"/>
      <c r="Q58" s="230"/>
      <c r="R58" s="230"/>
      <c r="S58" s="230"/>
      <c r="T58" s="230"/>
      <c r="U58" s="230"/>
      <c r="V58" s="230"/>
      <c r="W58" s="230"/>
      <c r="X58" s="230"/>
      <c r="Y58" s="230"/>
      <c r="Z58" s="230"/>
      <c r="AA58" s="230"/>
      <c r="AB58" s="230"/>
      <c r="AC58" s="230"/>
      <c r="AD58" s="230"/>
      <c r="AE58" s="230"/>
      <c r="AF58" s="230"/>
    </row>
    <row r="59" spans="1:32" ht="15" customHeight="1">
      <c r="A59" s="1304"/>
      <c r="C59" s="427" t="s">
        <v>9071</v>
      </c>
      <c r="D59" s="789" t="s">
        <v>9072</v>
      </c>
      <c r="E59" s="789" t="s">
        <v>9072</v>
      </c>
      <c r="F59" s="428" t="s">
        <v>9073</v>
      </c>
      <c r="G59" s="230"/>
      <c r="H59" s="230"/>
      <c r="I59" s="230"/>
      <c r="J59" s="252"/>
      <c r="K59" s="252"/>
      <c r="L59" s="252"/>
      <c r="M59" s="252"/>
      <c r="N59" s="251"/>
      <c r="O59" s="230"/>
      <c r="P59" s="230"/>
      <c r="Q59" s="230"/>
      <c r="R59" s="230"/>
      <c r="S59" s="230"/>
      <c r="T59" s="230"/>
      <c r="U59" s="230"/>
      <c r="V59" s="230"/>
      <c r="W59" s="230"/>
      <c r="X59" s="230"/>
      <c r="Y59" s="230"/>
      <c r="Z59" s="230"/>
      <c r="AA59" s="230"/>
      <c r="AB59" s="230"/>
      <c r="AC59" s="230"/>
      <c r="AD59" s="230"/>
      <c r="AE59" s="230"/>
      <c r="AF59" s="230"/>
    </row>
    <row r="60" spans="1:32" ht="15" customHeight="1">
      <c r="A60" s="1304"/>
      <c r="C60" s="427" t="s">
        <v>9074</v>
      </c>
      <c r="D60" s="789">
        <v>0.25</v>
      </c>
      <c r="E60" s="789">
        <v>0.2</v>
      </c>
      <c r="F60" s="430" t="s">
        <v>9075</v>
      </c>
      <c r="G60" s="230"/>
      <c r="H60" s="230"/>
      <c r="I60" s="230"/>
      <c r="J60" s="251"/>
      <c r="K60" s="251"/>
      <c r="L60" s="251"/>
      <c r="M60" s="251"/>
      <c r="N60" s="251"/>
      <c r="O60" s="230"/>
      <c r="P60" s="230"/>
      <c r="Q60" s="230"/>
      <c r="R60" s="230"/>
      <c r="S60" s="230"/>
      <c r="T60" s="230"/>
      <c r="U60" s="230"/>
      <c r="V60" s="230"/>
      <c r="W60" s="230"/>
      <c r="X60" s="230"/>
      <c r="Y60" s="230"/>
      <c r="Z60" s="230"/>
      <c r="AA60" s="230"/>
      <c r="AB60" s="230"/>
      <c r="AC60" s="230"/>
      <c r="AD60" s="230"/>
      <c r="AE60" s="230"/>
      <c r="AF60" s="230"/>
    </row>
    <row r="61" spans="1:32" ht="15" customHeight="1">
      <c r="A61" s="1304"/>
      <c r="C61" s="427" t="s">
        <v>9076</v>
      </c>
      <c r="D61" s="789" t="s">
        <v>9072</v>
      </c>
      <c r="E61" s="789" t="s">
        <v>9072</v>
      </c>
      <c r="F61" s="426" t="s">
        <v>9077</v>
      </c>
      <c r="G61" s="230"/>
      <c r="H61" s="230"/>
      <c r="I61" s="230"/>
      <c r="J61" s="230"/>
      <c r="K61" s="230"/>
      <c r="L61" s="230"/>
      <c r="M61" s="230"/>
      <c r="N61" s="230"/>
      <c r="O61" s="230"/>
      <c r="P61" s="230"/>
      <c r="Q61" s="230"/>
      <c r="R61" s="230"/>
      <c r="S61" s="230"/>
      <c r="T61" s="230"/>
      <c r="U61" s="230"/>
      <c r="V61" s="230"/>
      <c r="W61" s="230"/>
      <c r="X61" s="230"/>
      <c r="Y61" s="230"/>
      <c r="Z61" s="230"/>
      <c r="AA61" s="230"/>
      <c r="AB61" s="230"/>
      <c r="AC61" s="230"/>
      <c r="AD61" s="230"/>
      <c r="AE61" s="230"/>
      <c r="AF61" s="230"/>
    </row>
    <row r="62" spans="1:32" ht="15" customHeight="1">
      <c r="A62" s="1304"/>
      <c r="C62" s="431" t="s">
        <v>9078</v>
      </c>
      <c r="D62" s="391">
        <f>Assumptions!L22</f>
        <v>-6.6364792260907635E-2</v>
      </c>
      <c r="E62" s="391">
        <f>Assumptions!M22</f>
        <v>-6.5000000000000002E-2</v>
      </c>
      <c r="F62" s="426" t="s">
        <v>9079</v>
      </c>
      <c r="G62" s="230"/>
      <c r="H62" s="230"/>
      <c r="I62" s="230"/>
      <c r="J62" s="230"/>
      <c r="K62" s="230"/>
      <c r="L62" s="230"/>
      <c r="M62" s="230"/>
      <c r="N62" s="230"/>
      <c r="O62" s="230"/>
      <c r="P62" s="230"/>
      <c r="Q62" s="230"/>
      <c r="R62" s="230"/>
      <c r="S62" s="230"/>
      <c r="T62" s="230"/>
      <c r="U62" s="230"/>
      <c r="V62" s="230"/>
      <c r="W62" s="230"/>
      <c r="X62" s="230"/>
      <c r="Y62" s="230"/>
      <c r="Z62" s="230"/>
      <c r="AA62" s="230"/>
      <c r="AB62" s="230"/>
      <c r="AC62" s="230"/>
      <c r="AD62" s="230"/>
      <c r="AE62" s="230"/>
      <c r="AF62" s="230"/>
    </row>
    <row r="63" spans="1:32" ht="15" customHeight="1">
      <c r="A63" s="1304"/>
      <c r="C63" s="431" t="s">
        <v>9080</v>
      </c>
      <c r="D63" s="391">
        <f>Assumptions!L23</f>
        <v>-5.7310397217125851E-2</v>
      </c>
      <c r="E63" s="391">
        <f>Assumptions!M23</f>
        <v>-5.2999999999999999E-2</v>
      </c>
      <c r="F63" s="426" t="s">
        <v>9079</v>
      </c>
      <c r="G63" s="230"/>
      <c r="H63" s="230"/>
      <c r="I63" s="230"/>
      <c r="J63" s="230"/>
      <c r="K63" s="230"/>
      <c r="L63" s="230"/>
      <c r="M63" s="230"/>
      <c r="N63" s="230"/>
      <c r="O63" s="230"/>
      <c r="P63" s="230"/>
      <c r="Q63" s="230"/>
      <c r="R63" s="230"/>
      <c r="S63" s="230"/>
      <c r="T63" s="230"/>
      <c r="U63" s="230"/>
      <c r="V63" s="230"/>
      <c r="W63" s="230"/>
      <c r="X63" s="230"/>
      <c r="Y63" s="230"/>
      <c r="Z63" s="230"/>
      <c r="AA63" s="230"/>
      <c r="AB63" s="230"/>
      <c r="AC63" s="230"/>
      <c r="AD63" s="230"/>
      <c r="AE63" s="230"/>
      <c r="AF63" s="230"/>
    </row>
    <row r="64" spans="1:32" ht="15" customHeight="1">
      <c r="A64" s="1304"/>
      <c r="C64" s="431" t="s">
        <v>130</v>
      </c>
      <c r="D64" s="439">
        <f>Assumptions!L24</f>
        <v>0</v>
      </c>
      <c r="E64" s="439">
        <f>Assumptions!M24</f>
        <v>0</v>
      </c>
      <c r="F64" s="426" t="s">
        <v>9081</v>
      </c>
      <c r="G64" s="230"/>
      <c r="I64" s="230"/>
      <c r="J64" s="230"/>
      <c r="K64" s="230"/>
      <c r="L64" s="230"/>
      <c r="M64" s="230"/>
      <c r="N64" s="230"/>
      <c r="O64" s="230"/>
      <c r="P64" s="230"/>
      <c r="Q64" s="230"/>
      <c r="R64" s="230"/>
      <c r="S64" s="230"/>
      <c r="T64" s="230"/>
      <c r="U64" s="230"/>
      <c r="V64" s="230"/>
      <c r="W64" s="230"/>
      <c r="X64" s="230"/>
      <c r="Y64" s="230"/>
      <c r="Z64" s="230"/>
      <c r="AA64" s="230"/>
      <c r="AB64" s="230"/>
      <c r="AC64" s="230"/>
      <c r="AD64" s="230"/>
      <c r="AE64" s="230"/>
      <c r="AF64" s="230"/>
    </row>
    <row r="65" spans="1:6" ht="15" customHeight="1">
      <c r="A65" s="1304"/>
      <c r="C65" s="431" t="s">
        <v>9082</v>
      </c>
      <c r="D65" s="439">
        <f>Assumptions!L25</f>
        <v>0.67800000000000005</v>
      </c>
      <c r="E65" s="439">
        <v>0.45</v>
      </c>
      <c r="F65" s="426" t="s">
        <v>9081</v>
      </c>
    </row>
    <row r="66" spans="1:6" ht="15" customHeight="1">
      <c r="A66" s="1304"/>
      <c r="C66" s="431" t="s">
        <v>9083</v>
      </c>
      <c r="D66" s="439">
        <f>Assumptions!L26</f>
        <v>0</v>
      </c>
      <c r="E66" s="439">
        <f>Assumptions!M26</f>
        <v>0</v>
      </c>
      <c r="F66" s="426" t="s">
        <v>9079</v>
      </c>
    </row>
    <row r="67" spans="1:6" ht="15.75" customHeight="1">
      <c r="A67" s="1304"/>
      <c r="C67" s="431" t="s">
        <v>9084</v>
      </c>
      <c r="D67" s="789" t="s">
        <v>9072</v>
      </c>
      <c r="E67" s="789" t="s">
        <v>9072</v>
      </c>
      <c r="F67" s="426" t="s">
        <v>9079</v>
      </c>
    </row>
    <row r="68" spans="1:6" ht="15.75" customHeight="1">
      <c r="A68" s="1304"/>
      <c r="C68" s="431" t="s">
        <v>318</v>
      </c>
      <c r="D68" s="391">
        <f>Assumptions!L27</f>
        <v>0.9</v>
      </c>
      <c r="E68" s="391">
        <f>Assumptions!M27</f>
        <v>0.45</v>
      </c>
      <c r="F68" s="426" t="s">
        <v>9085</v>
      </c>
    </row>
    <row r="69" spans="1:6" ht="15">
      <c r="A69" s="230"/>
      <c r="C69" s="230"/>
      <c r="D69" s="230"/>
      <c r="E69" s="230"/>
      <c r="F69" s="230"/>
    </row>
    <row r="70" spans="1:6">
      <c r="A70" s="1284" t="s">
        <v>104</v>
      </c>
      <c r="C70" s="304"/>
      <c r="D70" s="397" t="s">
        <v>9086</v>
      </c>
      <c r="E70" s="1"/>
    </row>
    <row r="71" spans="1:6">
      <c r="A71" s="1285"/>
      <c r="C71" s="304" t="s">
        <v>9087</v>
      </c>
      <c r="D71" s="398">
        <f>SUMPRODUCT(G35:AF35,G45:AF45)+((AF43-AF44)*AF45)</f>
        <v>15269.374948157709</v>
      </c>
      <c r="E71" s="356">
        <f>D71/D73</f>
        <v>0.56711910443648383</v>
      </c>
    </row>
    <row r="72" spans="1:6">
      <c r="A72" s="1285"/>
      <c r="C72" s="304" t="s">
        <v>9088</v>
      </c>
      <c r="D72" s="398">
        <f>(AF34/(F50-AF5))*AF45</f>
        <v>11655.083827270208</v>
      </c>
      <c r="E72" s="356">
        <f>D72/D73</f>
        <v>0.43288089556351617</v>
      </c>
    </row>
    <row r="73" spans="1:6">
      <c r="A73" s="1285"/>
      <c r="C73" s="304" t="s">
        <v>9089</v>
      </c>
      <c r="D73" s="398">
        <f>D71+D72</f>
        <v>26924.458775427916</v>
      </c>
      <c r="E73" s="1"/>
    </row>
    <row r="74" spans="1:6" ht="15">
      <c r="A74" s="1285"/>
      <c r="C74" s="693" t="s">
        <v>9090</v>
      </c>
      <c r="D74" s="694">
        <f ca="1">OP!C20</f>
        <v>76.64</v>
      </c>
      <c r="E74" s="305"/>
    </row>
    <row r="75" spans="1:6" ht="15">
      <c r="A75" s="1285"/>
      <c r="C75" s="693" t="s">
        <v>9091</v>
      </c>
      <c r="D75" s="399">
        <f ca="1">D76/D74-1</f>
        <v>-0.54071497777563859</v>
      </c>
    </row>
    <row r="76" spans="1:6" ht="15">
      <c r="A76" s="1286"/>
      <c r="C76" s="400" t="s">
        <v>9092</v>
      </c>
      <c r="D76" s="401">
        <f ca="1">D73*1000000/OP!C21</f>
        <v>35.199604103275057</v>
      </c>
    </row>
    <row r="77" spans="1:6" ht="15">
      <c r="A77" s="377"/>
      <c r="C77" s="305"/>
      <c r="D77" s="695"/>
    </row>
    <row r="78" spans="1:6" ht="15">
      <c r="A78" s="1280" t="s">
        <v>9093</v>
      </c>
      <c r="C78" s="421" t="s">
        <v>9094</v>
      </c>
      <c r="D78" s="694">
        <f ca="1">(SUMPRODUCT(G35:N35,G45:N45)+((N43-N44)*AF45)+(N34/(F50+0.001-N5))*N45)*1000000/OP!C21</f>
        <v>-27.959693691472182</v>
      </c>
      <c r="E78" s="402">
        <f ca="1">D78/D76-1</f>
        <v>-1.7943184136230312</v>
      </c>
    </row>
    <row r="79" spans="1:6" ht="15">
      <c r="A79" s="1281"/>
      <c r="C79" s="421" t="s">
        <v>9095</v>
      </c>
      <c r="D79" s="694">
        <f ca="1">(SUMPRODUCT(G35:N35,G45:N45)+((N43-N44)*N45)+(N34/(F50+0.005-N5))*N45)*1000000/OP!C21</f>
        <v>-34.82824258722826</v>
      </c>
      <c r="E79" s="402">
        <f ca="1">D79/D76-1</f>
        <v>-1.9894498382721229</v>
      </c>
    </row>
    <row r="81" spans="1:1" ht="15">
      <c r="A81" s="432" t="s">
        <v>9096</v>
      </c>
    </row>
  </sheetData>
  <mergeCells count="15">
    <mergeCell ref="A33:AF33"/>
    <mergeCell ref="A78:A79"/>
    <mergeCell ref="A1:AF2"/>
    <mergeCell ref="A70:A76"/>
    <mergeCell ref="A5:A17"/>
    <mergeCell ref="A19:A32"/>
    <mergeCell ref="A43:A47"/>
    <mergeCell ref="G3:J3"/>
    <mergeCell ref="K3:AF3"/>
    <mergeCell ref="A42:AF42"/>
    <mergeCell ref="A48:AF48"/>
    <mergeCell ref="A34:A36"/>
    <mergeCell ref="A38:A41"/>
    <mergeCell ref="A49:A50"/>
    <mergeCell ref="A52:A68"/>
  </mergeCells>
  <phoneticPr fontId="0" type="noConversion"/>
  <conditionalFormatting sqref="D75">
    <cfRule type="cellIs" dxfId="1" priority="1" operator="lessThan">
      <formula>0</formula>
    </cfRule>
    <cfRule type="cellIs" dxfId="0" priority="2" operator="greaterThan">
      <formula>0%</formula>
    </cfRule>
  </conditionalFormatting>
  <pageMargins left="0.75" right="0.75" top="1" bottom="1" header="0" footer="0"/>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48F31-038D-48AF-A351-FDB188E84744}">
  <dimension ref="C5:AG75"/>
  <sheetViews>
    <sheetView showGridLines="0" topLeftCell="C1" zoomScale="86" workbookViewId="0">
      <selection activeCell="K40" sqref="K40"/>
    </sheetView>
  </sheetViews>
  <sheetFormatPr defaultColWidth="11.42578125" defaultRowHeight="12.95"/>
  <cols>
    <col min="3" max="3" width="35.42578125" customWidth="1"/>
    <col min="4" max="4" width="9.140625" bestFit="1" customWidth="1"/>
    <col min="5" max="5" width="12" bestFit="1" customWidth="1"/>
    <col min="6" max="6" width="11" bestFit="1" customWidth="1"/>
    <col min="7" max="7" width="12" bestFit="1" customWidth="1"/>
    <col min="8" max="8" width="9.140625" bestFit="1" customWidth="1"/>
    <col min="9" max="18" width="12" bestFit="1" customWidth="1"/>
    <col min="19" max="19" width="12.42578125" bestFit="1" customWidth="1"/>
    <col min="20" max="24" width="12" bestFit="1" customWidth="1"/>
    <col min="25" max="25" width="13" bestFit="1" customWidth="1"/>
    <col min="26" max="26" width="15.140625" customWidth="1"/>
    <col min="27" max="27" width="11.7109375" customWidth="1"/>
    <col min="28" max="29" width="13" bestFit="1" customWidth="1"/>
    <col min="34" max="34" width="21.140625" bestFit="1" customWidth="1"/>
  </cols>
  <sheetData>
    <row r="5" spans="3:33">
      <c r="D5" s="1305" t="s">
        <v>9097</v>
      </c>
      <c r="E5" s="1305"/>
      <c r="F5" s="1305"/>
      <c r="G5" s="1305"/>
      <c r="H5" s="847" t="s">
        <v>9098</v>
      </c>
      <c r="I5" s="847"/>
      <c r="J5" s="1305" t="s">
        <v>9099</v>
      </c>
      <c r="K5" s="1305"/>
      <c r="L5" s="1305"/>
      <c r="M5" s="1305"/>
      <c r="N5" s="1305"/>
      <c r="O5" s="1305"/>
      <c r="P5" s="1305"/>
      <c r="Q5" s="1305"/>
      <c r="R5" s="1305"/>
      <c r="S5" s="1305"/>
      <c r="T5" s="1305"/>
      <c r="U5" s="1305"/>
      <c r="V5" s="1305"/>
      <c r="W5" s="1305"/>
      <c r="X5" s="1305"/>
      <c r="Y5" s="1305"/>
      <c r="Z5" s="1305"/>
      <c r="AA5" s="1305"/>
      <c r="AB5" s="1305"/>
      <c r="AC5" s="1305"/>
      <c r="AD5" s="847" t="s">
        <v>9098</v>
      </c>
    </row>
    <row r="6" spans="3:33">
      <c r="D6" s="917">
        <v>2019</v>
      </c>
      <c r="E6" s="917">
        <v>2020</v>
      </c>
      <c r="F6" s="917">
        <v>2021</v>
      </c>
      <c r="G6" s="917">
        <v>2022</v>
      </c>
      <c r="H6" s="917" t="s">
        <v>9100</v>
      </c>
      <c r="I6" s="917">
        <v>2023</v>
      </c>
      <c r="J6" s="917">
        <v>2024</v>
      </c>
      <c r="K6" s="917">
        <v>2025</v>
      </c>
      <c r="L6" s="917">
        <v>2026</v>
      </c>
      <c r="M6" s="917">
        <v>2027</v>
      </c>
      <c r="N6" s="917">
        <v>2028</v>
      </c>
      <c r="O6" s="917">
        <v>2029</v>
      </c>
      <c r="P6" s="917">
        <v>2030</v>
      </c>
      <c r="Q6" s="917">
        <v>2031</v>
      </c>
      <c r="R6" s="917">
        <v>2032</v>
      </c>
      <c r="S6" s="917">
        <v>2033</v>
      </c>
      <c r="T6" s="917">
        <v>2034</v>
      </c>
      <c r="U6" s="917">
        <v>2035</v>
      </c>
      <c r="V6" s="917">
        <v>2036</v>
      </c>
      <c r="W6" s="917">
        <v>2037</v>
      </c>
      <c r="X6" s="917">
        <v>2038</v>
      </c>
      <c r="Y6" s="917">
        <v>2039</v>
      </c>
      <c r="Z6" s="917">
        <v>2040</v>
      </c>
      <c r="AA6" s="917">
        <v>2041</v>
      </c>
      <c r="AB6" s="917">
        <v>2042</v>
      </c>
      <c r="AC6" s="917">
        <v>2043</v>
      </c>
      <c r="AD6" s="917" t="s">
        <v>9101</v>
      </c>
      <c r="AE6" s="1"/>
      <c r="AF6" s="1"/>
      <c r="AG6" s="1"/>
    </row>
    <row r="7" spans="3:33">
      <c r="C7" s="925" t="s">
        <v>9102</v>
      </c>
      <c r="D7" s="935">
        <v>2163</v>
      </c>
      <c r="E7" s="935">
        <v>2594.4</v>
      </c>
      <c r="F7" s="935">
        <v>3342.2</v>
      </c>
      <c r="G7" s="935">
        <v>4417.3999999999996</v>
      </c>
      <c r="H7" s="919">
        <f>(G7/D7)^(1/3)-1</f>
        <v>0.26873251222979921</v>
      </c>
      <c r="I7" s="935">
        <v>5300.3</v>
      </c>
      <c r="J7" s="935">
        <v>6277.340636935387</v>
      </c>
      <c r="K7" s="935">
        <v>7433.6724227147897</v>
      </c>
      <c r="L7" s="935">
        <v>8803.0089307385733</v>
      </c>
      <c r="M7" s="935">
        <v>10424.587179530641</v>
      </c>
      <c r="N7" s="935">
        <v>11860.313448831499</v>
      </c>
      <c r="O7" s="935">
        <v>13493.775118571819</v>
      </c>
      <c r="P7" s="935">
        <v>15352.205296777123</v>
      </c>
      <c r="Q7" s="935">
        <v>17466.587771275754</v>
      </c>
      <c r="R7" s="935">
        <v>19872.173572074709</v>
      </c>
      <c r="S7" s="935">
        <v>22455.556136444418</v>
      </c>
      <c r="T7" s="945">
        <v>25374.77843418219</v>
      </c>
      <c r="U7" s="945">
        <v>28673.499630625873</v>
      </c>
      <c r="V7" s="945">
        <v>32114.319586300979</v>
      </c>
      <c r="W7" s="945">
        <v>35646.894740794087</v>
      </c>
      <c r="X7" s="945">
        <v>39568.053162281438</v>
      </c>
      <c r="Y7" s="945">
        <v>43129.177946886768</v>
      </c>
      <c r="Z7" s="945">
        <v>47010.803962106584</v>
      </c>
      <c r="AA7" s="945">
        <v>51241.776318696182</v>
      </c>
      <c r="AB7" s="945">
        <v>55853.536187378842</v>
      </c>
      <c r="AC7" s="945">
        <v>60880.354444242941</v>
      </c>
      <c r="AD7" s="429">
        <f>(AC7/I7)^(1/19)-1</f>
        <v>0.13710030172048793</v>
      </c>
      <c r="AE7" s="933"/>
      <c r="AF7" s="1"/>
      <c r="AG7" s="1"/>
    </row>
    <row r="8" spans="3:33">
      <c r="C8" s="380" t="s">
        <v>9103</v>
      </c>
      <c r="D8" s="848"/>
      <c r="E8" s="924">
        <v>0.19944521497919565</v>
      </c>
      <c r="F8" s="924">
        <v>0.28823620104841186</v>
      </c>
      <c r="G8" s="924">
        <v>0.32170426665070906</v>
      </c>
      <c r="H8" s="919"/>
      <c r="I8" s="924">
        <v>0.19986870104586418</v>
      </c>
      <c r="J8" s="924">
        <v>0.18433685582615822</v>
      </c>
      <c r="K8" s="924">
        <v>0.18420727066739628</v>
      </c>
      <c r="L8" s="924">
        <v>0.18420727066739651</v>
      </c>
      <c r="M8" s="924">
        <v>0.18420727066739628</v>
      </c>
      <c r="N8" s="924">
        <v>0.1377250000000001</v>
      </c>
      <c r="O8" s="924">
        <v>0.1377250000000001</v>
      </c>
      <c r="P8" s="924">
        <v>0.13772500000000013</v>
      </c>
      <c r="Q8" s="924">
        <v>0.13772499999999999</v>
      </c>
      <c r="R8" s="924">
        <v>0.13772499999999999</v>
      </c>
      <c r="S8" s="924">
        <v>0.13</v>
      </c>
      <c r="T8" s="927">
        <v>0.13</v>
      </c>
      <c r="U8" s="927">
        <v>0.13</v>
      </c>
      <c r="V8" s="927">
        <v>0.12</v>
      </c>
      <c r="W8" s="927">
        <v>0.11</v>
      </c>
      <c r="X8" s="927">
        <v>0.11</v>
      </c>
      <c r="Y8" s="927">
        <v>0.09</v>
      </c>
      <c r="Z8" s="927">
        <v>0.09</v>
      </c>
      <c r="AA8" s="927">
        <v>0.09</v>
      </c>
      <c r="AB8" s="927">
        <v>0.09</v>
      </c>
      <c r="AC8" s="927">
        <v>0.09</v>
      </c>
      <c r="AD8" s="429"/>
      <c r="AE8" s="1"/>
      <c r="AF8" s="1"/>
      <c r="AG8" s="1"/>
    </row>
    <row r="9" spans="3:33" ht="12.95" customHeight="1">
      <c r="C9" s="925" t="s">
        <v>50</v>
      </c>
      <c r="D9" s="847">
        <v>405.7</v>
      </c>
      <c r="E9" s="935">
        <v>596.29999999999995</v>
      </c>
      <c r="F9" s="935">
        <v>734.8</v>
      </c>
      <c r="G9" s="935">
        <v>1073.8999999999999</v>
      </c>
      <c r="H9" s="919">
        <f>(G9/D9)^(1/3)-1</f>
        <v>0.38331030283641998</v>
      </c>
      <c r="I9" s="935">
        <v>1225.6150000000002</v>
      </c>
      <c r="J9" s="935">
        <v>1414.4464660816338</v>
      </c>
      <c r="K9" s="935">
        <v>1702.1904629082749</v>
      </c>
      <c r="L9" s="935">
        <v>2043.9232250964201</v>
      </c>
      <c r="M9" s="935">
        <v>2350.6542701948465</v>
      </c>
      <c r="N9" s="935">
        <v>2708.8927832237696</v>
      </c>
      <c r="O9" s="935">
        <v>3120.5638443467669</v>
      </c>
      <c r="P9" s="935">
        <v>3555.2098285391089</v>
      </c>
      <c r="Q9" s="935">
        <v>4074.9103370612029</v>
      </c>
      <c r="R9" s="935">
        <v>4669.8642985140914</v>
      </c>
      <c r="S9" s="935">
        <v>5317.6809814069429</v>
      </c>
      <c r="T9" s="945">
        <v>6137.5136265418214</v>
      </c>
      <c r="U9" s="945">
        <v>6994.1866694446699</v>
      </c>
      <c r="V9" s="945">
        <v>7904.7352950813984</v>
      </c>
      <c r="W9" s="945">
        <v>8859.372902606252</v>
      </c>
      <c r="X9" s="945">
        <v>9925.7602918686061</v>
      </c>
      <c r="Y9" s="945">
        <v>10938.277672189923</v>
      </c>
      <c r="Z9" s="945">
        <v>12049.288311470083</v>
      </c>
      <c r="AA9" s="945">
        <v>13268.415609441996</v>
      </c>
      <c r="AB9" s="945">
        <v>14606.22880921759</v>
      </c>
      <c r="AC9" s="945">
        <v>16074.336703188474</v>
      </c>
      <c r="AD9" s="429">
        <f t="shared" ref="AD9:AD16" si="0">(AC9/I9)^(1/19)-1</f>
        <v>0.14506587824613493</v>
      </c>
      <c r="AE9" s="1"/>
      <c r="AF9" s="1"/>
      <c r="AG9" s="1"/>
    </row>
    <row r="10" spans="3:33" ht="12.95" customHeight="1">
      <c r="C10" s="380" t="s">
        <v>9104</v>
      </c>
      <c r="D10" s="364" t="s">
        <v>9105</v>
      </c>
      <c r="E10" s="429">
        <f>E9/E7</f>
        <v>0.22984119642306503</v>
      </c>
      <c r="F10" s="429">
        <f>F9/F7</f>
        <v>0.21985518520734845</v>
      </c>
      <c r="G10" s="429">
        <f>G9/G7</f>
        <v>0.24310680490786435</v>
      </c>
      <c r="H10" s="919"/>
      <c r="I10" s="429">
        <f t="shared" ref="I10:S10" si="1">I9/I7</f>
        <v>0.23123502443257932</v>
      </c>
      <c r="J10" s="429">
        <f t="shared" si="1"/>
        <v>0.22532574666398381</v>
      </c>
      <c r="K10" s="429">
        <f>K9/K7</f>
        <v>0.22898378703195965</v>
      </c>
      <c r="L10" s="429">
        <f t="shared" si="1"/>
        <v>0.23218461337229779</v>
      </c>
      <c r="M10" s="429">
        <f t="shared" si="1"/>
        <v>0.22549135325094791</v>
      </c>
      <c r="N10" s="429">
        <f t="shared" si="1"/>
        <v>0.22839976320277225</v>
      </c>
      <c r="O10" s="429">
        <f t="shared" si="1"/>
        <v>0.23125951165822062</v>
      </c>
      <c r="P10" s="429">
        <f t="shared" si="1"/>
        <v>0.23157649079155107</v>
      </c>
      <c r="Q10" s="429">
        <f>Q9/Q7</f>
        <v>0.23329744712716563</v>
      </c>
      <c r="R10" s="429">
        <f t="shared" si="1"/>
        <v>0.23499514442025601</v>
      </c>
      <c r="S10" s="429">
        <f t="shared" si="1"/>
        <v>0.23680914198230751</v>
      </c>
      <c r="T10" s="429">
        <f t="shared" ref="T10:AC10" si="2">T9/T7</f>
        <v>0.24187457015482819</v>
      </c>
      <c r="U10" s="429">
        <f t="shared" si="2"/>
        <v>0.24392511411387852</v>
      </c>
      <c r="V10" s="429">
        <f t="shared" si="2"/>
        <v>0.24614363302448186</v>
      </c>
      <c r="W10" s="429">
        <f t="shared" si="2"/>
        <v>0.24853140692974976</v>
      </c>
      <c r="X10" s="429">
        <f t="shared" si="2"/>
        <v>0.25085288505754477</v>
      </c>
      <c r="Y10" s="429">
        <f t="shared" si="2"/>
        <v>0.25361665102127201</v>
      </c>
      <c r="Z10" s="429">
        <f t="shared" si="2"/>
        <v>0.25630891828998509</v>
      </c>
      <c r="AA10" s="429">
        <f t="shared" si="2"/>
        <v>0.25893746397313816</v>
      </c>
      <c r="AB10" s="429">
        <f t="shared" si="2"/>
        <v>0.26150947292247079</v>
      </c>
      <c r="AC10" s="429">
        <f t="shared" si="2"/>
        <v>0.26403158867792237</v>
      </c>
      <c r="AD10" s="429"/>
      <c r="AE10" s="1"/>
      <c r="AF10" s="1"/>
      <c r="AG10" s="1"/>
    </row>
    <row r="11" spans="3:33" ht="12.95" customHeight="1">
      <c r="C11" s="380" t="s">
        <v>9106</v>
      </c>
      <c r="D11" s="364"/>
      <c r="E11" s="364">
        <v>-55.5</v>
      </c>
      <c r="F11" s="364">
        <v>-65.900000000000006</v>
      </c>
      <c r="G11" s="364">
        <v>-81</v>
      </c>
      <c r="H11" s="919"/>
      <c r="I11" s="921">
        <v>-91.2</v>
      </c>
      <c r="J11" s="921">
        <v>-133.99649869455641</v>
      </c>
      <c r="K11" s="921">
        <v>-167.64304450853007</v>
      </c>
      <c r="L11" s="921">
        <v>-205.10875351901262</v>
      </c>
      <c r="M11" s="921">
        <v>-154.60199774159861</v>
      </c>
      <c r="N11" s="921">
        <v>-180.66346569042523</v>
      </c>
      <c r="O11" s="921">
        <v>-210.31424931250396</v>
      </c>
      <c r="P11" s="921">
        <v>-244.04868710893354</v>
      </c>
      <c r="Q11" s="921">
        <v>-282.42920035087633</v>
      </c>
      <c r="R11" s="921">
        <v>-326.0956697790657</v>
      </c>
      <c r="S11" s="921">
        <v>-375.77610370925254</v>
      </c>
      <c r="T11" s="933">
        <v>-515.10889294299295</v>
      </c>
      <c r="U11" s="933">
        <v>-597.57692285408507</v>
      </c>
      <c r="V11" s="933">
        <v>-690.76579665361919</v>
      </c>
      <c r="W11" s="933">
        <v>-795.13733530909735</v>
      </c>
      <c r="X11" s="933">
        <v>-910.98974321667811</v>
      </c>
      <c r="Y11" s="933">
        <v>-1039.5859159940928</v>
      </c>
      <c r="Z11" s="933">
        <v>-1179.7557443214748</v>
      </c>
      <c r="AA11" s="933">
        <v>-1332.5408571983212</v>
      </c>
      <c r="AB11" s="933">
        <v>-1499.0766302340837</v>
      </c>
      <c r="AC11" s="933">
        <v>-1680.6006228430649</v>
      </c>
      <c r="AD11" s="429"/>
      <c r="AE11" s="1"/>
      <c r="AF11" s="1"/>
      <c r="AG11" s="1"/>
    </row>
    <row r="12" spans="3:33" ht="12.95" customHeight="1">
      <c r="C12" s="380" t="s">
        <v>9011</v>
      </c>
      <c r="D12" s="848"/>
      <c r="E12" s="848">
        <v>-13.3</v>
      </c>
      <c r="F12" s="848">
        <v>-18.5</v>
      </c>
      <c r="G12" s="848">
        <v>-23.3</v>
      </c>
      <c r="H12" s="919"/>
      <c r="I12" s="932">
        <v>-21.352</v>
      </c>
      <c r="J12" s="932">
        <v>-24.981840000000002</v>
      </c>
      <c r="K12" s="932">
        <v>-29.228752800000002</v>
      </c>
      <c r="L12" s="932">
        <v>-34.197640776</v>
      </c>
      <c r="M12" s="932">
        <v>-32.95043270064</v>
      </c>
      <c r="N12" s="932">
        <v>-37.563493278729602</v>
      </c>
      <c r="O12" s="932">
        <v>-42.822382337751748</v>
      </c>
      <c r="P12" s="932">
        <v>-48.817515865036988</v>
      </c>
      <c r="Q12" s="932">
        <v>-55.651968086142169</v>
      </c>
      <c r="R12" s="932">
        <v>-63.443243618202068</v>
      </c>
      <c r="S12" s="932">
        <v>-72.325297724750357</v>
      </c>
      <c r="T12" s="934">
        <v>-82.450839406215422</v>
      </c>
      <c r="U12" s="934">
        <v>-93.993956923085577</v>
      </c>
      <c r="V12" s="934">
        <v>-107.15311089231756</v>
      </c>
      <c r="W12" s="934">
        <v>-122.154546417242</v>
      </c>
      <c r="X12" s="934">
        <v>-139.2561829156559</v>
      </c>
      <c r="Y12" s="934">
        <v>-158.75204852384772</v>
      </c>
      <c r="Z12" s="934">
        <v>-180.9773353171864</v>
      </c>
      <c r="AA12" s="934">
        <v>-206.31416226159249</v>
      </c>
      <c r="AB12" s="934">
        <v>-235.19814497821542</v>
      </c>
      <c r="AC12" s="934">
        <v>-268.12588527516556</v>
      </c>
      <c r="AD12" s="429"/>
      <c r="AE12" s="1"/>
      <c r="AF12" s="1"/>
      <c r="AG12" s="1"/>
    </row>
    <row r="13" spans="3:33">
      <c r="C13" s="925" t="s">
        <v>59</v>
      </c>
      <c r="D13" s="847">
        <v>344.1</v>
      </c>
      <c r="E13" s="946">
        <f>E9+E11+E12</f>
        <v>527.5</v>
      </c>
      <c r="F13" s="946">
        <f>F9+F11+F12</f>
        <v>650.4</v>
      </c>
      <c r="G13" s="946">
        <f>G9+G11+G12</f>
        <v>969.59999999999991</v>
      </c>
      <c r="H13" s="919">
        <f>(G13/D13)^(1/3)-1</f>
        <v>0.41243773385068438</v>
      </c>
      <c r="I13" s="935">
        <f t="shared" ref="I13:S13" si="3">I9+I11+I12</f>
        <v>1113.0630000000001</v>
      </c>
      <c r="J13" s="935">
        <f t="shared" si="3"/>
        <v>1255.4681273870774</v>
      </c>
      <c r="K13" s="935">
        <f t="shared" si="3"/>
        <v>1505.3186655997449</v>
      </c>
      <c r="L13" s="935">
        <f t="shared" si="3"/>
        <v>1804.6168308014073</v>
      </c>
      <c r="M13" s="935">
        <f t="shared" si="3"/>
        <v>2163.1018397526082</v>
      </c>
      <c r="N13" s="935">
        <f t="shared" si="3"/>
        <v>2490.6658242546146</v>
      </c>
      <c r="O13" s="935">
        <f t="shared" si="3"/>
        <v>2867.4272126965116</v>
      </c>
      <c r="P13" s="935">
        <f t="shared" si="3"/>
        <v>3262.3436255651386</v>
      </c>
      <c r="Q13" s="935">
        <f t="shared" si="3"/>
        <v>3736.8291686241846</v>
      </c>
      <c r="R13" s="935">
        <f t="shared" si="3"/>
        <v>4280.3253851168238</v>
      </c>
      <c r="S13" s="935">
        <f t="shared" si="3"/>
        <v>4869.5795799729403</v>
      </c>
      <c r="T13" s="945">
        <v>5539.953894192613</v>
      </c>
      <c r="U13" s="945">
        <v>6302.6157896674995</v>
      </c>
      <c r="V13" s="945">
        <v>7106.8163875354621</v>
      </c>
      <c r="W13" s="945">
        <v>7942.0810208799139</v>
      </c>
      <c r="X13" s="945">
        <v>8875.5143657362714</v>
      </c>
      <c r="Y13" s="945">
        <v>9739.9397076719815</v>
      </c>
      <c r="Z13" s="945">
        <v>10688.555231831422</v>
      </c>
      <c r="AA13" s="945">
        <v>11729.560589982082</v>
      </c>
      <c r="AB13" s="945">
        <v>12871.95403400529</v>
      </c>
      <c r="AC13" s="945">
        <v>14125.610195070243</v>
      </c>
      <c r="AD13" s="429">
        <f t="shared" si="0"/>
        <v>0.14308437395044238</v>
      </c>
      <c r="AE13" s="4"/>
      <c r="AF13" s="4"/>
      <c r="AG13" s="1"/>
    </row>
    <row r="14" spans="3:33" ht="12.95" customHeight="1">
      <c r="C14" s="380" t="s">
        <v>9104</v>
      </c>
      <c r="D14" s="364"/>
      <c r="E14" s="429">
        <f>E13/E7</f>
        <v>0.20332254085723095</v>
      </c>
      <c r="F14" s="429">
        <f>F13/F7</f>
        <v>0.19460235772844234</v>
      </c>
      <c r="G14" s="429">
        <f>G13/G7</f>
        <v>0.21949563091411237</v>
      </c>
      <c r="H14" s="919"/>
      <c r="I14" s="429">
        <f t="shared" ref="I14:S14" si="4">I13/I7</f>
        <v>0.21000000000000002</v>
      </c>
      <c r="J14" s="429">
        <f t="shared" si="4"/>
        <v>0.2</v>
      </c>
      <c r="K14" s="429">
        <f t="shared" si="4"/>
        <v>0.20250000000000001</v>
      </c>
      <c r="L14" s="429">
        <f t="shared" si="4"/>
        <v>0.20499999999999999</v>
      </c>
      <c r="M14" s="429">
        <f t="shared" si="4"/>
        <v>0.20750000000000002</v>
      </c>
      <c r="N14" s="429">
        <f t="shared" si="4"/>
        <v>0.21</v>
      </c>
      <c r="O14" s="429">
        <f t="shared" si="4"/>
        <v>0.21249999999999999</v>
      </c>
      <c r="P14" s="429">
        <f t="shared" si="4"/>
        <v>0.21249999999999999</v>
      </c>
      <c r="Q14" s="429">
        <f t="shared" si="4"/>
        <v>0.21394156761227828</v>
      </c>
      <c r="R14" s="429">
        <f t="shared" si="4"/>
        <v>0.21539291459952492</v>
      </c>
      <c r="S14" s="429">
        <f t="shared" si="4"/>
        <v>0.21685410730352914</v>
      </c>
      <c r="T14" s="3">
        <v>0.2183252125161329</v>
      </c>
      <c r="U14" s="3">
        <v>0.21980629748228361</v>
      </c>
      <c r="V14" s="3">
        <v>0.22129742990310841</v>
      </c>
      <c r="W14" s="3">
        <v>0.2227986779390084</v>
      </c>
      <c r="X14" s="3">
        <v>0.22431011021277453</v>
      </c>
      <c r="Y14" s="3">
        <v>0.22583179581272422</v>
      </c>
      <c r="Z14" s="3">
        <v>0.22736380429585959</v>
      </c>
      <c r="AA14" s="3">
        <v>0.22890620569104686</v>
      </c>
      <c r="AB14" s="3">
        <v>0.23045907050221737</v>
      </c>
      <c r="AC14" s="3">
        <v>0.23202246971159035</v>
      </c>
      <c r="AD14" s="429"/>
      <c r="AE14" s="1"/>
      <c r="AF14" s="1"/>
      <c r="AG14" s="1"/>
    </row>
    <row r="15" spans="3:33">
      <c r="C15" s="380" t="s">
        <v>309</v>
      </c>
      <c r="D15" s="848">
        <v>56.4</v>
      </c>
      <c r="E15" s="850">
        <v>-53.2</v>
      </c>
      <c r="F15" s="850">
        <v>-14.1</v>
      </c>
      <c r="G15" s="850">
        <v>-30.8</v>
      </c>
      <c r="H15" s="919"/>
      <c r="I15" s="932">
        <v>-81.431266238778392</v>
      </c>
      <c r="J15" s="932">
        <v>-89.243307839554646</v>
      </c>
      <c r="K15" s="932">
        <v>-108.26722217669257</v>
      </c>
      <c r="L15" s="932">
        <v>-132.1538468387914</v>
      </c>
      <c r="M15" s="932">
        <v>-482.80389642413587</v>
      </c>
      <c r="N15" s="932">
        <v>-570.49223199900132</v>
      </c>
      <c r="O15" s="932">
        <v>-665.58789958470277</v>
      </c>
      <c r="P15" s="932">
        <v>-714.35612363103428</v>
      </c>
      <c r="Q15" s="932">
        <v>-820.2016731232743</v>
      </c>
      <c r="R15" s="932">
        <v>-941.30150300476942</v>
      </c>
      <c r="S15" s="932">
        <v>-1072.9158791279949</v>
      </c>
      <c r="T15" s="932">
        <v>-1223.0390641142578</v>
      </c>
      <c r="U15" s="934">
        <v>-1391.0924951899881</v>
      </c>
      <c r="V15" s="934">
        <v>-1568.5823784430036</v>
      </c>
      <c r="W15" s="934">
        <v>-1752.8515970488118</v>
      </c>
      <c r="X15" s="934">
        <v>-1959.0491568897494</v>
      </c>
      <c r="Y15" s="934">
        <v>-2150.0032397249411</v>
      </c>
      <c r="Z15" s="934">
        <v>-2359.3856902878888</v>
      </c>
      <c r="AA15" s="934">
        <v>-2590.07567127835</v>
      </c>
      <c r="AB15" s="934">
        <v>-2844.2631988922881</v>
      </c>
      <c r="AC15" s="934">
        <v>-3124.1128484605415</v>
      </c>
      <c r="AD15" s="429"/>
      <c r="AE15" s="1"/>
      <c r="AF15" s="1"/>
      <c r="AG15" s="1"/>
    </row>
    <row r="16" spans="3:33">
      <c r="C16" s="925" t="s">
        <v>9107</v>
      </c>
      <c r="D16" s="4">
        <f>D13-D15</f>
        <v>287.70000000000005</v>
      </c>
      <c r="E16" s="946">
        <f>E13-E15</f>
        <v>580.70000000000005</v>
      </c>
      <c r="F16" s="946">
        <f>F13-F15</f>
        <v>664.5</v>
      </c>
      <c r="G16" s="946">
        <f>G13-G15</f>
        <v>1000.3999999999999</v>
      </c>
      <c r="H16" s="919">
        <f t="shared" ref="H16" si="5">(G16/D16)^(1/3)-1</f>
        <v>0.51499525884621034</v>
      </c>
      <c r="I16" s="946">
        <f t="shared" ref="I16:S16" si="6">I13-J15</f>
        <v>1202.3063078395548</v>
      </c>
      <c r="J16" s="946">
        <f t="shared" si="6"/>
        <v>1363.7353495637699</v>
      </c>
      <c r="K16" s="946">
        <f t="shared" si="6"/>
        <v>1637.4725124385363</v>
      </c>
      <c r="L16" s="946">
        <f t="shared" si="6"/>
        <v>2287.420727225543</v>
      </c>
      <c r="M16" s="946">
        <f t="shared" si="6"/>
        <v>2733.5940717516096</v>
      </c>
      <c r="N16" s="946">
        <f t="shared" si="6"/>
        <v>3156.2537238393174</v>
      </c>
      <c r="O16" s="946">
        <f t="shared" si="6"/>
        <v>3581.7833363275458</v>
      </c>
      <c r="P16" s="946">
        <f t="shared" si="6"/>
        <v>4082.5452986884129</v>
      </c>
      <c r="Q16" s="946">
        <f t="shared" si="6"/>
        <v>4678.1306716289537</v>
      </c>
      <c r="R16" s="946">
        <f t="shared" si="6"/>
        <v>5353.2412642448189</v>
      </c>
      <c r="S16" s="946">
        <f t="shared" si="6"/>
        <v>6092.6186440871979</v>
      </c>
      <c r="T16" s="946">
        <f t="shared" ref="T16:AC16" si="7">T13-U15</f>
        <v>6931.0463893826009</v>
      </c>
      <c r="U16" s="946">
        <f t="shared" si="7"/>
        <v>7871.1981681105026</v>
      </c>
      <c r="V16" s="946">
        <f t="shared" si="7"/>
        <v>8859.6679845842737</v>
      </c>
      <c r="W16" s="946">
        <f t="shared" si="7"/>
        <v>9901.1301777696626</v>
      </c>
      <c r="X16" s="946">
        <f t="shared" si="7"/>
        <v>11025.517605461213</v>
      </c>
      <c r="Y16" s="946">
        <f t="shared" si="7"/>
        <v>12099.32539795987</v>
      </c>
      <c r="Z16" s="946">
        <f t="shared" si="7"/>
        <v>13278.630903109772</v>
      </c>
      <c r="AA16" s="946">
        <f t="shared" si="7"/>
        <v>14573.82378887437</v>
      </c>
      <c r="AB16" s="946">
        <f t="shared" si="7"/>
        <v>15996.066882465831</v>
      </c>
      <c r="AC16" s="946">
        <f t="shared" si="7"/>
        <v>14125.610195070243</v>
      </c>
      <c r="AD16" s="429">
        <f t="shared" si="0"/>
        <v>0.13845370092538523</v>
      </c>
      <c r="AE16" s="938"/>
      <c r="AF16" s="938"/>
      <c r="AG16" s="938"/>
    </row>
    <row r="17" spans="3:33">
      <c r="C17" s="380" t="s">
        <v>9108</v>
      </c>
      <c r="D17" s="1"/>
      <c r="E17" s="364">
        <f>E11+E12</f>
        <v>-68.8</v>
      </c>
      <c r="F17" s="364">
        <f t="shared" ref="F17:R17" si="8">F11+F12</f>
        <v>-84.4</v>
      </c>
      <c r="G17" s="364">
        <f t="shared" si="8"/>
        <v>-104.3</v>
      </c>
      <c r="H17" s="364"/>
      <c r="I17" s="921">
        <f t="shared" si="8"/>
        <v>-112.55200000000001</v>
      </c>
      <c r="J17" s="921">
        <f t="shared" si="8"/>
        <v>-158.97833869455641</v>
      </c>
      <c r="K17" s="921">
        <f t="shared" si="8"/>
        <v>-196.87179730853006</v>
      </c>
      <c r="L17" s="921">
        <f t="shared" si="8"/>
        <v>-239.30639429501264</v>
      </c>
      <c r="M17" s="921">
        <f t="shared" si="8"/>
        <v>-187.5524304422386</v>
      </c>
      <c r="N17" s="921">
        <f t="shared" si="8"/>
        <v>-218.22695896915482</v>
      </c>
      <c r="O17" s="921">
        <f t="shared" si="8"/>
        <v>-253.13663165025571</v>
      </c>
      <c r="P17" s="921">
        <f t="shared" si="8"/>
        <v>-292.86620297397053</v>
      </c>
      <c r="Q17" s="921">
        <f t="shared" si="8"/>
        <v>-338.0811684370185</v>
      </c>
      <c r="R17" s="921">
        <f t="shared" si="8"/>
        <v>-389.53891339726778</v>
      </c>
      <c r="S17" s="921">
        <f>S11+S12</f>
        <v>-448.10140143400292</v>
      </c>
      <c r="T17" s="921">
        <f t="shared" ref="T17:AC17" si="9">T11+T12</f>
        <v>-597.55973234920839</v>
      </c>
      <c r="U17" s="921">
        <f t="shared" si="9"/>
        <v>-691.5708797771706</v>
      </c>
      <c r="V17" s="921">
        <f t="shared" si="9"/>
        <v>-797.91890754593669</v>
      </c>
      <c r="W17" s="921">
        <f t="shared" si="9"/>
        <v>-917.2918817263394</v>
      </c>
      <c r="X17" s="921">
        <f t="shared" si="9"/>
        <v>-1050.245926132334</v>
      </c>
      <c r="Y17" s="921">
        <f t="shared" si="9"/>
        <v>-1198.3379645179405</v>
      </c>
      <c r="Z17" s="921">
        <f t="shared" si="9"/>
        <v>-1360.7330796386611</v>
      </c>
      <c r="AA17" s="921">
        <f t="shared" si="9"/>
        <v>-1538.8550194599136</v>
      </c>
      <c r="AB17" s="921">
        <f t="shared" si="9"/>
        <v>-1734.2747752122991</v>
      </c>
      <c r="AC17" s="921">
        <f t="shared" si="9"/>
        <v>-1948.7265081182304</v>
      </c>
      <c r="AD17" s="429"/>
      <c r="AE17" s="1"/>
      <c r="AF17" s="1"/>
      <c r="AG17" s="1"/>
    </row>
    <row r="18" spans="3:33">
      <c r="C18" s="380" t="s">
        <v>9109</v>
      </c>
      <c r="D18" s="1"/>
      <c r="E18" s="364">
        <v>-125.9</v>
      </c>
      <c r="F18" s="364">
        <v>-295.89999999999998</v>
      </c>
      <c r="G18" s="364">
        <v>-281.2</v>
      </c>
      <c r="H18" s="364"/>
      <c r="I18" s="921">
        <v>-399.95623368195481</v>
      </c>
      <c r="J18" s="921">
        <v>-420.58182267467095</v>
      </c>
      <c r="K18" s="921">
        <v>-468.32136263103177</v>
      </c>
      <c r="L18" s="921">
        <v>-528.18053584431436</v>
      </c>
      <c r="M18" s="921">
        <v>-521.22935897653213</v>
      </c>
      <c r="N18" s="921">
        <v>-593.01567244157502</v>
      </c>
      <c r="O18" s="921">
        <v>-674.68875592859104</v>
      </c>
      <c r="P18" s="921">
        <v>-767.61026483885621</v>
      </c>
      <c r="Q18" s="921">
        <v>-873.32938856378769</v>
      </c>
      <c r="R18" s="921">
        <v>-993.60867860373548</v>
      </c>
      <c r="S18" s="921">
        <v>-1122.7778068222201</v>
      </c>
      <c r="T18" s="933">
        <v>-1649.3605982218401</v>
      </c>
      <c r="U18" s="933">
        <v>-1863.7774759906818</v>
      </c>
      <c r="V18" s="933">
        <v>-2087.4307731095637</v>
      </c>
      <c r="W18" s="933">
        <v>-2317.0481581516156</v>
      </c>
      <c r="X18" s="933">
        <v>-2571.9234555482935</v>
      </c>
      <c r="Y18" s="933">
        <v>-2803.3965665476398</v>
      </c>
      <c r="Z18" s="933">
        <v>-3055.7022575369278</v>
      </c>
      <c r="AA18" s="933">
        <v>-3330.715460715252</v>
      </c>
      <c r="AB18" s="921">
        <v>-3630.4798521796247</v>
      </c>
      <c r="AC18" s="933">
        <v>-3957.2230388757912</v>
      </c>
      <c r="AD18" s="429"/>
      <c r="AE18" s="1"/>
      <c r="AF18" s="1"/>
      <c r="AG18" s="1"/>
    </row>
    <row r="19" spans="3:33" ht="12.95" customHeight="1">
      <c r="C19" s="380" t="s">
        <v>9110</v>
      </c>
      <c r="D19" s="1"/>
      <c r="E19" s="364">
        <v>190</v>
      </c>
      <c r="F19" s="364">
        <v>402.39999999999992</v>
      </c>
      <c r="G19" s="364">
        <v>233</v>
      </c>
      <c r="H19" s="364"/>
      <c r="I19" s="921">
        <v>220.72500000000014</v>
      </c>
      <c r="J19" s="921">
        <v>244.26015923384671</v>
      </c>
      <c r="K19" s="921">
        <v>289.08294644485068</v>
      </c>
      <c r="L19" s="921">
        <v>342.3341270059459</v>
      </c>
      <c r="M19" s="921">
        <v>324.3156497584136</v>
      </c>
      <c r="N19" s="921">
        <v>287.14525386017158</v>
      </c>
      <c r="O19" s="921">
        <v>326.692333948064</v>
      </c>
      <c r="P19" s="921">
        <v>371.68603564106093</v>
      </c>
      <c r="Q19" s="921">
        <v>422.87649489972614</v>
      </c>
      <c r="R19" s="921">
        <v>481.11716015979113</v>
      </c>
      <c r="S19" s="921">
        <v>516.67651287394187</v>
      </c>
      <c r="T19" s="933">
        <v>583.84445954755404</v>
      </c>
      <c r="U19" s="933">
        <v>659.74423928873659</v>
      </c>
      <c r="V19" s="933">
        <v>688.16399113502121</v>
      </c>
      <c r="W19" s="933">
        <v>706.51503089862172</v>
      </c>
      <c r="X19" s="933">
        <v>784.23168429747022</v>
      </c>
      <c r="Y19" s="933">
        <v>712.22495692106611</v>
      </c>
      <c r="Z19" s="933">
        <v>776.32520304396314</v>
      </c>
      <c r="AA19" s="933">
        <v>846.19447131791969</v>
      </c>
      <c r="AB19" s="921">
        <v>922.35197373653216</v>
      </c>
      <c r="AC19" s="933">
        <v>1005.3636513728197</v>
      </c>
      <c r="AD19" s="429"/>
      <c r="AE19" s="1"/>
      <c r="AF19" s="1"/>
      <c r="AG19" s="1"/>
    </row>
    <row r="20" spans="3:33">
      <c r="C20" s="926" t="s">
        <v>9111</v>
      </c>
      <c r="D20" s="1"/>
      <c r="E20" s="1"/>
      <c r="F20" s="1"/>
      <c r="G20" s="1"/>
      <c r="H20" s="1"/>
      <c r="I20" s="920">
        <f>I16+I17+I18-I19</f>
        <v>469.07307415759999</v>
      </c>
      <c r="J20" s="920">
        <f t="shared" ref="J20:AC20" si="10">J16+J17+J18-J19</f>
        <v>539.91502896069574</v>
      </c>
      <c r="K20" s="920">
        <f t="shared" si="10"/>
        <v>683.19640605412394</v>
      </c>
      <c r="L20" s="920">
        <f t="shared" si="10"/>
        <v>1177.5996700802702</v>
      </c>
      <c r="M20" s="920">
        <f t="shared" si="10"/>
        <v>1700.4966325744249</v>
      </c>
      <c r="N20" s="920">
        <f t="shared" si="10"/>
        <v>2057.8658385684157</v>
      </c>
      <c r="O20" s="920">
        <f t="shared" si="10"/>
        <v>2327.2656148006349</v>
      </c>
      <c r="P20" s="920">
        <f t="shared" si="10"/>
        <v>2650.3827952345255</v>
      </c>
      <c r="Q20" s="920">
        <f t="shared" si="10"/>
        <v>3043.8436197284218</v>
      </c>
      <c r="R20" s="920">
        <f t="shared" si="10"/>
        <v>3488.9765120840248</v>
      </c>
      <c r="S20" s="920">
        <f t="shared" si="10"/>
        <v>4005.0629229570341</v>
      </c>
      <c r="T20" s="920">
        <f t="shared" si="10"/>
        <v>4100.2815992639989</v>
      </c>
      <c r="U20" s="920">
        <f t="shared" si="10"/>
        <v>4656.1055730539138</v>
      </c>
      <c r="V20" s="920">
        <f t="shared" si="10"/>
        <v>5286.154312793753</v>
      </c>
      <c r="W20" s="920">
        <f t="shared" si="10"/>
        <v>5960.2751069930855</v>
      </c>
      <c r="X20" s="920">
        <f t="shared" si="10"/>
        <v>6619.1165394831141</v>
      </c>
      <c r="Y20" s="920">
        <f t="shared" si="10"/>
        <v>7385.3659099732231</v>
      </c>
      <c r="Z20" s="920">
        <f t="shared" si="10"/>
        <v>8085.8703628902185</v>
      </c>
      <c r="AA20" s="920">
        <f t="shared" si="10"/>
        <v>8858.0588373812843</v>
      </c>
      <c r="AB20" s="920">
        <f t="shared" si="10"/>
        <v>9708.9602813373749</v>
      </c>
      <c r="AC20" s="920">
        <f t="shared" si="10"/>
        <v>7214.2969967034023</v>
      </c>
      <c r="AD20" s="429"/>
      <c r="AE20" s="1"/>
      <c r="AF20" s="1"/>
      <c r="AG20" s="1"/>
    </row>
    <row r="21" spans="3:33" ht="12.95" customHeight="1">
      <c r="D21" s="364"/>
      <c r="E21" s="364"/>
      <c r="F21" s="364"/>
      <c r="G21" s="364"/>
      <c r="H21" s="364"/>
      <c r="I21" s="364"/>
      <c r="J21" s="364"/>
      <c r="K21" s="364"/>
      <c r="L21" s="364"/>
      <c r="M21" s="364"/>
      <c r="N21" s="364"/>
      <c r="O21" s="364"/>
      <c r="P21" s="364"/>
      <c r="Q21" s="364"/>
      <c r="R21" s="364"/>
      <c r="S21" s="364"/>
      <c r="T21" s="364"/>
      <c r="U21" s="1"/>
      <c r="V21" s="1"/>
      <c r="W21" s="1"/>
      <c r="X21" s="1"/>
      <c r="Y21" s="1"/>
      <c r="Z21" s="1"/>
      <c r="AA21" s="1"/>
      <c r="AB21" s="1"/>
      <c r="AC21" s="1"/>
      <c r="AD21" s="1"/>
      <c r="AE21" s="1"/>
      <c r="AF21" s="1"/>
      <c r="AG21" s="1"/>
    </row>
    <row r="22" spans="3:33">
      <c r="C22" t="s">
        <v>9112</v>
      </c>
      <c r="D22" s="429">
        <f>$V$43</f>
        <v>0.10911690000000002</v>
      </c>
      <c r="E22" s="364"/>
      <c r="F22" s="364"/>
      <c r="G22" s="364"/>
      <c r="H22" s="364"/>
      <c r="I22" s="364"/>
      <c r="J22" s="364"/>
      <c r="K22" s="364"/>
      <c r="L22" s="364"/>
      <c r="M22" s="364"/>
      <c r="N22" s="364"/>
      <c r="O22" s="364"/>
      <c r="P22" s="364"/>
      <c r="Q22" s="364"/>
      <c r="R22" s="364"/>
      <c r="S22" s="364"/>
      <c r="T22" s="364"/>
      <c r="U22" s="1"/>
      <c r="V22" s="1"/>
      <c r="W22" s="1"/>
      <c r="X22" s="1"/>
      <c r="Y22" s="1"/>
      <c r="Z22" s="1"/>
      <c r="AA22" s="1"/>
      <c r="AB22" s="1"/>
      <c r="AC22" s="1"/>
      <c r="AD22" s="1"/>
      <c r="AE22" s="1"/>
      <c r="AF22" s="1"/>
      <c r="AG22" s="1"/>
    </row>
    <row r="23" spans="3:33">
      <c r="C23" t="s">
        <v>9047</v>
      </c>
      <c r="D23" s="364"/>
      <c r="E23" s="364"/>
      <c r="F23" s="849"/>
      <c r="G23" s="849"/>
      <c r="H23" s="849"/>
      <c r="I23" s="928">
        <f>1-D22</f>
        <v>0.89088309999999993</v>
      </c>
      <c r="J23" s="928">
        <f t="shared" ref="J23:S23" si="11">I23*(1-$D$22)</f>
        <v>0.7936726978656099</v>
      </c>
      <c r="K23" s="928">
        <f t="shared" si="11"/>
        <v>0.70706959345987785</v>
      </c>
      <c r="L23" s="928">
        <f t="shared" si="11"/>
        <v>0.62991635133727564</v>
      </c>
      <c r="M23" s="928">
        <f t="shared" si="11"/>
        <v>0.56118183182004122</v>
      </c>
      <c r="N23" s="928">
        <f t="shared" si="11"/>
        <v>0.4999474099955169</v>
      </c>
      <c r="O23" s="928">
        <f t="shared" si="11"/>
        <v>0.44539469845377705</v>
      </c>
      <c r="P23" s="928">
        <f t="shared" si="11"/>
        <v>0.39679460968206609</v>
      </c>
      <c r="Q23" s="928">
        <f t="shared" si="11"/>
        <v>0.35349761193684903</v>
      </c>
      <c r="R23" s="928">
        <f t="shared" si="11"/>
        <v>0.31492504836489704</v>
      </c>
      <c r="S23" s="928">
        <f t="shared" si="11"/>
        <v>0.28056140335496937</v>
      </c>
      <c r="T23" s="928">
        <f t="shared" ref="T23:AC23" si="12">S23*(1-$D$22)</f>
        <v>0.24994741276122551</v>
      </c>
      <c r="U23" s="928">
        <f t="shared" si="12"/>
        <v>0.22267392591770013</v>
      </c>
      <c r="V23" s="928">
        <f t="shared" si="12"/>
        <v>0.19837643741073102</v>
      </c>
      <c r="W23" s="928">
        <f t="shared" si="12"/>
        <v>0.17673021552742801</v>
      </c>
      <c r="X23" s="928">
        <f t="shared" si="12"/>
        <v>0.15744596227274318</v>
      </c>
      <c r="Y23" s="928">
        <f t="shared" si="12"/>
        <v>0.14026594695202449</v>
      </c>
      <c r="Z23" s="928">
        <f t="shared" si="12"/>
        <v>0.12496056164505512</v>
      </c>
      <c r="AA23" s="928">
        <f t="shared" si="12"/>
        <v>0.1113252525360878</v>
      </c>
      <c r="AB23" s="928">
        <f t="shared" si="12"/>
        <v>9.9177786087632752E-2</v>
      </c>
      <c r="AC23" s="928">
        <f t="shared" si="12"/>
        <v>8.835581352088713E-2</v>
      </c>
      <c r="AD23" s="1"/>
      <c r="AE23" s="1"/>
      <c r="AF23" s="1"/>
      <c r="AG23" s="1"/>
    </row>
    <row r="24" spans="3:33">
      <c r="D24" s="364"/>
      <c r="E24" s="364"/>
      <c r="F24" s="364"/>
      <c r="G24" s="364"/>
      <c r="H24" s="364"/>
      <c r="I24" s="364"/>
      <c r="J24" s="364"/>
      <c r="K24" s="364"/>
      <c r="L24" s="364"/>
      <c r="M24" s="364"/>
      <c r="N24" s="364"/>
      <c r="O24" s="364"/>
      <c r="P24" s="364"/>
      <c r="Q24" s="364"/>
      <c r="R24" s="364"/>
      <c r="S24" s="364"/>
      <c r="T24" s="364"/>
      <c r="U24" s="1"/>
      <c r="V24" s="1"/>
      <c r="W24" s="1"/>
      <c r="X24" s="1"/>
      <c r="Y24" s="1"/>
      <c r="Z24" s="1"/>
      <c r="AA24" s="1"/>
      <c r="AB24" s="1"/>
      <c r="AC24" s="1"/>
      <c r="AD24" s="1"/>
      <c r="AE24" s="1"/>
      <c r="AF24" s="1"/>
      <c r="AG24" s="1"/>
    </row>
    <row r="25" spans="3:33">
      <c r="C25" s="851" t="s">
        <v>9113</v>
      </c>
      <c r="D25" s="922"/>
      <c r="E25" s="922"/>
      <c r="F25" s="923"/>
      <c r="G25" s="922"/>
      <c r="H25" s="922"/>
      <c r="I25" s="939">
        <f t="shared" ref="I25:S25" si="13">I23*I20</f>
        <v>417.88927443205256</v>
      </c>
      <c r="J25" s="939">
        <f t="shared" si="13"/>
        <v>428.51581765342428</v>
      </c>
      <c r="K25" s="939">
        <f t="shared" si="13"/>
        <v>483.06740508193906</v>
      </c>
      <c r="L25" s="939">
        <f t="shared" si="13"/>
        <v>741.78928751294336</v>
      </c>
      <c r="M25" s="939">
        <f t="shared" si="13"/>
        <v>954.28781527192734</v>
      </c>
      <c r="N25" s="939">
        <f t="shared" si="13"/>
        <v>1028.8246961105319</v>
      </c>
      <c r="O25" s="939">
        <f t="shared" si="13"/>
        <v>1036.5517667259728</v>
      </c>
      <c r="P25" s="939">
        <f t="shared" si="13"/>
        <v>1051.6576067431467</v>
      </c>
      <c r="Q25" s="939">
        <f t="shared" si="13"/>
        <v>1075.9914506832115</v>
      </c>
      <c r="R25" s="939">
        <f t="shared" si="13"/>
        <v>1098.7660968120513</v>
      </c>
      <c r="S25" s="939">
        <f t="shared" si="13"/>
        <v>1123.6660741897811</v>
      </c>
      <c r="T25" s="939">
        <f t="shared" ref="T25:AC25" si="14">T23*T20</f>
        <v>1024.8547773284965</v>
      </c>
      <c r="U25" s="939">
        <f t="shared" si="14"/>
        <v>1036.7933074391979</v>
      </c>
      <c r="V25" s="939">
        <f t="shared" si="14"/>
        <v>1048.6484601753957</v>
      </c>
      <c r="W25" s="939">
        <f t="shared" si="14"/>
        <v>1053.360704261652</v>
      </c>
      <c r="X25" s="939">
        <f t="shared" si="14"/>
        <v>1042.1531729543487</v>
      </c>
      <c r="Y25" s="939">
        <f t="shared" si="14"/>
        <v>1035.9153429495941</v>
      </c>
      <c r="Z25" s="939">
        <f t="shared" si="14"/>
        <v>1010.4149019358673</v>
      </c>
      <c r="AA25" s="939">
        <f t="shared" si="14"/>
        <v>986.12563705099581</v>
      </c>
      <c r="AB25" s="939">
        <f t="shared" si="14"/>
        <v>962.91318591580091</v>
      </c>
      <c r="AC25" s="939">
        <f t="shared" si="14"/>
        <v>637.42508012502185</v>
      </c>
      <c r="AD25" s="940"/>
      <c r="AE25" s="940"/>
      <c r="AF25" s="940"/>
      <c r="AG25" s="1"/>
    </row>
    <row r="27" spans="3:33">
      <c r="D27" s="364"/>
      <c r="E27" s="364"/>
      <c r="F27" s="364"/>
      <c r="G27" s="364"/>
      <c r="H27" s="364"/>
      <c r="I27" s="364"/>
      <c r="J27" s="364"/>
      <c r="K27" s="364"/>
      <c r="L27" s="364"/>
      <c r="M27" s="364"/>
      <c r="N27" s="364"/>
      <c r="O27" s="364"/>
      <c r="P27" s="364"/>
      <c r="Q27" s="364"/>
      <c r="R27" s="364"/>
      <c r="S27" s="364"/>
      <c r="T27" s="364"/>
      <c r="V27" s="846"/>
      <c r="W27" s="846"/>
      <c r="X27" s="846"/>
      <c r="Y27" s="846"/>
      <c r="Z27" s="846"/>
      <c r="AA27" s="846"/>
      <c r="AB27" s="846"/>
      <c r="AC27" s="846"/>
      <c r="AD27" s="846"/>
      <c r="AE27" s="846"/>
      <c r="AF27" s="846"/>
    </row>
    <row r="29" spans="3:33">
      <c r="C29" s="1312" t="s">
        <v>9114</v>
      </c>
      <c r="D29" s="1312"/>
      <c r="E29" s="1312"/>
      <c r="G29" s="1312" t="s">
        <v>9115</v>
      </c>
      <c r="H29" s="1312"/>
      <c r="I29" s="1312"/>
      <c r="J29" s="1312"/>
      <c r="K29" s="1312"/>
      <c r="L29" s="1312"/>
      <c r="N29" s="1306" t="s">
        <v>9116</v>
      </c>
      <c r="O29" s="1306"/>
      <c r="P29" s="1306"/>
      <c r="Q29" s="1306"/>
      <c r="R29" s="1306"/>
      <c r="S29" s="1306"/>
      <c r="U29" s="1309" t="s">
        <v>9117</v>
      </c>
      <c r="V29" s="1309"/>
    </row>
    <row r="30" spans="3:33">
      <c r="C30" s="12" t="s">
        <v>9118</v>
      </c>
      <c r="E30" s="287">
        <f>SUM(I25:AC25)</f>
        <v>19279.611861353354</v>
      </c>
      <c r="G30" s="1307" t="s">
        <v>9119</v>
      </c>
      <c r="H30" s="1307"/>
      <c r="I30" s="1307"/>
      <c r="J30" s="1307"/>
      <c r="K30" s="1307"/>
      <c r="L30" s="287">
        <f>S20</f>
        <v>4005.0629229570341</v>
      </c>
      <c r="N30" s="1308" t="s">
        <v>9114</v>
      </c>
      <c r="O30" s="1308"/>
      <c r="P30" s="1308"/>
      <c r="Q30" s="1308"/>
      <c r="R30" s="1308"/>
      <c r="S30" s="287">
        <f>E40</f>
        <v>25797.330147600362</v>
      </c>
      <c r="U30" s="95" t="s">
        <v>9120</v>
      </c>
      <c r="V30" s="936">
        <v>6.2700000000000006E-2</v>
      </c>
    </row>
    <row r="31" spans="3:33">
      <c r="D31" s="846"/>
      <c r="G31" s="1313" t="s">
        <v>9112</v>
      </c>
      <c r="H31" s="1313"/>
      <c r="I31" s="1313"/>
      <c r="J31" s="1313"/>
      <c r="K31" s="1313"/>
      <c r="L31" s="289">
        <f>D22</f>
        <v>0.10911690000000002</v>
      </c>
      <c r="N31" s="1313" t="s">
        <v>9121</v>
      </c>
      <c r="O31" s="1313"/>
      <c r="P31" s="1313"/>
      <c r="Q31" s="1313"/>
      <c r="R31" s="1313"/>
      <c r="S31" s="941">
        <v>1054</v>
      </c>
      <c r="U31" s="95" t="s">
        <v>9122</v>
      </c>
      <c r="V31" s="937">
        <v>0.21</v>
      </c>
    </row>
    <row r="32" spans="3:33">
      <c r="C32" s="947" t="s">
        <v>9123</v>
      </c>
      <c r="D32" s="918"/>
      <c r="E32" s="918"/>
      <c r="G32" s="1313" t="s">
        <v>9123</v>
      </c>
      <c r="H32" s="1313"/>
      <c r="I32" s="1313"/>
      <c r="J32" s="1313"/>
      <c r="K32" s="1313"/>
      <c r="L32">
        <f>L30*(1+L34)/(L31-L34)</f>
        <v>73766.716942810235</v>
      </c>
      <c r="N32" s="1313" t="s">
        <v>9124</v>
      </c>
      <c r="O32" s="1313"/>
      <c r="P32" s="1313"/>
      <c r="Q32" s="1313"/>
      <c r="R32" s="1313"/>
      <c r="S32">
        <f>0</f>
        <v>0</v>
      </c>
      <c r="U32" s="95" t="s">
        <v>9125</v>
      </c>
      <c r="V32" s="936">
        <v>4.2299999999999997E-2</v>
      </c>
    </row>
    <row r="33" spans="3:22" ht="12.95" customHeight="1">
      <c r="C33" t="s">
        <v>9126</v>
      </c>
      <c r="E33" s="930">
        <f>AC9</f>
        <v>16074.336703188474</v>
      </c>
      <c r="G33" s="1314"/>
      <c r="H33" s="1314"/>
      <c r="I33" s="1314"/>
      <c r="J33" s="1314"/>
      <c r="K33" s="1314"/>
      <c r="N33" s="1313" t="s">
        <v>9127</v>
      </c>
      <c r="O33" s="1313"/>
      <c r="P33" s="1313"/>
      <c r="Q33" s="1313"/>
      <c r="R33" s="1313"/>
      <c r="S33">
        <v>2187</v>
      </c>
      <c r="U33" s="95" t="s">
        <v>9128</v>
      </c>
      <c r="V33" s="95">
        <v>1.1000000000000001</v>
      </c>
    </row>
    <row r="34" spans="3:22">
      <c r="C34" t="s">
        <v>9129</v>
      </c>
      <c r="E34" s="931">
        <f>L37</f>
        <v>5.0898468739029417</v>
      </c>
      <c r="G34" s="1353" t="s">
        <v>9130</v>
      </c>
      <c r="H34" s="1353"/>
      <c r="I34" s="1353"/>
      <c r="J34" s="1353"/>
      <c r="K34" s="1353"/>
      <c r="L34" s="943">
        <v>5.1999999999999998E-2</v>
      </c>
      <c r="N34" s="1313"/>
      <c r="O34" s="1313"/>
      <c r="P34" s="1313"/>
      <c r="Q34" s="1313"/>
      <c r="R34" s="1313"/>
      <c r="S34" s="289"/>
      <c r="U34" s="95" t="s">
        <v>9131</v>
      </c>
      <c r="V34" s="937">
        <v>0.05</v>
      </c>
    </row>
    <row r="35" spans="3:22">
      <c r="C35" s="12" t="s">
        <v>9132</v>
      </c>
      <c r="E35" s="12">
        <f>L32</f>
        <v>73766.716942810235</v>
      </c>
      <c r="G35" s="1314"/>
      <c r="H35" s="1314"/>
      <c r="I35" s="1314"/>
      <c r="J35" s="1314"/>
      <c r="K35" s="1314"/>
      <c r="N35" s="1310" t="s">
        <v>9133</v>
      </c>
      <c r="O35" s="1310"/>
      <c r="P35" s="1310"/>
      <c r="Q35" s="1310"/>
      <c r="R35" s="1310"/>
      <c r="S35" s="942">
        <f>S30-S31-S32+S33</f>
        <v>26930.330147600362</v>
      </c>
      <c r="U35" s="95" t="s">
        <v>9134</v>
      </c>
      <c r="V35" s="936">
        <f>V33*V30+V32</f>
        <v>0.11127000000000001</v>
      </c>
    </row>
    <row r="36" spans="3:22">
      <c r="C36" t="s">
        <v>9047</v>
      </c>
      <c r="E36" s="931">
        <f>AC23</f>
        <v>8.835581352088713E-2</v>
      </c>
      <c r="U36" s="95" t="s">
        <v>9135</v>
      </c>
      <c r="V36" s="95"/>
    </row>
    <row r="37" spans="3:22">
      <c r="C37" s="12" t="s">
        <v>9136</v>
      </c>
      <c r="E37" s="12">
        <f>E35*E36</f>
        <v>6517.7182862470063</v>
      </c>
      <c r="G37" s="12" t="s">
        <v>9137</v>
      </c>
      <c r="L37" s="929">
        <f>L32*(1+L31)/E33</f>
        <v>5.0898468739029417</v>
      </c>
      <c r="N37" s="948" t="s">
        <v>234</v>
      </c>
      <c r="S37">
        <f ca="1">OP!C22</f>
        <v>58622.549120000003</v>
      </c>
      <c r="U37" s="95"/>
      <c r="V37" s="95"/>
    </row>
    <row r="38" spans="3:22">
      <c r="C38" t="s">
        <v>9138</v>
      </c>
      <c r="E38" s="289">
        <f>E37/E40</f>
        <v>0.25265088476038583</v>
      </c>
      <c r="U38" s="1311" t="s">
        <v>9139</v>
      </c>
      <c r="V38" s="1311"/>
    </row>
    <row r="39" spans="3:22">
      <c r="N39" s="1310" t="s">
        <v>9140</v>
      </c>
      <c r="O39" s="1310"/>
      <c r="P39" s="1310"/>
      <c r="Q39" s="1310"/>
      <c r="R39" s="1310"/>
      <c r="S39" s="949">
        <f ca="1">S35/S37-1</f>
        <v>-0.5406148222508349</v>
      </c>
      <c r="U39" s="95" t="s">
        <v>9141</v>
      </c>
      <c r="V39" s="95">
        <v>0.03</v>
      </c>
    </row>
    <row r="40" spans="3:22">
      <c r="C40" s="1310" t="s">
        <v>9114</v>
      </c>
      <c r="D40" s="1310"/>
      <c r="E40" s="942">
        <f>E37+E30</f>
        <v>25797.330147600362</v>
      </c>
      <c r="U40" s="95" t="s">
        <v>9142</v>
      </c>
      <c r="V40" s="95">
        <v>0.97</v>
      </c>
    </row>
    <row r="41" spans="3:22">
      <c r="U41" s="95"/>
      <c r="V41" s="95"/>
    </row>
    <row r="42" spans="3:22">
      <c r="E42" s="846"/>
      <c r="U42" s="95"/>
      <c r="V42" s="95"/>
    </row>
    <row r="43" spans="3:22">
      <c r="E43" s="846"/>
      <c r="U43" s="950" t="s">
        <v>9112</v>
      </c>
      <c r="V43" s="951">
        <f>V39*V34*(1-V31)+V40*V35</f>
        <v>0.10911690000000002</v>
      </c>
    </row>
    <row r="46" spans="3:22" ht="12.95" customHeight="1"/>
    <row r="47" spans="3:22" ht="12.95" customHeight="1"/>
    <row r="48" spans="3:22" ht="12.95" customHeight="1"/>
    <row r="49" ht="12.95" customHeight="1"/>
    <row r="50" ht="12.95" customHeight="1"/>
    <row r="51" ht="12.95" customHeight="1"/>
    <row r="75" spans="4:4">
      <c r="D75" t="e" cm="1">
        <f t="array" ref="D75">D76/'DCF cash flow to the firm'!S39D74-1</f>
        <v>#NAME?</v>
      </c>
    </row>
  </sheetData>
  <mergeCells count="21">
    <mergeCell ref="N35:R35"/>
    <mergeCell ref="C40:D40"/>
    <mergeCell ref="N39:R39"/>
    <mergeCell ref="U38:V38"/>
    <mergeCell ref="C29:E29"/>
    <mergeCell ref="G29:L29"/>
    <mergeCell ref="N31:R31"/>
    <mergeCell ref="N32:R32"/>
    <mergeCell ref="N33:R33"/>
    <mergeCell ref="N34:R34"/>
    <mergeCell ref="G31:K31"/>
    <mergeCell ref="G32:K32"/>
    <mergeCell ref="G33:K33"/>
    <mergeCell ref="G34:K34"/>
    <mergeCell ref="G35:K35"/>
    <mergeCell ref="D5:G5"/>
    <mergeCell ref="N29:S29"/>
    <mergeCell ref="G30:K30"/>
    <mergeCell ref="J5:AC5"/>
    <mergeCell ref="N30:R30"/>
    <mergeCell ref="U29:V2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4465F-F60F-4DA4-8EB4-9D275D264FB2}">
  <dimension ref="B2:AR135"/>
  <sheetViews>
    <sheetView showGridLines="0" topLeftCell="A107" zoomScale="116" zoomScaleNormal="120" workbookViewId="0">
      <selection activeCell="C135" sqref="C135"/>
    </sheetView>
  </sheetViews>
  <sheetFormatPr defaultColWidth="9.140625" defaultRowHeight="12.95"/>
  <cols>
    <col min="1" max="1" width="9.140625" style="622"/>
    <col min="2" max="2" width="37.85546875" style="622" customWidth="1"/>
    <col min="3" max="3" width="23" style="622" customWidth="1"/>
    <col min="4" max="4" width="33.28515625" style="622" customWidth="1"/>
    <col min="5" max="5" width="16.140625" style="622" customWidth="1"/>
    <col min="6" max="6" width="10.85546875" style="622" customWidth="1"/>
    <col min="7" max="7" width="20.28515625" style="622" customWidth="1"/>
    <col min="8" max="8" width="19" style="622" customWidth="1"/>
    <col min="9" max="9" width="15.28515625" style="622" customWidth="1"/>
    <col min="10" max="10" width="23.85546875" style="622" customWidth="1"/>
    <col min="11" max="11" width="15.42578125" style="622" customWidth="1"/>
    <col min="12" max="12" width="16.28515625" style="622" customWidth="1"/>
    <col min="13" max="13" width="16.42578125" style="622" customWidth="1"/>
    <col min="14" max="14" width="20.85546875" style="622" bestFit="1" customWidth="1"/>
    <col min="15" max="15" width="16" style="622" customWidth="1"/>
    <col min="16" max="16" width="16.28515625" style="622" customWidth="1"/>
    <col min="17" max="17" width="25.28515625" style="622" bestFit="1" customWidth="1"/>
    <col min="18" max="18" width="25.85546875" style="622" customWidth="1"/>
    <col min="19" max="19" width="14.85546875" style="622" customWidth="1"/>
    <col min="20" max="20" width="15.7109375" style="622" customWidth="1"/>
    <col min="21" max="21" width="24.140625" style="622" customWidth="1"/>
    <col min="22" max="22" width="9.140625" style="622" customWidth="1"/>
    <col min="23" max="23" width="22.140625" style="622" customWidth="1"/>
    <col min="24" max="24" width="19.42578125" style="622" customWidth="1"/>
    <col min="25" max="25" width="14.28515625" style="622" customWidth="1"/>
    <col min="26" max="26" width="17.85546875" style="622" customWidth="1"/>
    <col min="27" max="35" width="12.28515625" style="622" bestFit="1" customWidth="1"/>
    <col min="36" max="16384" width="9.140625" style="622"/>
  </cols>
  <sheetData>
    <row r="2" spans="2:15" s="621" customFormat="1" ht="12.6" customHeight="1">
      <c r="B2" s="619" t="s">
        <v>9143</v>
      </c>
      <c r="C2" s="620"/>
      <c r="D2" s="618"/>
      <c r="E2" s="618"/>
      <c r="F2" s="618"/>
      <c r="G2" s="618"/>
      <c r="H2" s="618"/>
      <c r="I2" s="618"/>
      <c r="J2" s="618"/>
      <c r="K2" s="618"/>
      <c r="L2" s="618"/>
      <c r="M2" s="618"/>
      <c r="N2" s="618"/>
      <c r="O2" s="618"/>
    </row>
    <row r="3" spans="2:15" ht="12.6" customHeight="1">
      <c r="C3" s="623"/>
    </row>
    <row r="4" spans="2:15">
      <c r="B4" s="622" t="s">
        <v>9144</v>
      </c>
      <c r="F4" s="624"/>
      <c r="G4" s="625"/>
      <c r="H4" s="625"/>
      <c r="I4" s="625"/>
      <c r="J4" s="625"/>
      <c r="K4" s="625"/>
      <c r="L4" s="625"/>
    </row>
    <row r="5" spans="2:15">
      <c r="B5" s="626"/>
      <c r="G5" s="627"/>
      <c r="H5" s="627"/>
      <c r="I5" s="627"/>
      <c r="J5" s="627"/>
      <c r="K5" s="627"/>
      <c r="L5" s="627"/>
    </row>
    <row r="6" spans="2:15">
      <c r="B6" s="622" t="s">
        <v>9145</v>
      </c>
    </row>
    <row r="8" spans="2:15">
      <c r="B8" s="625"/>
      <c r="C8" s="649">
        <v>2022</v>
      </c>
      <c r="D8" s="649">
        <f>C8-1</f>
        <v>2021</v>
      </c>
      <c r="E8" s="649">
        <f t="shared" ref="E8:G8" si="0">D8-1</f>
        <v>2020</v>
      </c>
      <c r="F8" s="649">
        <f t="shared" si="0"/>
        <v>2019</v>
      </c>
      <c r="G8" s="649">
        <f t="shared" si="0"/>
        <v>2018</v>
      </c>
      <c r="I8" s="648" t="s">
        <v>9146</v>
      </c>
      <c r="K8" s="643" t="s">
        <v>9147</v>
      </c>
      <c r="L8" s="643" t="s">
        <v>9148</v>
      </c>
    </row>
    <row r="9" spans="2:15" ht="20.100000000000001" customHeight="1">
      <c r="B9" s="647" t="s">
        <v>9149</v>
      </c>
      <c r="C9" s="289">
        <f>(Inputs!C6-Inputs!D6)/Inputs!D6</f>
        <v>0.32170426665070906</v>
      </c>
      <c r="D9" s="289">
        <f>(Inputs!D6-Inputs!E6)/Inputs!E6</f>
        <v>0.28823620104841186</v>
      </c>
      <c r="E9" s="289">
        <f>(Inputs!E6-Inputs!F6)/Inputs!F6</f>
        <v>0.1994452149791956</v>
      </c>
      <c r="F9" s="289">
        <f>(Inputs!F6-Inputs!G6)/Inputs!G6</f>
        <v>0.20086608927381741</v>
      </c>
      <c r="G9" s="289">
        <f>(Inputs!G6-Inputs!H6)/Inputs!H6</f>
        <v>0.20489664860525783</v>
      </c>
      <c r="H9" s="289"/>
      <c r="I9" s="627">
        <f>AVERAGE(C9:G9)</f>
        <v>0.24302968411147838</v>
      </c>
      <c r="K9" s="805">
        <f>T77</f>
        <v>0.18420727066739617</v>
      </c>
      <c r="L9" s="644">
        <f>U92</f>
        <v>0.13772499999999999</v>
      </c>
    </row>
    <row r="10" spans="2:15" ht="15" customHeight="1">
      <c r="B10" s="647" t="s">
        <v>119</v>
      </c>
      <c r="C10" s="289">
        <f>Inputs!C8/Inputs!C6</f>
        <v>0.21949563091411239</v>
      </c>
      <c r="D10" s="289">
        <f>Inputs!D8/Inputs!D6</f>
        <v>0.19460235772844234</v>
      </c>
      <c r="E10" s="289">
        <f>Inputs!E8/Inputs!E6</f>
        <v>0.20332254085723095</v>
      </c>
      <c r="F10" s="289">
        <f>Inputs!F8/Inputs!F6</f>
        <v>0.16051779935275082</v>
      </c>
      <c r="G10" s="289">
        <f>Inputs!G8/Inputs!G6</f>
        <v>0.12824783477681545</v>
      </c>
      <c r="H10" s="289"/>
      <c r="I10" s="627">
        <f>AVERAGE(C10:G10)</f>
        <v>0.18123723272587039</v>
      </c>
      <c r="K10" s="644"/>
      <c r="L10" s="644"/>
    </row>
    <row r="13" spans="2:15" s="621" customFormat="1" ht="14.1">
      <c r="B13" s="620" t="s">
        <v>9150</v>
      </c>
      <c r="C13" s="620"/>
      <c r="D13" s="618"/>
      <c r="E13" s="618"/>
      <c r="F13" s="618"/>
      <c r="G13" s="618"/>
      <c r="H13" s="618"/>
      <c r="I13" s="618"/>
      <c r="J13" s="618"/>
      <c r="K13" s="618"/>
      <c r="L13" s="618"/>
      <c r="M13" s="618"/>
      <c r="N13" s="618"/>
      <c r="O13" s="618"/>
    </row>
    <row r="14" spans="2:15" ht="14.1">
      <c r="B14" s="646"/>
      <c r="C14" s="646"/>
      <c r="D14" s="645"/>
      <c r="E14" s="645"/>
      <c r="F14" s="645"/>
      <c r="G14" s="645"/>
      <c r="H14" s="645"/>
      <c r="I14" s="645"/>
      <c r="J14" s="645"/>
      <c r="K14" s="645"/>
      <c r="L14" s="645"/>
      <c r="M14" s="645"/>
      <c r="N14" s="645"/>
      <c r="O14" s="645"/>
    </row>
    <row r="15" spans="2:15" ht="15">
      <c r="C15" s="1324" t="s">
        <v>9151</v>
      </c>
      <c r="D15" s="1324"/>
      <c r="E15" s="1324"/>
      <c r="F15" s="1324"/>
      <c r="G15" s="1324"/>
    </row>
    <row r="16" spans="2:15" ht="15">
      <c r="B16" s="628"/>
      <c r="C16" s="642">
        <f>C8</f>
        <v>2022</v>
      </c>
      <c r="D16" s="642">
        <f>D8</f>
        <v>2021</v>
      </c>
      <c r="E16" s="642">
        <f>E8</f>
        <v>2020</v>
      </c>
      <c r="F16" s="642">
        <f>F8</f>
        <v>2019</v>
      </c>
      <c r="G16" s="642">
        <f>G8</f>
        <v>2018</v>
      </c>
      <c r="H16" s="629"/>
      <c r="I16" s="650" t="s">
        <v>9152</v>
      </c>
      <c r="K16" s="622" t="s">
        <v>9153</v>
      </c>
      <c r="L16" s="643" t="s">
        <v>9147</v>
      </c>
      <c r="M16" s="643" t="s">
        <v>9148</v>
      </c>
      <c r="O16" s="622" t="s">
        <v>9154</v>
      </c>
    </row>
    <row r="17" spans="2:13">
      <c r="B17" s="647" t="s">
        <v>9059</v>
      </c>
      <c r="C17" s="630">
        <f>D58</f>
        <v>-6.3529411764705876E-2</v>
      </c>
      <c r="D17" s="630">
        <f t="shared" ref="D17:G17" si="1">E58</f>
        <v>-6.8332642057237672E-2</v>
      </c>
      <c r="E17" s="630">
        <f t="shared" si="1"/>
        <v>-8.2860555389668564E-2</v>
      </c>
      <c r="F17" s="630">
        <f t="shared" si="1"/>
        <v>-9.6461187214611874E-2</v>
      </c>
      <c r="G17" s="630">
        <f t="shared" si="1"/>
        <v>-0.12218733647305077</v>
      </c>
      <c r="I17" s="631">
        <f>AVERAGE(C17:G17)</f>
        <v>-8.6674226579854949E-2</v>
      </c>
      <c r="K17" s="631">
        <f>AVERAGE(D58:O58)</f>
        <v>-0.1439788813462855</v>
      </c>
      <c r="L17" s="805">
        <v>-0.08</v>
      </c>
      <c r="M17" s="805">
        <v>-0.05</v>
      </c>
    </row>
    <row r="18" spans="2:13">
      <c r="B18" s="647" t="s">
        <v>9061</v>
      </c>
      <c r="C18" s="630">
        <f>D64</f>
        <v>-0.1855095541401274</v>
      </c>
      <c r="D18" s="630">
        <f t="shared" ref="D18:G18" si="2">E64</f>
        <v>-0.16045099739809193</v>
      </c>
      <c r="E18" s="630">
        <f t="shared" si="2"/>
        <v>-0.15814506539833534</v>
      </c>
      <c r="F18" s="630">
        <f t="shared" si="2"/>
        <v>-0.15181058495821728</v>
      </c>
      <c r="G18" s="630">
        <f t="shared" si="2"/>
        <v>-0.17341040462427745</v>
      </c>
      <c r="I18" s="631">
        <f>AVERAGE(C18:G18)</f>
        <v>-0.1658653213038099</v>
      </c>
      <c r="K18" s="631">
        <f>AVERAGE(D64:O64)</f>
        <v>-0.17749098912360206</v>
      </c>
      <c r="L18" s="805">
        <v>-0.17</v>
      </c>
      <c r="M18" s="805">
        <v>-0.14000000000000001</v>
      </c>
    </row>
    <row r="19" spans="2:13">
      <c r="B19" s="647" t="s">
        <v>9063</v>
      </c>
      <c r="C19" s="630">
        <f>D70</f>
        <v>4.9757776067369953E-2</v>
      </c>
      <c r="D19" s="630">
        <f t="shared" ref="D19:G19" si="3">E70</f>
        <v>6.3191909520675008E-2</v>
      </c>
      <c r="E19" s="630">
        <f t="shared" si="3"/>
        <v>7.4699352451433859E-2</v>
      </c>
      <c r="F19" s="630">
        <f t="shared" si="3"/>
        <v>8.0743901307856414E-2</v>
      </c>
      <c r="G19" s="630">
        <f t="shared" si="3"/>
        <v>9.0439706862091934E-2</v>
      </c>
      <c r="I19" s="631">
        <f>AVERAGE(C19:G19)</f>
        <v>7.1766529241885424E-2</v>
      </c>
      <c r="K19" s="631">
        <f>AVERAGE(D70:O70)</f>
        <v>7.4255327526082104E-2</v>
      </c>
      <c r="L19" s="805">
        <v>0.05</v>
      </c>
      <c r="M19" s="805">
        <v>0.04</v>
      </c>
    </row>
    <row r="20" spans="2:13" ht="12.6" customHeight="1">
      <c r="B20" s="647" t="s">
        <v>9065</v>
      </c>
      <c r="C20" s="630">
        <f>D47</f>
        <v>3.4680779191532486E-2</v>
      </c>
      <c r="D20" s="630">
        <f>E47</f>
        <v>2.2708970848767919E-2</v>
      </c>
      <c r="E20" s="630">
        <f>F47</f>
        <v>9.8209340963632999E-2</v>
      </c>
      <c r="F20" s="630">
        <f>G47</f>
        <v>0.14532337026539549</v>
      </c>
      <c r="G20" s="630">
        <f>H47</f>
        <v>-0.5217590471827761</v>
      </c>
      <c r="I20" s="631">
        <f>AVERAGE(C20:F20)</f>
        <v>7.5230615317332217E-2</v>
      </c>
      <c r="K20" s="631">
        <f>AVERAGE(D47:O47)</f>
        <v>0.22833480021855176</v>
      </c>
      <c r="L20" s="805">
        <f>I20</f>
        <v>7.5230615317332217E-2</v>
      </c>
      <c r="M20" s="805">
        <f>K20</f>
        <v>0.22833480021855176</v>
      </c>
    </row>
    <row r="21" spans="2:13">
      <c r="B21" s="647" t="s">
        <v>9074</v>
      </c>
      <c r="C21" s="630">
        <f>D77</f>
        <v>0.2167038690476191</v>
      </c>
      <c r="D21" s="630">
        <f t="shared" ref="D21:G21" si="4">E77</f>
        <v>0.53811179459748604</v>
      </c>
      <c r="E21" s="630">
        <f t="shared" si="4"/>
        <v>0.43359196713829273</v>
      </c>
      <c r="F21" s="630">
        <f t="shared" si="4"/>
        <v>0.38929577464788756</v>
      </c>
      <c r="G21" s="630">
        <f t="shared" si="4"/>
        <v>-4.2442050277506091E-3</v>
      </c>
      <c r="I21" s="631">
        <f>AVERAGE(C21:G21)</f>
        <v>0.31469184008070694</v>
      </c>
      <c r="K21" s="631">
        <f>AVERAGE(D77:O77)</f>
        <v>0.50512438331439224</v>
      </c>
      <c r="L21" s="805">
        <v>0.25</v>
      </c>
      <c r="M21" s="805">
        <v>0.2</v>
      </c>
    </row>
    <row r="22" spans="2:13" ht="12.6" customHeight="1">
      <c r="B22" s="647" t="s">
        <v>9155</v>
      </c>
      <c r="C22" s="630">
        <f>D82</f>
        <v>-6.3657355005206681E-2</v>
      </c>
      <c r="D22" s="630">
        <f t="shared" ref="D22:G22" si="5">E82</f>
        <v>-8.853449823469571E-2</v>
      </c>
      <c r="E22" s="630">
        <f t="shared" si="5"/>
        <v>-4.8527597903176074E-2</v>
      </c>
      <c r="F22" s="630">
        <f t="shared" si="5"/>
        <v>-4.2760411835636773E-2</v>
      </c>
      <c r="G22" s="630">
        <f t="shared" si="5"/>
        <v>-2.94248278925161E-2</v>
      </c>
      <c r="I22" s="631">
        <f t="shared" ref="I22:I26" si="6">AVERAGE(C22:G22)</f>
        <v>-5.4580938174246266E-2</v>
      </c>
      <c r="K22" s="631">
        <f>AVERAGE(D82:O82)</f>
        <v>-4.727196705214811E-2</v>
      </c>
      <c r="L22" s="805">
        <f>AVERAGE(D85:G85)</f>
        <v>-6.6364792260907635E-2</v>
      </c>
      <c r="M22" s="805">
        <v>-6.5000000000000002E-2</v>
      </c>
    </row>
    <row r="23" spans="2:13">
      <c r="B23" s="647" t="s">
        <v>9080</v>
      </c>
      <c r="C23" s="630">
        <f>D113</f>
        <v>0.23658713270249468</v>
      </c>
      <c r="D23" s="630">
        <f>E113</f>
        <v>-0.30794087726647124</v>
      </c>
      <c r="E23" s="630">
        <f>F113</f>
        <v>2.0467160037002774E-2</v>
      </c>
      <c r="F23" s="630">
        <f>G113</f>
        <v>-0.19019571468323906</v>
      </c>
      <c r="G23" s="630">
        <f>H113</f>
        <v>-4.5469686875416394E-2</v>
      </c>
      <c r="I23" s="631">
        <f t="shared" si="6"/>
        <v>-5.7310397217125851E-2</v>
      </c>
      <c r="K23" s="734">
        <f>D115</f>
        <v>-9.2206700151809096E-2</v>
      </c>
      <c r="L23" s="805">
        <f>I23</f>
        <v>-5.7310397217125851E-2</v>
      </c>
      <c r="M23" s="805">
        <f>-5.3%</f>
        <v>-5.2999999999999999E-2</v>
      </c>
    </row>
    <row r="24" spans="2:13">
      <c r="B24" s="647" t="s">
        <v>130</v>
      </c>
      <c r="C24" s="630">
        <v>0</v>
      </c>
      <c r="D24" s="630">
        <v>0</v>
      </c>
      <c r="E24" s="630">
        <v>0</v>
      </c>
      <c r="F24" s="630">
        <v>0</v>
      </c>
      <c r="G24" s="630">
        <v>0</v>
      </c>
      <c r="I24" s="631">
        <f t="shared" si="6"/>
        <v>0</v>
      </c>
      <c r="K24" s="734">
        <v>0</v>
      </c>
      <c r="L24" s="805">
        <v>0</v>
      </c>
      <c r="M24" s="805">
        <v>0</v>
      </c>
    </row>
    <row r="25" spans="2:13">
      <c r="B25" s="647" t="s">
        <v>9082</v>
      </c>
      <c r="C25" s="630">
        <f>D91</f>
        <v>2.3224075586142541</v>
      </c>
      <c r="D25" s="630">
        <f t="shared" ref="D25:G25" si="7">E91</f>
        <v>1.2228081740276864</v>
      </c>
      <c r="E25" s="630">
        <f t="shared" si="7"/>
        <v>2.2108495394063459</v>
      </c>
      <c r="F25" s="630">
        <f t="shared" si="7"/>
        <v>0.44697903822441432</v>
      </c>
      <c r="G25" s="630">
        <f t="shared" si="7"/>
        <v>0.58114035087719296</v>
      </c>
      <c r="I25" s="631">
        <f t="shared" si="6"/>
        <v>1.3568369322299787</v>
      </c>
      <c r="K25" s="734">
        <f>AVERAGE(D91:O91)</f>
        <v>2.0797992617593724</v>
      </c>
      <c r="L25" s="805">
        <v>0.67800000000000005</v>
      </c>
      <c r="M25" s="805">
        <v>0.45</v>
      </c>
    </row>
    <row r="26" spans="2:13">
      <c r="B26" s="647" t="s">
        <v>9083</v>
      </c>
      <c r="C26" s="630">
        <v>0</v>
      </c>
      <c r="D26" s="630">
        <v>0</v>
      </c>
      <c r="E26" s="630">
        <v>0</v>
      </c>
      <c r="F26" s="630">
        <v>0</v>
      </c>
      <c r="G26" s="630">
        <v>0</v>
      </c>
      <c r="I26" s="631">
        <f t="shared" si="6"/>
        <v>0</v>
      </c>
      <c r="K26" s="734">
        <v>0</v>
      </c>
      <c r="L26" s="805">
        <v>0</v>
      </c>
      <c r="M26" s="805">
        <v>0</v>
      </c>
    </row>
    <row r="27" spans="2:13">
      <c r="B27" s="647" t="s">
        <v>318</v>
      </c>
      <c r="C27" s="630">
        <f>D108</f>
        <v>1.0113604618679577</v>
      </c>
      <c r="D27" s="630">
        <f>E108</f>
        <v>1.43603701687534</v>
      </c>
      <c r="E27" s="630">
        <f>F108</f>
        <v>8.9049136340768081E-2</v>
      </c>
      <c r="F27" s="630">
        <f>G108</f>
        <v>0.11276908023483366</v>
      </c>
      <c r="G27" s="630">
        <f>H108</f>
        <v>0</v>
      </c>
      <c r="I27" s="631">
        <f>AVERAGE(C27:G27)</f>
        <v>0.52984313906377989</v>
      </c>
      <c r="K27" s="631">
        <f>AVERAGE(D108:O108)</f>
        <v>0.2207679746099083</v>
      </c>
      <c r="L27" s="819">
        <v>0.9</v>
      </c>
      <c r="M27" s="819">
        <v>0.45</v>
      </c>
    </row>
    <row r="30" spans="2:13" s="621" customFormat="1" ht="14.1">
      <c r="B30" s="632" t="s">
        <v>9156</v>
      </c>
    </row>
    <row r="33" spans="2:30">
      <c r="B33" s="647" t="s">
        <v>9067</v>
      </c>
      <c r="T33" s="622" t="s">
        <v>9145</v>
      </c>
      <c r="U33" s="622" t="s">
        <v>9157</v>
      </c>
    </row>
    <row r="34" spans="2:30" ht="12.6" customHeight="1">
      <c r="B34" s="755" t="s">
        <v>9158</v>
      </c>
      <c r="C34" s="752" t="s">
        <v>56</v>
      </c>
      <c r="R34" s="622" t="s">
        <v>9159</v>
      </c>
      <c r="U34" s="622" t="s">
        <v>9160</v>
      </c>
    </row>
    <row r="35" spans="2:30">
      <c r="B35" s="752" t="s">
        <v>9161</v>
      </c>
      <c r="C35" s="753">
        <v>0.02</v>
      </c>
      <c r="U35" s="806" t="s">
        <v>9162</v>
      </c>
    </row>
    <row r="36" spans="2:30">
      <c r="B36" s="755" t="s">
        <v>9163</v>
      </c>
      <c r="C36" s="754">
        <v>4.24E-2</v>
      </c>
      <c r="E36" s="758" t="s">
        <v>9164</v>
      </c>
      <c r="F36" s="754">
        <f>C36+C35</f>
        <v>6.2399999999999997E-2</v>
      </c>
      <c r="R36" s="622" t="s">
        <v>9165</v>
      </c>
      <c r="U36" s="806" t="s">
        <v>9166</v>
      </c>
    </row>
    <row r="37" spans="2:30">
      <c r="B37" s="755" t="s">
        <v>9167</v>
      </c>
      <c r="C37" s="754">
        <v>4.3099999999999999E-2</v>
      </c>
      <c r="E37" s="758" t="s">
        <v>9168</v>
      </c>
      <c r="F37" s="754">
        <f>C37+C35</f>
        <v>6.3100000000000003E-2</v>
      </c>
    </row>
    <row r="38" spans="2:30">
      <c r="R38" s="764" t="s">
        <v>9169</v>
      </c>
      <c r="S38" s="764">
        <v>2022</v>
      </c>
      <c r="T38" s="764">
        <v>2021</v>
      </c>
      <c r="U38" s="764">
        <v>2020</v>
      </c>
      <c r="V38" s="764">
        <v>2019</v>
      </c>
      <c r="W38" s="764">
        <v>2018</v>
      </c>
      <c r="X38" s="764">
        <v>2017</v>
      </c>
      <c r="Y38" s="764">
        <v>2016</v>
      </c>
      <c r="Z38" s="764">
        <v>2015</v>
      </c>
      <c r="AA38" s="764">
        <v>2014</v>
      </c>
      <c r="AB38" s="764">
        <v>2013</v>
      </c>
      <c r="AC38" s="764">
        <v>2012</v>
      </c>
      <c r="AD38" s="764">
        <v>2011</v>
      </c>
    </row>
    <row r="39" spans="2:30" ht="12.6" customHeight="1">
      <c r="B39" s="755" t="s">
        <v>9170</v>
      </c>
      <c r="C39" s="757" t="s">
        <v>9171</v>
      </c>
      <c r="R39" s="752" t="s">
        <v>9172</v>
      </c>
      <c r="S39" s="752">
        <v>4417.3999999999996</v>
      </c>
      <c r="T39" s="752">
        <v>3342.2</v>
      </c>
      <c r="U39" s="752">
        <v>2594.4</v>
      </c>
      <c r="V39" s="752">
        <v>2156.1999999999998</v>
      </c>
      <c r="W39" s="752">
        <v>1801.2</v>
      </c>
      <c r="X39" s="752">
        <v>1494.9</v>
      </c>
      <c r="Y39" s="752">
        <v>1275.4000000000001</v>
      </c>
      <c r="Z39" s="752">
        <v>1009.3</v>
      </c>
      <c r="AA39" s="752">
        <v>770.4</v>
      </c>
      <c r="AB39" s="752">
        <v>615.29999999999995</v>
      </c>
      <c r="AC39" s="752">
        <v>533.6</v>
      </c>
      <c r="AD39" s="752">
        <v>433.6</v>
      </c>
    </row>
    <row r="40" spans="2:30">
      <c r="B40" s="752" t="s">
        <v>9173</v>
      </c>
      <c r="C40" s="756">
        <v>5.9612420000000004</v>
      </c>
    </row>
    <row r="41" spans="2:30">
      <c r="B41" s="752" t="s">
        <v>9174</v>
      </c>
      <c r="C41" s="756">
        <v>6.0930010000000001</v>
      </c>
      <c r="U41" s="622" t="s">
        <v>9175</v>
      </c>
    </row>
    <row r="42" spans="2:30" ht="12.75" customHeight="1">
      <c r="R42" s="1330" t="s">
        <v>9176</v>
      </c>
      <c r="S42" s="1330"/>
      <c r="U42" s="1329" t="s">
        <v>9177</v>
      </c>
      <c r="V42" s="1330"/>
      <c r="W42" s="1329" t="s">
        <v>9178</v>
      </c>
      <c r="X42" s="1330"/>
    </row>
    <row r="43" spans="2:30">
      <c r="R43" s="790" t="s">
        <v>9179</v>
      </c>
      <c r="S43" s="791">
        <f>AVERAGE(Inputs!C1:M1)</f>
        <v>0.23607349308562445</v>
      </c>
      <c r="U43" s="790" t="s">
        <v>9180</v>
      </c>
      <c r="V43" s="792">
        <v>0.20100000000000001</v>
      </c>
      <c r="W43" s="1331">
        <f>(S39/X39)^(1/5)-1</f>
        <v>0.24196946088403037</v>
      </c>
      <c r="X43" s="1331"/>
    </row>
    <row r="44" spans="2:30">
      <c r="B44" s="1316" t="s">
        <v>9181</v>
      </c>
      <c r="C44" s="1316"/>
      <c r="D44" s="764">
        <v>2022</v>
      </c>
      <c r="E44" s="764">
        <v>2021</v>
      </c>
      <c r="F44" s="764">
        <v>2020</v>
      </c>
      <c r="G44" s="764">
        <v>2019</v>
      </c>
      <c r="H44" s="764">
        <v>2018</v>
      </c>
      <c r="I44" s="764">
        <v>2017</v>
      </c>
      <c r="J44" s="764">
        <v>2016</v>
      </c>
      <c r="K44" s="764">
        <v>2015</v>
      </c>
      <c r="L44" s="764">
        <v>2014</v>
      </c>
      <c r="M44" s="764">
        <v>2013</v>
      </c>
      <c r="N44" s="764">
        <v>2012</v>
      </c>
      <c r="O44" s="764">
        <v>2011</v>
      </c>
      <c r="R44" s="752" t="s">
        <v>9182</v>
      </c>
      <c r="S44" s="792">
        <f>AVERAGE(C9:E9)</f>
        <v>0.26979522755943885</v>
      </c>
    </row>
    <row r="45" spans="2:30">
      <c r="B45" s="1327" t="s">
        <v>9183</v>
      </c>
      <c r="C45" s="1328"/>
      <c r="D45" s="767">
        <f>DCF!F15</f>
        <v>888.1</v>
      </c>
      <c r="E45" s="759">
        <f>DCF!E15</f>
        <v>620.9</v>
      </c>
      <c r="F45" s="767">
        <f>DCF!D15</f>
        <v>541.70000000000005</v>
      </c>
      <c r="G45" s="767">
        <f>'Fin. Data'!F11+'Fin. Data'!F14+'Fin. Data'!F15</f>
        <v>388.1</v>
      </c>
      <c r="H45" s="767">
        <f>'Fin. Data'!G11+'Fin. Data'!G14+'Fin. Data'!G15</f>
        <v>218.29999999999998</v>
      </c>
      <c r="I45" s="767">
        <f>'Fin. Data'!H11+'Fin. Data'!H14+'Fin. Data'!H15</f>
        <v>60.9</v>
      </c>
      <c r="J45" s="767">
        <f>'Fin. Data'!I11+'Fin. Data'!I14+'Fin. Data'!I15</f>
        <v>43.099999999999994</v>
      </c>
      <c r="K45" s="767">
        <f>'Fin. Data'!J11+'Fin. Data'!J14+'Fin. Data'!J15</f>
        <v>17</v>
      </c>
      <c r="L45" s="767">
        <f>'Fin. Data'!K11+'Fin. Data'!K14+'Fin. Data'!K15</f>
        <v>61.5</v>
      </c>
      <c r="M45" s="767">
        <f>'Fin. Data'!L11+'Fin. Data'!L14+'Fin. Data'!L15</f>
        <v>75.899999999999991</v>
      </c>
      <c r="N45" s="767">
        <f>'Fin. Data'!M11+'Fin. Data'!M14+'Fin. Data'!M15</f>
        <v>105</v>
      </c>
      <c r="O45" s="767">
        <f>'Fin. Data'!N11+'Fin. Data'!N14+'Fin. Data'!N15</f>
        <v>92</v>
      </c>
      <c r="R45" s="790" t="s">
        <v>9184</v>
      </c>
      <c r="S45" s="792">
        <f>I9</f>
        <v>0.24302968411147838</v>
      </c>
    </row>
    <row r="46" spans="2:30">
      <c r="B46" s="761" t="s">
        <v>9185</v>
      </c>
      <c r="C46" s="762"/>
      <c r="D46" s="760">
        <v>-30.8</v>
      </c>
      <c r="E46" s="760">
        <v>-14.1</v>
      </c>
      <c r="F46" s="760">
        <v>-53.2</v>
      </c>
      <c r="G46" s="760">
        <v>-56.4</v>
      </c>
      <c r="H46" s="760">
        <v>113.9</v>
      </c>
      <c r="I46" s="760">
        <v>-29.5</v>
      </c>
      <c r="J46" s="760">
        <v>-11</v>
      </c>
      <c r="K46" s="760">
        <v>-9</v>
      </c>
      <c r="L46" s="760">
        <v>-36.200000000000003</v>
      </c>
      <c r="M46" s="760">
        <v>-31.7</v>
      </c>
      <c r="N46" s="760">
        <v>-38.200000000000003</v>
      </c>
      <c r="O46" s="760">
        <v>-29.6</v>
      </c>
      <c r="R46" s="790" t="s">
        <v>9186</v>
      </c>
      <c r="S46" s="791">
        <f>AVERAGE(Inputs!F1:M1)</f>
        <v>0.22342784265794408</v>
      </c>
    </row>
    <row r="47" spans="2:30">
      <c r="B47" s="1327" t="s">
        <v>9187</v>
      </c>
      <c r="C47" s="1328"/>
      <c r="D47" s="765">
        <f>-D46/D45</f>
        <v>3.4680779191532486E-2</v>
      </c>
      <c r="E47" s="763">
        <f t="shared" ref="E47:O47" si="8">-E46/E45</f>
        <v>2.2708970848767919E-2</v>
      </c>
      <c r="F47" s="763">
        <f t="shared" si="8"/>
        <v>9.8209340963632999E-2</v>
      </c>
      <c r="G47" s="763">
        <f t="shared" si="8"/>
        <v>0.14532337026539549</v>
      </c>
      <c r="H47" s="763">
        <f t="shared" si="8"/>
        <v>-0.5217590471827761</v>
      </c>
      <c r="I47" s="763">
        <f t="shared" si="8"/>
        <v>0.48440065681444994</v>
      </c>
      <c r="J47" s="763">
        <f t="shared" si="8"/>
        <v>0.25522041763341069</v>
      </c>
      <c r="K47" s="763">
        <f t="shared" si="8"/>
        <v>0.52941176470588236</v>
      </c>
      <c r="L47" s="763">
        <f t="shared" si="8"/>
        <v>0.58861788617886179</v>
      </c>
      <c r="M47" s="763">
        <f t="shared" si="8"/>
        <v>0.4176548089591568</v>
      </c>
      <c r="N47" s="763">
        <f t="shared" si="8"/>
        <v>0.36380952380952386</v>
      </c>
      <c r="O47" s="763">
        <f t="shared" si="8"/>
        <v>0.32173913043478264</v>
      </c>
      <c r="R47" s="754" t="s">
        <v>9188</v>
      </c>
      <c r="S47" s="792">
        <f>(S39/W39)^(1/4)-1</f>
        <v>0.25141454133479235</v>
      </c>
    </row>
    <row r="48" spans="2:30">
      <c r="B48" s="631"/>
      <c r="C48" s="631"/>
      <c r="D48" s="631"/>
      <c r="E48" s="631"/>
      <c r="R48" s="754" t="s">
        <v>9189</v>
      </c>
      <c r="S48" s="792">
        <f>(S39/AD39)^(1/11)-1</f>
        <v>0.23493302503728142</v>
      </c>
    </row>
    <row r="50" spans="2:24">
      <c r="D50" s="734"/>
      <c r="E50" s="734"/>
      <c r="F50" s="734"/>
      <c r="G50" s="734"/>
      <c r="R50" s="764" t="s">
        <v>9190</v>
      </c>
      <c r="S50" s="764" t="s">
        <v>9191</v>
      </c>
    </row>
    <row r="51" spans="2:24">
      <c r="B51" s="764" t="s">
        <v>9192</v>
      </c>
      <c r="C51" s="766">
        <v>45270</v>
      </c>
      <c r="D51" s="816"/>
      <c r="E51" s="816"/>
      <c r="F51" s="816"/>
      <c r="G51" s="816"/>
      <c r="R51" s="790" t="s">
        <v>9193</v>
      </c>
      <c r="S51" s="796">
        <v>0.7</v>
      </c>
    </row>
    <row r="52" spans="2:24">
      <c r="B52" s="752" t="s">
        <v>9194</v>
      </c>
      <c r="C52" s="779">
        <v>4.2299999999999997E-2</v>
      </c>
      <c r="D52" s="816"/>
      <c r="E52" s="816"/>
      <c r="F52" s="816"/>
      <c r="G52" s="816"/>
      <c r="R52" s="790" t="s">
        <v>9195</v>
      </c>
      <c r="S52" s="796">
        <v>0.1</v>
      </c>
    </row>
    <row r="53" spans="2:24">
      <c r="R53" s="752" t="s">
        <v>9196</v>
      </c>
      <c r="S53" s="796">
        <v>0.2</v>
      </c>
    </row>
    <row r="54" spans="2:24">
      <c r="B54" s="625"/>
      <c r="C54" s="625"/>
    </row>
    <row r="55" spans="2:24">
      <c r="B55" s="1316" t="s">
        <v>9059</v>
      </c>
      <c r="C55" s="1316"/>
      <c r="D55" s="764">
        <v>2022</v>
      </c>
      <c r="E55" s="764">
        <v>2021</v>
      </c>
      <c r="F55" s="764">
        <v>2020</v>
      </c>
      <c r="G55" s="764">
        <v>2019</v>
      </c>
      <c r="H55" s="764">
        <v>2018</v>
      </c>
      <c r="I55" s="764">
        <v>2017</v>
      </c>
      <c r="J55" s="764">
        <v>2016</v>
      </c>
      <c r="K55" s="764">
        <v>2015</v>
      </c>
      <c r="L55" s="764">
        <v>2014</v>
      </c>
      <c r="M55" s="764">
        <v>2013</v>
      </c>
      <c r="N55" s="764">
        <v>2012</v>
      </c>
      <c r="O55" s="764">
        <v>2011</v>
      </c>
      <c r="R55" s="1329" t="s">
        <v>9197</v>
      </c>
      <c r="S55" s="1329"/>
      <c r="T55" s="794">
        <v>2023</v>
      </c>
      <c r="U55" s="794">
        <v>2027</v>
      </c>
      <c r="V55" s="794" t="s">
        <v>9098</v>
      </c>
      <c r="W55" s="1329" t="s">
        <v>9198</v>
      </c>
      <c r="X55" s="1329"/>
    </row>
    <row r="56" spans="2:24" ht="15.95">
      <c r="B56" s="1325" t="s">
        <v>9199</v>
      </c>
      <c r="C56" s="1326"/>
      <c r="D56" s="752">
        <v>-81</v>
      </c>
      <c r="E56" s="752">
        <v>-65.900000000000006</v>
      </c>
      <c r="F56" s="752">
        <v>-55.5</v>
      </c>
      <c r="G56" s="752">
        <v>-50.7</v>
      </c>
      <c r="H56" s="752">
        <v>-46.7</v>
      </c>
      <c r="I56" s="752">
        <v>-46.9</v>
      </c>
      <c r="J56" s="752">
        <v>-39.200000000000003</v>
      </c>
      <c r="K56" s="752">
        <v>-28.4</v>
      </c>
      <c r="L56" s="752">
        <v>-20.5</v>
      </c>
      <c r="M56" s="752">
        <v>-14.1</v>
      </c>
      <c r="N56" s="752">
        <v>-10.6</v>
      </c>
      <c r="O56" s="752">
        <v>-7</v>
      </c>
      <c r="R56" s="1321" t="s">
        <v>9193</v>
      </c>
      <c r="S56" s="1322"/>
      <c r="T56" s="790">
        <v>62000</v>
      </c>
      <c r="U56" s="790">
        <f>T56*(1+V56)</f>
        <v>67580</v>
      </c>
      <c r="V56" s="796">
        <v>0.09</v>
      </c>
      <c r="W56" s="1323">
        <f>V56*S51</f>
        <v>6.3E-2</v>
      </c>
      <c r="X56" s="1323"/>
    </row>
    <row r="57" spans="2:24">
      <c r="B57" s="1332" t="s">
        <v>9200</v>
      </c>
      <c r="C57" s="1332"/>
      <c r="D57" s="752">
        <v>1275</v>
      </c>
      <c r="E57" s="752">
        <v>964.4</v>
      </c>
      <c r="F57" s="752">
        <v>669.8</v>
      </c>
      <c r="G57" s="752">
        <v>525.6</v>
      </c>
      <c r="H57" s="752">
        <v>382.2</v>
      </c>
      <c r="I57" s="752">
        <v>340.6</v>
      </c>
      <c r="J57" s="752">
        <v>207.7</v>
      </c>
      <c r="K57" s="752">
        <v>140.1</v>
      </c>
      <c r="L57" s="752">
        <v>114.4</v>
      </c>
      <c r="M57" s="752">
        <v>78.5</v>
      </c>
      <c r="N57" s="752">
        <v>56.9</v>
      </c>
      <c r="O57" s="752">
        <v>31.8</v>
      </c>
      <c r="R57" s="1321" t="s">
        <v>9195</v>
      </c>
      <c r="S57" s="1322"/>
      <c r="T57" s="790">
        <v>46000</v>
      </c>
      <c r="U57" s="790">
        <f>T57*(1+V57)</f>
        <v>52440.000000000007</v>
      </c>
      <c r="V57" s="796">
        <v>0.14000000000000001</v>
      </c>
      <c r="W57" s="1323">
        <f>V57*S52</f>
        <v>1.4000000000000002E-2</v>
      </c>
      <c r="X57" s="1323"/>
    </row>
    <row r="58" spans="2:24">
      <c r="B58" s="1332" t="s">
        <v>9201</v>
      </c>
      <c r="C58" s="1332"/>
      <c r="D58" s="763">
        <f>D56/D57</f>
        <v>-6.3529411764705876E-2</v>
      </c>
      <c r="E58" s="763">
        <f t="shared" ref="E58:O58" si="9">E56/E57</f>
        <v>-6.8332642057237672E-2</v>
      </c>
      <c r="F58" s="763">
        <f t="shared" si="9"/>
        <v>-8.2860555389668564E-2</v>
      </c>
      <c r="G58" s="763">
        <f t="shared" si="9"/>
        <v>-9.6461187214611874E-2</v>
      </c>
      <c r="H58" s="763">
        <f t="shared" si="9"/>
        <v>-0.12218733647305077</v>
      </c>
      <c r="I58" s="763">
        <f t="shared" si="9"/>
        <v>-0.13769817968291248</v>
      </c>
      <c r="J58" s="763">
        <f t="shared" si="9"/>
        <v>-0.18873375060182959</v>
      </c>
      <c r="K58" s="763">
        <f t="shared" si="9"/>
        <v>-0.20271234832262669</v>
      </c>
      <c r="L58" s="763">
        <f t="shared" si="9"/>
        <v>-0.17919580419580419</v>
      </c>
      <c r="M58" s="763">
        <f t="shared" si="9"/>
        <v>-0.17961783439490445</v>
      </c>
      <c r="N58" s="763">
        <f t="shared" si="9"/>
        <v>-0.18629173989455183</v>
      </c>
      <c r="O58" s="763">
        <f t="shared" si="9"/>
        <v>-0.22012578616352202</v>
      </c>
      <c r="R58" s="1317" t="s">
        <v>9202</v>
      </c>
      <c r="S58" s="1322"/>
      <c r="T58" s="790">
        <v>17000</v>
      </c>
      <c r="U58" s="790">
        <f>T58*(1+V58)</f>
        <v>20400</v>
      </c>
      <c r="V58" s="796">
        <v>0.2</v>
      </c>
      <c r="W58" s="1323">
        <f>V58*S53</f>
        <v>4.0000000000000008E-2</v>
      </c>
      <c r="X58" s="1323"/>
    </row>
    <row r="59" spans="2:24" ht="14.1" customHeight="1">
      <c r="R59" s="1321" t="s">
        <v>9056</v>
      </c>
      <c r="S59" s="1322"/>
      <c r="T59" s="790">
        <f>SUM(T56:T58)</f>
        <v>125000</v>
      </c>
      <c r="U59" s="790">
        <f>SUM(U56:U58)</f>
        <v>140420</v>
      </c>
      <c r="V59" s="796">
        <f>SUM(V56:V58)</f>
        <v>0.43000000000000005</v>
      </c>
      <c r="W59" s="1320">
        <f>SUM(W56:W58)</f>
        <v>0.11700000000000001</v>
      </c>
      <c r="X59" s="1320"/>
    </row>
    <row r="61" spans="2:24">
      <c r="B61" s="1316" t="s">
        <v>9061</v>
      </c>
      <c r="C61" s="1316"/>
      <c r="D61" s="764">
        <v>2022</v>
      </c>
      <c r="E61" s="764">
        <v>2021</v>
      </c>
      <c r="F61" s="764">
        <v>2020</v>
      </c>
      <c r="G61" s="764">
        <v>2019</v>
      </c>
      <c r="H61" s="764">
        <v>2018</v>
      </c>
      <c r="I61" s="764">
        <v>2017</v>
      </c>
      <c r="J61" s="764">
        <v>2016</v>
      </c>
      <c r="K61" s="764">
        <v>2015</v>
      </c>
      <c r="L61" s="764">
        <v>2014</v>
      </c>
      <c r="M61" s="764">
        <v>2013</v>
      </c>
      <c r="N61" s="764">
        <v>2012</v>
      </c>
      <c r="O61" s="764">
        <v>2011</v>
      </c>
      <c r="R61" s="793"/>
    </row>
    <row r="62" spans="2:24">
      <c r="B62" s="1315" t="s">
        <v>9203</v>
      </c>
      <c r="C62" s="1315"/>
      <c r="D62" s="752">
        <v>-23.3</v>
      </c>
      <c r="E62" s="752">
        <v>-18.5</v>
      </c>
      <c r="F62" s="752">
        <v>-13.3</v>
      </c>
      <c r="G62" s="752">
        <v>-10.9</v>
      </c>
      <c r="H62" s="752">
        <v>-9</v>
      </c>
      <c r="I62" s="752">
        <v>-8.6</v>
      </c>
      <c r="J62" s="752">
        <v>-9.3000000000000007</v>
      </c>
      <c r="K62" s="752">
        <v>-3.2</v>
      </c>
      <c r="L62" s="752">
        <v>-1.5</v>
      </c>
      <c r="M62" s="752">
        <v>-1.6</v>
      </c>
      <c r="N62" s="752">
        <v>-1</v>
      </c>
      <c r="O62" s="752">
        <v>0</v>
      </c>
      <c r="R62" s="793"/>
    </row>
    <row r="63" spans="2:24">
      <c r="B63" s="1315" t="s">
        <v>9204</v>
      </c>
      <c r="C63" s="1315"/>
      <c r="D63" s="752">
        <v>125.6</v>
      </c>
      <c r="E63" s="752">
        <v>115.3</v>
      </c>
      <c r="F63" s="752">
        <v>84.1</v>
      </c>
      <c r="G63" s="752">
        <v>71.8</v>
      </c>
      <c r="H63" s="752">
        <v>51.9</v>
      </c>
      <c r="I63" s="752">
        <v>38.5</v>
      </c>
      <c r="J63" s="752">
        <v>38.5</v>
      </c>
      <c r="K63" s="752">
        <v>23.6</v>
      </c>
      <c r="L63" s="752">
        <v>6.1</v>
      </c>
      <c r="M63" s="752">
        <v>9.5</v>
      </c>
      <c r="N63" s="752">
        <v>3.5</v>
      </c>
      <c r="O63" s="752">
        <v>0</v>
      </c>
    </row>
    <row r="64" spans="2:24">
      <c r="B64" s="1315" t="s">
        <v>9205</v>
      </c>
      <c r="C64" s="1315"/>
      <c r="D64" s="763">
        <f>D62/D63</f>
        <v>-0.1855095541401274</v>
      </c>
      <c r="E64" s="763">
        <f t="shared" ref="E64:N64" si="10">E62/E63</f>
        <v>-0.16045099739809193</v>
      </c>
      <c r="F64" s="763">
        <f t="shared" si="10"/>
        <v>-0.15814506539833534</v>
      </c>
      <c r="G64" s="763">
        <f t="shared" si="10"/>
        <v>-0.15181058495821728</v>
      </c>
      <c r="H64" s="763">
        <f t="shared" si="10"/>
        <v>-0.17341040462427745</v>
      </c>
      <c r="I64" s="763">
        <f t="shared" si="10"/>
        <v>-0.22337662337662337</v>
      </c>
      <c r="J64" s="763">
        <f t="shared" si="10"/>
        <v>-0.24155844155844158</v>
      </c>
      <c r="K64" s="763">
        <f t="shared" si="10"/>
        <v>-0.13559322033898305</v>
      </c>
      <c r="L64" s="763">
        <f t="shared" si="10"/>
        <v>-0.24590163934426232</v>
      </c>
      <c r="M64" s="763">
        <f t="shared" si="10"/>
        <v>-0.16842105263157894</v>
      </c>
      <c r="N64" s="763">
        <f t="shared" si="10"/>
        <v>-0.2857142857142857</v>
      </c>
      <c r="O64" s="763">
        <v>0</v>
      </c>
    </row>
    <row r="67" spans="2:25">
      <c r="B67" s="1316" t="s">
        <v>9206</v>
      </c>
      <c r="C67" s="1316"/>
      <c r="D67" s="764">
        <v>2022</v>
      </c>
      <c r="E67" s="764">
        <v>2021</v>
      </c>
      <c r="F67" s="764">
        <v>2020</v>
      </c>
      <c r="G67" s="764">
        <v>2019</v>
      </c>
      <c r="H67" s="764">
        <v>2018</v>
      </c>
      <c r="I67" s="764">
        <v>2017</v>
      </c>
      <c r="J67" s="764">
        <v>2016</v>
      </c>
      <c r="K67" s="764">
        <v>2015</v>
      </c>
      <c r="L67" s="764">
        <v>2014</v>
      </c>
      <c r="M67" s="764">
        <v>2013</v>
      </c>
      <c r="N67" s="764">
        <v>2012</v>
      </c>
      <c r="O67" s="764">
        <v>2011</v>
      </c>
    </row>
    <row r="68" spans="2:25">
      <c r="B68" s="1315" t="s">
        <v>9207</v>
      </c>
      <c r="C68" s="1315"/>
      <c r="D68" s="752">
        <v>219.8</v>
      </c>
      <c r="E68" s="752">
        <v>211.2</v>
      </c>
      <c r="F68" s="752">
        <v>193.8</v>
      </c>
      <c r="G68" s="752">
        <v>174.1</v>
      </c>
      <c r="H68" s="752">
        <v>162.9</v>
      </c>
      <c r="I68" s="752">
        <v>137.19999999999999</v>
      </c>
      <c r="J68" s="752">
        <v>122.4</v>
      </c>
      <c r="K68" s="752">
        <v>95.1</v>
      </c>
      <c r="L68" s="752">
        <v>59</v>
      </c>
      <c r="M68" s="752">
        <v>44.5</v>
      </c>
      <c r="N68" s="752">
        <v>30.7</v>
      </c>
      <c r="O68" s="752">
        <v>19</v>
      </c>
      <c r="W68" s="1319"/>
      <c r="X68" s="1319"/>
      <c r="Y68" s="734"/>
    </row>
    <row r="69" spans="2:25">
      <c r="B69" s="1315" t="s">
        <v>9172</v>
      </c>
      <c r="C69" s="1315"/>
      <c r="D69" s="752">
        <v>4417.3999999999996</v>
      </c>
      <c r="E69" s="752">
        <v>3342.2</v>
      </c>
      <c r="F69" s="752">
        <v>2594.4</v>
      </c>
      <c r="G69" s="752">
        <v>2156.1999999999998</v>
      </c>
      <c r="H69" s="752">
        <v>1801.2</v>
      </c>
      <c r="I69" s="752">
        <v>1494.9</v>
      </c>
      <c r="J69" s="752">
        <v>1275.4000000000001</v>
      </c>
      <c r="K69" s="752">
        <v>1009.3</v>
      </c>
      <c r="L69" s="752">
        <v>770.4</v>
      </c>
      <c r="M69" s="752">
        <v>615.29999999999995</v>
      </c>
      <c r="N69" s="752">
        <v>533.6</v>
      </c>
      <c r="O69" s="752">
        <v>433.6</v>
      </c>
    </row>
    <row r="70" spans="2:25">
      <c r="B70" s="1315" t="s">
        <v>9208</v>
      </c>
      <c r="C70" s="1315" t="s">
        <v>9208</v>
      </c>
      <c r="D70" s="763">
        <f>D68/D69</f>
        <v>4.9757776067369953E-2</v>
      </c>
      <c r="E70" s="763">
        <f t="shared" ref="E70:O70" si="11">E68/E69</f>
        <v>6.3191909520675008E-2</v>
      </c>
      <c r="F70" s="763">
        <f t="shared" si="11"/>
        <v>7.4699352451433859E-2</v>
      </c>
      <c r="G70" s="763">
        <f t="shared" si="11"/>
        <v>8.0743901307856414E-2</v>
      </c>
      <c r="H70" s="763">
        <f t="shared" si="11"/>
        <v>9.0439706862091934E-2</v>
      </c>
      <c r="I70" s="763">
        <f t="shared" si="11"/>
        <v>9.1778714295270569E-2</v>
      </c>
      <c r="J70" s="763">
        <f t="shared" si="11"/>
        <v>9.5969891798651397E-2</v>
      </c>
      <c r="K70" s="763">
        <f t="shared" si="11"/>
        <v>9.422371940949173E-2</v>
      </c>
      <c r="L70" s="763">
        <f t="shared" si="11"/>
        <v>7.6583592938733125E-2</v>
      </c>
      <c r="M70" s="763">
        <f t="shared" si="11"/>
        <v>7.232244433609622E-2</v>
      </c>
      <c r="N70" s="763">
        <f t="shared" si="11"/>
        <v>5.7533733133433282E-2</v>
      </c>
      <c r="O70" s="763">
        <f t="shared" si="11"/>
        <v>4.3819188191881915E-2</v>
      </c>
      <c r="X70" s="631"/>
    </row>
    <row r="72" spans="2:25">
      <c r="X72" s="631"/>
    </row>
    <row r="73" spans="2:25">
      <c r="B73" s="1333" t="s">
        <v>9209</v>
      </c>
      <c r="C73" s="1333"/>
      <c r="D73" s="764">
        <v>2022</v>
      </c>
      <c r="E73" s="764">
        <v>2021</v>
      </c>
      <c r="F73" s="764">
        <v>2020</v>
      </c>
      <c r="G73" s="764">
        <v>2019</v>
      </c>
      <c r="H73" s="764">
        <v>2018</v>
      </c>
      <c r="I73" s="764">
        <v>2017</v>
      </c>
      <c r="J73" s="764">
        <v>2016</v>
      </c>
      <c r="K73" s="764">
        <v>2015</v>
      </c>
      <c r="L73" s="764">
        <v>2014</v>
      </c>
      <c r="M73" s="764">
        <v>2013</v>
      </c>
      <c r="N73" s="764">
        <v>2012</v>
      </c>
      <c r="O73" s="764">
        <v>2011</v>
      </c>
      <c r="X73" s="631"/>
    </row>
    <row r="74" spans="2:25">
      <c r="B74" s="1315" t="s">
        <v>9172</v>
      </c>
      <c r="C74" s="1315"/>
      <c r="D74" s="752">
        <v>4417.3999999999996</v>
      </c>
      <c r="E74" s="752">
        <v>3342.2</v>
      </c>
      <c r="F74" s="752">
        <v>2594.4</v>
      </c>
      <c r="G74" s="752">
        <v>2156.1999999999998</v>
      </c>
      <c r="H74" s="752">
        <v>1801.2</v>
      </c>
      <c r="I74" s="752">
        <v>1494.9</v>
      </c>
      <c r="J74" s="752">
        <v>1275.4000000000001</v>
      </c>
      <c r="K74" s="752">
        <v>1009.3</v>
      </c>
      <c r="L74" s="752">
        <v>770.4</v>
      </c>
      <c r="M74" s="752">
        <v>615.29999999999995</v>
      </c>
      <c r="N74" s="752">
        <v>533.6</v>
      </c>
      <c r="O74" s="752">
        <v>433.6</v>
      </c>
    </row>
    <row r="75" spans="2:25">
      <c r="B75" s="1315" t="s">
        <v>9210</v>
      </c>
      <c r="C75" s="1315"/>
      <c r="D75" s="752">
        <f t="shared" ref="D75:F75" si="12">D74-E74</f>
        <v>1075.1999999999998</v>
      </c>
      <c r="E75" s="752">
        <f t="shared" si="12"/>
        <v>747.79999999999973</v>
      </c>
      <c r="F75" s="752">
        <f t="shared" si="12"/>
        <v>438.20000000000027</v>
      </c>
      <c r="G75" s="752">
        <f>G74-H74</f>
        <v>354.99999999999977</v>
      </c>
      <c r="H75" s="752">
        <f>H74-I74</f>
        <v>306.29999999999995</v>
      </c>
      <c r="I75" s="752">
        <f t="shared" ref="I75:O75" si="13">I74-J74</f>
        <v>219.5</v>
      </c>
      <c r="J75" s="752">
        <f t="shared" si="13"/>
        <v>266.10000000000014</v>
      </c>
      <c r="K75" s="752">
        <f t="shared" si="13"/>
        <v>238.89999999999998</v>
      </c>
      <c r="L75" s="752">
        <f t="shared" si="13"/>
        <v>155.10000000000002</v>
      </c>
      <c r="M75" s="752">
        <f t="shared" si="13"/>
        <v>81.699999999999932</v>
      </c>
      <c r="N75" s="752">
        <f t="shared" si="13"/>
        <v>100</v>
      </c>
      <c r="O75" s="752">
        <f t="shared" si="13"/>
        <v>433.6</v>
      </c>
      <c r="R75" s="1329" t="s">
        <v>9211</v>
      </c>
      <c r="S75" s="1329"/>
      <c r="T75" s="803">
        <f>W59</f>
        <v>0.11700000000000001</v>
      </c>
    </row>
    <row r="76" spans="2:25">
      <c r="B76" s="1315" t="s">
        <v>9212</v>
      </c>
      <c r="C76" s="1315"/>
      <c r="D76" s="818">
        <f>-456.7-109.1-7.7-318.2-226.4-35.3+105.2+55.2+25+23.5+1177.5</f>
        <v>233</v>
      </c>
      <c r="E76" s="818">
        <f>-72.5-19.4-17.7-294.5-94-19-13.1+49.9+44-0.7+839.4</f>
        <v>402.39999999999992</v>
      </c>
      <c r="F76" s="818">
        <f>-176.4-42.2-2.8-205.1-10.5-4.6+37.4+45.8+43.1+9.7+495.6</f>
        <v>190</v>
      </c>
      <c r="G76" s="818">
        <f>-96.7-48.5-2.1-162.3+17.8-1.3+7.7-1.4-2.7-0.2+446.7-18.8</f>
        <v>138.19999999999999</v>
      </c>
      <c r="H76" s="818">
        <f>-82-33.4+4.2-136.4-127.8-3.8+14.6+14.5+3.5-0.8+352.1-6</f>
        <v>-1.3000000000000114</v>
      </c>
      <c r="I76" s="818">
        <f>-38.4+9.4-6.7+35.8-1+13.1+14.4+12.6-5.5+300.8+29.5</f>
        <v>364</v>
      </c>
      <c r="J76" s="818">
        <f>-57.875-43.023-27.822+2.616-2.352+0.039-3.21+15.696-5.013+242.961+13.137</f>
        <v>135.154</v>
      </c>
      <c r="K76" s="818">
        <f>-66.464-19.088-29.851-2.63+0.667-2.517+0.883+11.301+2.016+222.346+20.372</f>
        <v>137.03500000000003</v>
      </c>
      <c r="L76" s="818">
        <f>-55.888-32.459+9.072-16-1.302+18.033+7.12+10.835+14.318+127.416-3.771</f>
        <v>77.373999999999981</v>
      </c>
      <c r="M76" s="818">
        <f>-22.08-35.093-18.75-0.907+1.243+10.485+3.602+6.013-1.948+68.871+22.522</f>
        <v>33.957999999999984</v>
      </c>
      <c r="N76" s="818">
        <f>-12.12-11.303-9.254+0.791+2.47+0.961+2.171+4.599-1.87+68.292+28.265</f>
        <v>73.001999999999995</v>
      </c>
      <c r="O76" s="818">
        <f>19.687-4.556-2.328-2.136+0.629-0.311+4.287-5.241+3.191-0.525+19.706+12.551</f>
        <v>44.954000000000001</v>
      </c>
      <c r="R76" s="1329" t="s">
        <v>9213</v>
      </c>
      <c r="S76" s="1329"/>
      <c r="T76" s="803">
        <f>S47</f>
        <v>0.25141454133479235</v>
      </c>
    </row>
    <row r="77" spans="2:25">
      <c r="B77" s="1315" t="s">
        <v>9214</v>
      </c>
      <c r="C77" s="1315"/>
      <c r="D77" s="763">
        <f>D76/D75</f>
        <v>0.2167038690476191</v>
      </c>
      <c r="E77" s="763">
        <f t="shared" ref="E77:O77" si="14">E76/E75</f>
        <v>0.53811179459748604</v>
      </c>
      <c r="F77" s="763">
        <f t="shared" si="14"/>
        <v>0.43359196713829273</v>
      </c>
      <c r="G77" s="763">
        <f t="shared" si="14"/>
        <v>0.38929577464788756</v>
      </c>
      <c r="H77" s="763">
        <f t="shared" si="14"/>
        <v>-4.2442050277506091E-3</v>
      </c>
      <c r="I77" s="763">
        <f t="shared" si="14"/>
        <v>1.6583143507972664</v>
      </c>
      <c r="J77" s="763">
        <f t="shared" si="14"/>
        <v>0.50790680195415228</v>
      </c>
      <c r="K77" s="763">
        <f t="shared" si="14"/>
        <v>0.57360820426956904</v>
      </c>
      <c r="L77" s="763">
        <f t="shared" si="14"/>
        <v>0.49886524822695016</v>
      </c>
      <c r="M77" s="763">
        <f t="shared" si="14"/>
        <v>0.41564259485924127</v>
      </c>
      <c r="N77" s="763">
        <f t="shared" si="14"/>
        <v>0.73002</v>
      </c>
      <c r="O77" s="763">
        <f t="shared" si="14"/>
        <v>0.10367619926199262</v>
      </c>
      <c r="R77" s="1329" t="s">
        <v>9215</v>
      </c>
      <c r="S77" s="1329"/>
      <c r="T77" s="804">
        <f>AVERAGE(T75:T76)</f>
        <v>0.18420727066739617</v>
      </c>
    </row>
    <row r="79" spans="2:25">
      <c r="B79" s="1333" t="s">
        <v>9216</v>
      </c>
      <c r="C79" s="1333"/>
      <c r="D79" s="764">
        <v>2022</v>
      </c>
      <c r="E79" s="764">
        <v>2021</v>
      </c>
      <c r="F79" s="764">
        <v>2020</v>
      </c>
      <c r="G79" s="764">
        <v>2019</v>
      </c>
      <c r="H79" s="764">
        <v>2018</v>
      </c>
      <c r="I79" s="764">
        <v>2017</v>
      </c>
      <c r="J79" s="764">
        <v>2016</v>
      </c>
      <c r="K79" s="764">
        <v>2015</v>
      </c>
      <c r="L79" s="764">
        <v>2014</v>
      </c>
      <c r="M79" s="764">
        <v>2013</v>
      </c>
      <c r="N79" s="764">
        <v>2012</v>
      </c>
      <c r="O79" s="764">
        <v>2011</v>
      </c>
    </row>
    <row r="80" spans="2:25">
      <c r="B80" s="1315" t="s">
        <v>9217</v>
      </c>
      <c r="C80" s="1315"/>
      <c r="D80" s="752">
        <v>-281.2</v>
      </c>
      <c r="E80" s="752">
        <v>-295.89999999999998</v>
      </c>
      <c r="F80" s="752">
        <v>-125.9</v>
      </c>
      <c r="G80" s="752">
        <v>-92.2</v>
      </c>
      <c r="H80" s="752">
        <v>-53</v>
      </c>
      <c r="I80" s="752">
        <v>-135.30000000000001</v>
      </c>
      <c r="J80" s="752">
        <v>-67.2</v>
      </c>
      <c r="K80" s="752">
        <v>-37.4</v>
      </c>
      <c r="L80" s="752">
        <v>-32.200000000000003</v>
      </c>
      <c r="M80" s="752">
        <v>-13.9</v>
      </c>
      <c r="N80" s="752">
        <v>-22.1</v>
      </c>
      <c r="O80" s="752">
        <v>-3.6</v>
      </c>
      <c r="X80" s="622" t="s">
        <v>9145</v>
      </c>
      <c r="Y80" s="821" t="s">
        <v>9218</v>
      </c>
    </row>
    <row r="81" spans="2:44" ht="14.1" customHeight="1">
      <c r="B81" s="1315" t="s">
        <v>9172</v>
      </c>
      <c r="C81" s="1315"/>
      <c r="D81" s="752">
        <v>4417.3999999999996</v>
      </c>
      <c r="E81" s="752">
        <v>3342.2</v>
      </c>
      <c r="F81" s="752">
        <v>2594.4</v>
      </c>
      <c r="G81" s="752">
        <v>2156.1999999999998</v>
      </c>
      <c r="H81" s="752">
        <v>1801.2</v>
      </c>
      <c r="I81" s="752">
        <v>1494.9</v>
      </c>
      <c r="J81" s="752">
        <v>1275.4000000000001</v>
      </c>
      <c r="K81" s="752">
        <v>1009.3</v>
      </c>
      <c r="L81" s="752">
        <v>770.4</v>
      </c>
      <c r="M81" s="752">
        <v>615.29999999999995</v>
      </c>
      <c r="N81" s="752">
        <v>533.6</v>
      </c>
      <c r="O81" s="752">
        <v>433.6</v>
      </c>
      <c r="R81" s="622" t="s">
        <v>9219</v>
      </c>
      <c r="Y81" s="821" t="s">
        <v>9220</v>
      </c>
    </row>
    <row r="82" spans="2:44" ht="12.95" customHeight="1">
      <c r="B82" s="1315" t="s">
        <v>9221</v>
      </c>
      <c r="C82" s="1315"/>
      <c r="D82" s="763">
        <f>D80/D81</f>
        <v>-6.3657355005206681E-2</v>
      </c>
      <c r="E82" s="763">
        <f t="shared" ref="E82:O82" si="15">E80/E81</f>
        <v>-8.853449823469571E-2</v>
      </c>
      <c r="F82" s="763">
        <f t="shared" si="15"/>
        <v>-4.8527597903176074E-2</v>
      </c>
      <c r="G82" s="763">
        <f t="shared" si="15"/>
        <v>-4.2760411835636773E-2</v>
      </c>
      <c r="H82" s="763">
        <f t="shared" si="15"/>
        <v>-2.94248278925161E-2</v>
      </c>
      <c r="I82" s="763">
        <f t="shared" si="15"/>
        <v>-9.0507726269315678E-2</v>
      </c>
      <c r="J82" s="763">
        <f t="shared" si="15"/>
        <v>-5.2689352360043906E-2</v>
      </c>
      <c r="K82" s="763">
        <f t="shared" si="15"/>
        <v>-3.7055384920241755E-2</v>
      </c>
      <c r="L82" s="763">
        <f t="shared" si="15"/>
        <v>-4.1796469366562831E-2</v>
      </c>
      <c r="M82" s="763">
        <f t="shared" si="15"/>
        <v>-2.2590606208353649E-2</v>
      </c>
      <c r="N82" s="763">
        <f t="shared" si="15"/>
        <v>-4.1416791604197901E-2</v>
      </c>
      <c r="O82" s="763">
        <f t="shared" si="15"/>
        <v>-8.3025830258302586E-3</v>
      </c>
      <c r="Y82" s="806" t="s">
        <v>9222</v>
      </c>
    </row>
    <row r="83" spans="2:44">
      <c r="R83" s="764" t="s">
        <v>9223</v>
      </c>
      <c r="S83" s="764" t="s">
        <v>9191</v>
      </c>
      <c r="U83" s="1329" t="s">
        <v>9224</v>
      </c>
      <c r="V83" s="1329"/>
      <c r="Y83" s="806" t="s">
        <v>9225</v>
      </c>
    </row>
    <row r="84" spans="2:44" ht="15.95" customHeight="1">
      <c r="B84" s="1336" t="s">
        <v>9226</v>
      </c>
      <c r="C84" s="1333" t="s">
        <v>9226</v>
      </c>
      <c r="D84" s="764">
        <v>2023</v>
      </c>
      <c r="E84" s="764">
        <v>2024</v>
      </c>
      <c r="F84" s="764">
        <v>2025</v>
      </c>
      <c r="G84" s="764">
        <v>2026</v>
      </c>
      <c r="R84" s="790" t="s">
        <v>9193</v>
      </c>
      <c r="S84" s="796">
        <v>0.55000000000000004</v>
      </c>
      <c r="U84" s="752" t="s">
        <v>9227</v>
      </c>
      <c r="V84" s="803">
        <f>AVERAGE(20%, 26%,10.4%,18.15%)</f>
        <v>0.18637500000000001</v>
      </c>
      <c r="Y84" s="821" t="s">
        <v>9228</v>
      </c>
    </row>
    <row r="85" spans="2:44" ht="15" customHeight="1">
      <c r="B85" s="1337" t="s">
        <v>9221</v>
      </c>
      <c r="C85" s="1338" t="s">
        <v>9221</v>
      </c>
      <c r="D85" s="763">
        <f>-400/S96</f>
        <v>-7.5459169043630508E-2</v>
      </c>
      <c r="E85" s="763">
        <v>-6.7000000000000004E-2</v>
      </c>
      <c r="F85" s="763">
        <v>-6.3E-2</v>
      </c>
      <c r="G85" s="763">
        <v>-0.06</v>
      </c>
      <c r="R85" s="790" t="s">
        <v>9195</v>
      </c>
      <c r="S85" s="796">
        <v>0.15</v>
      </c>
      <c r="U85" s="752" t="s">
        <v>9229</v>
      </c>
      <c r="V85" s="803">
        <f>AVERAGE(10.2%,10.8%,8.1%,11.6%)</f>
        <v>0.10175000000000001</v>
      </c>
      <c r="Y85" s="821" t="s">
        <v>9230</v>
      </c>
    </row>
    <row r="86" spans="2:44" ht="15.95" customHeight="1">
      <c r="D86" s="622" t="s">
        <v>9231</v>
      </c>
      <c r="R86" s="752" t="s">
        <v>9196</v>
      </c>
      <c r="S86" s="796">
        <v>0.3</v>
      </c>
      <c r="U86" s="752" t="s">
        <v>9232</v>
      </c>
      <c r="V86" s="803">
        <f>AVERAGE(12.5%,11.7%)</f>
        <v>0.121</v>
      </c>
      <c r="Y86" s="821" t="s">
        <v>9233</v>
      </c>
    </row>
    <row r="87" spans="2:44" ht="27.95">
      <c r="F87" s="852"/>
      <c r="W87" s="812"/>
      <c r="Y87" s="821" t="s">
        <v>9234</v>
      </c>
    </row>
    <row r="88" spans="2:44">
      <c r="B88" s="1316" t="s">
        <v>9082</v>
      </c>
      <c r="C88" s="1316"/>
      <c r="D88" s="764">
        <v>2022</v>
      </c>
      <c r="E88" s="764">
        <v>2021</v>
      </c>
      <c r="F88" s="764">
        <v>2020</v>
      </c>
      <c r="G88" s="764">
        <v>2019</v>
      </c>
      <c r="H88" s="764">
        <v>2018</v>
      </c>
      <c r="I88" s="764">
        <v>2017</v>
      </c>
      <c r="J88" s="764">
        <v>2016</v>
      </c>
      <c r="K88" s="764">
        <v>2015</v>
      </c>
      <c r="L88" s="764">
        <v>2014</v>
      </c>
      <c r="M88" s="764">
        <v>2013</v>
      </c>
      <c r="N88" s="764">
        <v>2012</v>
      </c>
      <c r="O88" s="764">
        <v>2011</v>
      </c>
      <c r="R88" s="1329" t="s">
        <v>9197</v>
      </c>
      <c r="S88" s="1329"/>
      <c r="T88" s="794" t="s">
        <v>9235</v>
      </c>
      <c r="U88" s="1329" t="s">
        <v>9198</v>
      </c>
      <c r="V88" s="1329"/>
      <c r="Y88" s="821" t="s">
        <v>9236</v>
      </c>
    </row>
    <row r="89" spans="2:44" ht="20.100000000000001">
      <c r="B89" s="1315" t="s">
        <v>9237</v>
      </c>
      <c r="C89" s="1315"/>
      <c r="D89" s="752">
        <v>1991</v>
      </c>
      <c r="E89" s="752">
        <v>742</v>
      </c>
      <c r="F89" s="752">
        <v>1080</v>
      </c>
      <c r="G89" s="752">
        <v>145</v>
      </c>
      <c r="H89" s="752">
        <v>212</v>
      </c>
      <c r="I89" s="752">
        <v>446</v>
      </c>
      <c r="J89" s="752">
        <v>111</v>
      </c>
      <c r="K89" s="752">
        <v>60</v>
      </c>
      <c r="L89" s="752">
        <v>44</v>
      </c>
      <c r="M89" s="752">
        <v>34</v>
      </c>
      <c r="N89" s="752">
        <v>0</v>
      </c>
      <c r="O89" s="752">
        <v>0</v>
      </c>
      <c r="R89" s="800" t="s">
        <v>9193</v>
      </c>
      <c r="S89" s="801"/>
      <c r="T89" s="803">
        <f>V86</f>
        <v>0.121</v>
      </c>
      <c r="U89" s="1334">
        <f>T89*S84</f>
        <v>6.6549999999999998E-2</v>
      </c>
      <c r="V89" s="1335"/>
      <c r="Y89" s="806" t="s">
        <v>9238</v>
      </c>
      <c r="Z89" s="813"/>
    </row>
    <row r="90" spans="2:44">
      <c r="B90" s="1315" t="s">
        <v>9239</v>
      </c>
      <c r="C90" s="1315"/>
      <c r="D90" s="752">
        <v>857.3</v>
      </c>
      <c r="E90" s="752">
        <v>606.79999999999995</v>
      </c>
      <c r="F90" s="752">
        <v>488.5</v>
      </c>
      <c r="G90" s="752">
        <v>324.39999999999998</v>
      </c>
      <c r="H90" s="752">
        <v>364.8</v>
      </c>
      <c r="I90" s="752">
        <v>94.5</v>
      </c>
      <c r="J90" s="752">
        <v>32.200000000000003</v>
      </c>
      <c r="K90" s="752">
        <v>8</v>
      </c>
      <c r="L90" s="752">
        <v>25.3</v>
      </c>
      <c r="M90" s="752">
        <v>44.3</v>
      </c>
      <c r="N90" s="752">
        <v>67</v>
      </c>
      <c r="O90" s="752">
        <v>63</v>
      </c>
      <c r="R90" s="800" t="s">
        <v>9195</v>
      </c>
      <c r="S90" s="801"/>
      <c r="T90" s="803">
        <f>V85</f>
        <v>0.10175000000000001</v>
      </c>
      <c r="U90" s="1334">
        <f>T90*S85</f>
        <v>1.52625E-2</v>
      </c>
      <c r="V90" s="1335"/>
    </row>
    <row r="91" spans="2:44">
      <c r="B91" s="1315" t="s">
        <v>9240</v>
      </c>
      <c r="C91" s="1315"/>
      <c r="D91" s="763">
        <f>D89/D90</f>
        <v>2.3224075586142541</v>
      </c>
      <c r="E91" s="763">
        <f t="shared" ref="E91:O91" si="16">E89/E90</f>
        <v>1.2228081740276864</v>
      </c>
      <c r="F91" s="763">
        <f t="shared" si="16"/>
        <v>2.2108495394063459</v>
      </c>
      <c r="G91" s="763">
        <f t="shared" si="16"/>
        <v>0.44697903822441432</v>
      </c>
      <c r="H91" s="763">
        <f t="shared" si="16"/>
        <v>0.58114035087719296</v>
      </c>
      <c r="I91" s="763">
        <f t="shared" si="16"/>
        <v>4.71957671957672</v>
      </c>
      <c r="J91" s="763">
        <f t="shared" si="16"/>
        <v>3.4472049689440989</v>
      </c>
      <c r="K91" s="763">
        <f t="shared" si="16"/>
        <v>7.5</v>
      </c>
      <c r="L91" s="763">
        <f t="shared" si="16"/>
        <v>1.7391304347826086</v>
      </c>
      <c r="M91" s="763">
        <f t="shared" si="16"/>
        <v>0.76749435665914223</v>
      </c>
      <c r="N91" s="763">
        <f t="shared" si="16"/>
        <v>0</v>
      </c>
      <c r="O91" s="763">
        <f t="shared" si="16"/>
        <v>0</v>
      </c>
      <c r="R91" s="802" t="s">
        <v>9202</v>
      </c>
      <c r="S91" s="801"/>
      <c r="T91" s="803">
        <f>V84</f>
        <v>0.18637500000000001</v>
      </c>
      <c r="U91" s="1334">
        <f>S86*T91</f>
        <v>5.5912500000000004E-2</v>
      </c>
      <c r="V91" s="1335"/>
    </row>
    <row r="92" spans="2:44">
      <c r="B92" s="1315" t="s">
        <v>9241</v>
      </c>
      <c r="C92" s="1315"/>
      <c r="D92" s="752">
        <v>2023</v>
      </c>
      <c r="E92" s="752">
        <v>2024</v>
      </c>
      <c r="F92" s="752">
        <v>2025</v>
      </c>
      <c r="G92" s="752">
        <v>2026</v>
      </c>
      <c r="H92" s="752">
        <v>2027</v>
      </c>
      <c r="I92" s="752">
        <v>2028</v>
      </c>
      <c r="J92" s="752">
        <v>2029</v>
      </c>
      <c r="K92" s="752">
        <v>2030</v>
      </c>
      <c r="L92" s="752">
        <v>2031</v>
      </c>
      <c r="M92" s="752">
        <v>2032</v>
      </c>
      <c r="N92" s="752">
        <v>2033</v>
      </c>
      <c r="O92" s="752">
        <v>2034</v>
      </c>
      <c r="R92" s="800" t="s">
        <v>9056</v>
      </c>
      <c r="S92" s="801"/>
      <c r="T92" s="803">
        <f>SUM(T89:T91)</f>
        <v>0.40912500000000002</v>
      </c>
      <c r="U92" s="1339">
        <f>SUM(U89:U91)</f>
        <v>0.13772499999999999</v>
      </c>
      <c r="V92" s="1340"/>
    </row>
    <row r="93" spans="2:44" ht="26.1" customHeight="1">
      <c r="B93" s="1315"/>
      <c r="C93" s="1315"/>
      <c r="D93" s="752">
        <f>-I96</f>
        <v>-1050</v>
      </c>
      <c r="E93" s="752">
        <f>-I97</f>
        <v>-480</v>
      </c>
      <c r="F93" s="909">
        <f>DCF!I29</f>
        <v>-902.33025137001209</v>
      </c>
      <c r="G93" s="909">
        <f>DCF!J29</f>
        <v>-1101.4082696510866</v>
      </c>
      <c r="H93" s="909">
        <f>DCF!K29</f>
        <v>-734.24346255917362</v>
      </c>
      <c r="I93" s="909">
        <f>DCF!L29</f>
        <v>-867.59902910575988</v>
      </c>
      <c r="J93" s="909">
        <f>DCF!M29</f>
        <v>-1012.2195940176113</v>
      </c>
      <c r="K93" s="909">
        <f>DCF!N29</f>
        <v>-1179.6790893013399</v>
      </c>
      <c r="L93" s="909">
        <f>DCF!O29</f>
        <v>-1247.5608512681756</v>
      </c>
      <c r="M93" s="909">
        <f>DCF!P29</f>
        <v>-1432.911048165462</v>
      </c>
      <c r="N93" s="909">
        <f>DCF!Q29</f>
        <v>-1633.0895406533755</v>
      </c>
      <c r="O93" s="826" t="s">
        <v>9242</v>
      </c>
    </row>
    <row r="94" spans="2:44">
      <c r="R94" s="799" t="s">
        <v>9243</v>
      </c>
      <c r="S94" s="794">
        <v>2023</v>
      </c>
      <c r="T94" s="794">
        <v>2024</v>
      </c>
      <c r="U94" s="794">
        <v>2025</v>
      </c>
      <c r="V94" s="794">
        <v>2026</v>
      </c>
      <c r="W94" s="794">
        <v>2027</v>
      </c>
      <c r="X94" s="794">
        <v>2028</v>
      </c>
      <c r="Y94" s="794">
        <v>2029</v>
      </c>
      <c r="Z94" s="794">
        <v>2030</v>
      </c>
      <c r="AA94" s="794">
        <v>2031</v>
      </c>
      <c r="AB94" s="794">
        <v>2032</v>
      </c>
      <c r="AC94" s="794">
        <v>2033</v>
      </c>
      <c r="AD94" s="794">
        <v>2034</v>
      </c>
      <c r="AE94" s="794">
        <v>2035</v>
      </c>
      <c r="AF94" s="794">
        <v>2036</v>
      </c>
      <c r="AG94" s="794">
        <v>2037</v>
      </c>
      <c r="AH94" s="794">
        <v>2038</v>
      </c>
      <c r="AI94" s="794">
        <v>2039</v>
      </c>
      <c r="AJ94" s="794">
        <v>2040</v>
      </c>
      <c r="AK94" s="794">
        <v>2041</v>
      </c>
      <c r="AL94" s="794">
        <v>2042</v>
      </c>
      <c r="AM94" s="794">
        <v>2043</v>
      </c>
      <c r="AN94" s="794">
        <v>2044</v>
      </c>
      <c r="AO94" s="794">
        <v>2045</v>
      </c>
      <c r="AP94" s="794">
        <v>2046</v>
      </c>
      <c r="AQ94" s="794">
        <v>2047</v>
      </c>
      <c r="AR94" s="794">
        <v>2048</v>
      </c>
    </row>
    <row r="95" spans="2:44" ht="27.95">
      <c r="H95" s="826" t="s">
        <v>9244</v>
      </c>
      <c r="I95" s="752">
        <v>1530</v>
      </c>
      <c r="K95" s="826" t="s">
        <v>9245</v>
      </c>
      <c r="L95" s="853">
        <f>(D89/M89)^(1/9)-1</f>
        <v>0.57180674904401352</v>
      </c>
      <c r="N95" s="752" t="s">
        <v>9246</v>
      </c>
      <c r="O95" s="752"/>
      <c r="R95" s="799" t="s">
        <v>9247</v>
      </c>
      <c r="S95" s="803">
        <v>0.2</v>
      </c>
      <c r="T95" s="803">
        <f>$T$77</f>
        <v>0.18420727066739617</v>
      </c>
      <c r="U95" s="803">
        <f>$T$77</f>
        <v>0.18420727066739617</v>
      </c>
      <c r="V95" s="803">
        <f>$T$77</f>
        <v>0.18420727066739617</v>
      </c>
      <c r="W95" s="803">
        <f>$T$77</f>
        <v>0.18420727066739617</v>
      </c>
      <c r="X95" s="803">
        <f>$U$92</f>
        <v>0.13772499999999999</v>
      </c>
      <c r="Y95" s="803">
        <f t="shared" ref="Y95:AB95" si="17">$U$92</f>
        <v>0.13772499999999999</v>
      </c>
      <c r="Z95" s="803">
        <f t="shared" si="17"/>
        <v>0.13772499999999999</v>
      </c>
      <c r="AA95" s="803">
        <f t="shared" si="17"/>
        <v>0.13772499999999999</v>
      </c>
      <c r="AB95" s="803">
        <f t="shared" si="17"/>
        <v>0.13772499999999999</v>
      </c>
      <c r="AC95" s="803">
        <v>0.13</v>
      </c>
      <c r="AD95" s="803">
        <v>0.13</v>
      </c>
      <c r="AE95" s="803">
        <v>0.13</v>
      </c>
      <c r="AF95" s="845">
        <v>0.12</v>
      </c>
      <c r="AG95" s="753">
        <v>0.11</v>
      </c>
      <c r="AH95" s="753">
        <v>0.11</v>
      </c>
      <c r="AI95" s="753">
        <v>0.09</v>
      </c>
      <c r="AJ95" s="753">
        <v>0.09</v>
      </c>
      <c r="AK95" s="753">
        <v>0.09</v>
      </c>
      <c r="AL95" s="753">
        <v>0.09</v>
      </c>
      <c r="AM95" s="753">
        <v>0.09</v>
      </c>
      <c r="AN95" s="753">
        <v>0.09</v>
      </c>
      <c r="AO95" s="753">
        <v>0.09</v>
      </c>
      <c r="AP95" s="753">
        <v>0.06</v>
      </c>
      <c r="AQ95" s="753">
        <v>0.06</v>
      </c>
      <c r="AR95" s="753">
        <v>0.06</v>
      </c>
    </row>
    <row r="96" spans="2:44" ht="14.1">
      <c r="H96" s="752" t="s">
        <v>9248</v>
      </c>
      <c r="I96" s="752">
        <v>1050</v>
      </c>
      <c r="K96" s="826" t="s">
        <v>9249</v>
      </c>
      <c r="L96" s="853">
        <f>(D89/I89)^(1/5)-1</f>
        <v>0.34879913965925535</v>
      </c>
      <c r="N96" s="752" t="s">
        <v>9250</v>
      </c>
      <c r="O96" s="753">
        <v>0.45</v>
      </c>
      <c r="R96" s="799" t="s">
        <v>9172</v>
      </c>
      <c r="S96" s="790">
        <f>S39*(1+S95)</f>
        <v>5300.8799999999992</v>
      </c>
      <c r="T96" s="790">
        <f>S96*(1+T95)</f>
        <v>6277.340636935387</v>
      </c>
      <c r="U96" s="790">
        <f t="shared" ref="U96:W96" si="18">T96*(1+U95)</f>
        <v>7433.6724227147897</v>
      </c>
      <c r="V96" s="790">
        <f t="shared" si="18"/>
        <v>8803.0089307385733</v>
      </c>
      <c r="W96" s="790">
        <f t="shared" si="18"/>
        <v>10424.587179530641</v>
      </c>
      <c r="X96" s="790">
        <f>W96*(1+X95)</f>
        <v>11860.313448831499</v>
      </c>
      <c r="Y96" s="790">
        <f t="shared" ref="Y96" si="19">X96*(1+Y95)</f>
        <v>13493.775118571819</v>
      </c>
      <c r="Z96" s="790">
        <f>Y96*(1+Z95)</f>
        <v>15352.205296777123</v>
      </c>
      <c r="AA96" s="790">
        <f t="shared" ref="AA96:AE96" si="20">Z96*(1+AA95)</f>
        <v>17466.587771275754</v>
      </c>
      <c r="AB96" s="790">
        <f t="shared" si="20"/>
        <v>19872.173572074709</v>
      </c>
      <c r="AC96" s="790">
        <f t="shared" si="20"/>
        <v>22455.556136444418</v>
      </c>
      <c r="AD96" s="790">
        <f t="shared" si="20"/>
        <v>25374.77843418219</v>
      </c>
      <c r="AE96" s="790">
        <f t="shared" si="20"/>
        <v>28673.499630625873</v>
      </c>
      <c r="AF96" s="790">
        <f>AE96*(1+AF95)</f>
        <v>32114.319586300979</v>
      </c>
      <c r="AG96" s="790">
        <f t="shared" ref="AG96:AR96" si="21">AF96*(1+AG95)</f>
        <v>35646.894740794087</v>
      </c>
      <c r="AH96" s="790">
        <f t="shared" si="21"/>
        <v>39568.053162281438</v>
      </c>
      <c r="AI96" s="790">
        <f t="shared" si="21"/>
        <v>43129.177946886768</v>
      </c>
      <c r="AJ96" s="790">
        <f t="shared" si="21"/>
        <v>47010.803962106584</v>
      </c>
      <c r="AK96" s="790">
        <f t="shared" si="21"/>
        <v>51241.776318696182</v>
      </c>
      <c r="AL96" s="790">
        <f t="shared" si="21"/>
        <v>55853.536187378842</v>
      </c>
      <c r="AM96" s="790">
        <f t="shared" si="21"/>
        <v>60880.354444242941</v>
      </c>
      <c r="AN96" s="790">
        <f t="shared" si="21"/>
        <v>66359.586344224808</v>
      </c>
      <c r="AO96" s="790">
        <f t="shared" si="21"/>
        <v>72331.949115205047</v>
      </c>
      <c r="AP96" s="790">
        <f t="shared" si="21"/>
        <v>76671.866062117348</v>
      </c>
      <c r="AQ96" s="790">
        <f t="shared" si="21"/>
        <v>81272.178025844391</v>
      </c>
      <c r="AR96" s="790">
        <f t="shared" si="21"/>
        <v>86148.508707395056</v>
      </c>
    </row>
    <row r="97" spans="2:28" ht="18">
      <c r="H97" s="752" t="s">
        <v>9251</v>
      </c>
      <c r="I97" s="752">
        <f>I95-I96</f>
        <v>480</v>
      </c>
      <c r="N97" s="752" t="s">
        <v>9252</v>
      </c>
      <c r="O97" s="753">
        <v>0.55000000000000004</v>
      </c>
      <c r="Z97" s="814"/>
    </row>
    <row r="99" spans="2:28">
      <c r="R99" s="622" t="s">
        <v>119</v>
      </c>
    </row>
    <row r="100" spans="2:28">
      <c r="B100" s="764"/>
      <c r="C100" s="764"/>
      <c r="D100" s="764">
        <v>2022</v>
      </c>
      <c r="E100" s="764">
        <v>2021</v>
      </c>
      <c r="F100" s="764">
        <v>2020</v>
      </c>
      <c r="G100" s="764">
        <v>2019</v>
      </c>
      <c r="H100" s="764">
        <v>2018</v>
      </c>
      <c r="I100" s="764">
        <v>2017</v>
      </c>
      <c r="J100" s="764">
        <v>2016</v>
      </c>
      <c r="K100" s="764">
        <v>2015</v>
      </c>
      <c r="L100" s="764">
        <v>2014</v>
      </c>
      <c r="M100" s="764">
        <v>2013</v>
      </c>
      <c r="N100" s="764">
        <v>2012</v>
      </c>
      <c r="O100" s="764">
        <v>2011</v>
      </c>
    </row>
    <row r="101" spans="2:28">
      <c r="B101" s="1315" t="s">
        <v>9253</v>
      </c>
      <c r="C101" s="1315"/>
      <c r="D101" s="777">
        <f t="shared" ref="D101:M101" si="22">D89-E89</f>
        <v>1249</v>
      </c>
      <c r="E101" s="777">
        <f t="shared" si="22"/>
        <v>-338</v>
      </c>
      <c r="F101" s="777">
        <f t="shared" si="22"/>
        <v>935</v>
      </c>
      <c r="G101" s="777">
        <f t="shared" si="22"/>
        <v>-67</v>
      </c>
      <c r="H101" s="777">
        <f t="shared" si="22"/>
        <v>-234</v>
      </c>
      <c r="I101" s="777">
        <f t="shared" si="22"/>
        <v>335</v>
      </c>
      <c r="J101" s="777">
        <f t="shared" si="22"/>
        <v>51</v>
      </c>
      <c r="K101" s="777">
        <f t="shared" si="22"/>
        <v>16</v>
      </c>
      <c r="L101" s="777">
        <f t="shared" si="22"/>
        <v>10</v>
      </c>
      <c r="M101" s="777">
        <f t="shared" si="22"/>
        <v>34</v>
      </c>
      <c r="N101" s="777">
        <v>0</v>
      </c>
      <c r="O101" s="777">
        <v>0</v>
      </c>
      <c r="Z101" s="622" t="s">
        <v>9254</v>
      </c>
      <c r="AA101" s="806">
        <v>2055</v>
      </c>
    </row>
    <row r="102" spans="2:28">
      <c r="B102" s="1315" t="s">
        <v>9210</v>
      </c>
      <c r="C102" s="1315"/>
      <c r="D102" s="777">
        <f t="shared" ref="D102:O102" si="23">D75</f>
        <v>1075.1999999999998</v>
      </c>
      <c r="E102" s="777">
        <f t="shared" si="23"/>
        <v>747.79999999999973</v>
      </c>
      <c r="F102" s="777">
        <f t="shared" si="23"/>
        <v>438.20000000000027</v>
      </c>
      <c r="G102" s="777">
        <f t="shared" si="23"/>
        <v>354.99999999999977</v>
      </c>
      <c r="H102" s="777">
        <f t="shared" si="23"/>
        <v>306.29999999999995</v>
      </c>
      <c r="I102" s="777">
        <f t="shared" si="23"/>
        <v>219.5</v>
      </c>
      <c r="J102" s="777">
        <f t="shared" si="23"/>
        <v>266.10000000000014</v>
      </c>
      <c r="K102" s="777">
        <f t="shared" si="23"/>
        <v>238.89999999999998</v>
      </c>
      <c r="L102" s="777">
        <f t="shared" si="23"/>
        <v>155.10000000000002</v>
      </c>
      <c r="M102" s="777">
        <f t="shared" si="23"/>
        <v>81.699999999999932</v>
      </c>
      <c r="N102" s="777">
        <f t="shared" si="23"/>
        <v>100</v>
      </c>
      <c r="O102" s="777">
        <f t="shared" si="23"/>
        <v>433.6</v>
      </c>
      <c r="Z102" s="622" t="s">
        <v>9255</v>
      </c>
    </row>
    <row r="103" spans="2:28">
      <c r="B103" s="1315" t="s">
        <v>9256</v>
      </c>
      <c r="C103" s="1315"/>
      <c r="D103" s="763">
        <f>D101/D102</f>
        <v>1.1616443452380953</v>
      </c>
      <c r="E103" s="763">
        <f t="shared" ref="E103:O103" si="24">E101/E102</f>
        <v>-0.45199251136667573</v>
      </c>
      <c r="F103" s="763">
        <f t="shared" si="24"/>
        <v>2.1337288909173879</v>
      </c>
      <c r="G103" s="763">
        <f t="shared" si="24"/>
        <v>-0.18873239436619729</v>
      </c>
      <c r="H103" s="763">
        <f t="shared" si="24"/>
        <v>-0.76395690499510294</v>
      </c>
      <c r="I103" s="763">
        <f t="shared" si="24"/>
        <v>1.5261958997722096</v>
      </c>
      <c r="J103" s="763">
        <f t="shared" si="24"/>
        <v>0.19165727170236743</v>
      </c>
      <c r="K103" s="763">
        <f t="shared" si="24"/>
        <v>6.6973629133528681E-2</v>
      </c>
      <c r="L103" s="763">
        <f t="shared" si="24"/>
        <v>6.4474532559638933E-2</v>
      </c>
      <c r="M103" s="763">
        <f t="shared" si="24"/>
        <v>0.41615667074663437</v>
      </c>
      <c r="N103" s="763">
        <f t="shared" si="24"/>
        <v>0</v>
      </c>
      <c r="O103" s="763">
        <f t="shared" si="24"/>
        <v>0</v>
      </c>
      <c r="Z103" s="622" t="s">
        <v>9257</v>
      </c>
      <c r="AA103" s="734">
        <v>0.09</v>
      </c>
    </row>
    <row r="104" spans="2:28">
      <c r="Z104" s="622" t="s">
        <v>9258</v>
      </c>
      <c r="AA104" s="734">
        <v>0.06</v>
      </c>
    </row>
    <row r="105" spans="2:28">
      <c r="B105" s="1316" t="s">
        <v>318</v>
      </c>
      <c r="C105" s="1316"/>
      <c r="D105" s="764">
        <v>2022</v>
      </c>
      <c r="E105" s="764">
        <v>2021</v>
      </c>
      <c r="F105" s="764">
        <v>2020</v>
      </c>
      <c r="G105" s="764">
        <v>2019</v>
      </c>
      <c r="H105" s="764">
        <v>2018</v>
      </c>
      <c r="I105" s="764">
        <v>2017</v>
      </c>
      <c r="J105" s="764">
        <v>2016</v>
      </c>
      <c r="K105" s="764">
        <v>2015</v>
      </c>
      <c r="L105" s="764">
        <v>2014</v>
      </c>
      <c r="M105" s="764">
        <v>2013</v>
      </c>
      <c r="N105" s="764">
        <v>2012</v>
      </c>
      <c r="O105" s="764">
        <v>2011</v>
      </c>
      <c r="Z105" s="622" t="s">
        <v>9259</v>
      </c>
    </row>
    <row r="106" spans="2:28">
      <c r="B106" s="1315" t="s">
        <v>50</v>
      </c>
      <c r="C106" s="1315"/>
      <c r="D106" s="777">
        <f>'Fin. Data'!C11+'Fin. Data'!C17</f>
        <v>1073.9000000000001</v>
      </c>
      <c r="E106" s="777">
        <f>'Fin. Data'!D11+'Fin. Data'!D17</f>
        <v>734.8</v>
      </c>
      <c r="F106" s="777">
        <f>'Fin. Data'!E11+'Fin. Data'!E17</f>
        <v>596.29999999999995</v>
      </c>
      <c r="G106" s="777">
        <f>'Fin. Data'!F11+'Fin. Data'!F17</f>
        <v>408.8</v>
      </c>
      <c r="H106" s="777">
        <f>'Fin. Data'!G11+'Fin. Data'!G17</f>
        <v>286.7</v>
      </c>
      <c r="I106" s="777">
        <f>'Fin. Data'!H11+'Fin. Data'!H17</f>
        <v>165.3</v>
      </c>
      <c r="J106" s="777">
        <f>'Fin. Data'!I11+'Fin. Data'!I17</f>
        <v>91.4</v>
      </c>
      <c r="K106" s="777">
        <f>'Fin. Data'!J11+'Fin. Data'!J17</f>
        <v>46.5</v>
      </c>
      <c r="L106" s="777">
        <f>'Fin. Data'!K11+'Fin. Data'!K17</f>
        <v>81.3</v>
      </c>
      <c r="M106" s="777">
        <f>'Fin. Data'!L11+'Fin. Data'!L17</f>
        <v>87.699999999999989</v>
      </c>
      <c r="N106" s="777">
        <f>'Fin. Data'!M11+'Fin. Data'!M17</f>
        <v>112.1</v>
      </c>
      <c r="O106" s="777">
        <f>'Fin. Data'!N11+'Fin. Data'!N17</f>
        <v>95.9</v>
      </c>
      <c r="P106" s="622" t="s">
        <v>9260</v>
      </c>
    </row>
    <row r="107" spans="2:28">
      <c r="B107" s="1315" t="s">
        <v>9261</v>
      </c>
      <c r="C107" s="1315"/>
      <c r="D107" s="752">
        <f>'Fin. Data'!C58</f>
        <v>1086.0999999999999</v>
      </c>
      <c r="E107" s="752">
        <f>'Fin. Data'!D58</f>
        <v>1055.1999999999998</v>
      </c>
      <c r="F107" s="752">
        <f>'Fin. Data'!E58</f>
        <v>53.1</v>
      </c>
      <c r="G107" s="752">
        <f>'Fin. Data'!F58</f>
        <v>46.1</v>
      </c>
      <c r="H107" s="752">
        <f>'Fin. Data'!G58</f>
        <v>0</v>
      </c>
      <c r="I107" s="752">
        <f>'Fin. Data'!H58</f>
        <v>0</v>
      </c>
      <c r="J107" s="752">
        <f>'Fin. Data'!I58</f>
        <v>0</v>
      </c>
      <c r="K107" s="752">
        <f>'Fin. Data'!J58</f>
        <v>0</v>
      </c>
      <c r="L107" s="752">
        <f>'Fin. Data'!K58</f>
        <v>0</v>
      </c>
      <c r="M107" s="752">
        <f>'Fin. Data'!L58</f>
        <v>0</v>
      </c>
      <c r="N107" s="752">
        <f>'Fin. Data'!M58</f>
        <v>0</v>
      </c>
      <c r="O107" s="752">
        <f>'Fin. Data'!N58</f>
        <v>0</v>
      </c>
    </row>
    <row r="108" spans="2:28">
      <c r="B108" s="1315" t="s">
        <v>9262</v>
      </c>
      <c r="C108" s="1315"/>
      <c r="D108" s="763">
        <f>D107/D106</f>
        <v>1.0113604618679577</v>
      </c>
      <c r="E108" s="763">
        <f t="shared" ref="E108:O108" si="25">E107/E106</f>
        <v>1.43603701687534</v>
      </c>
      <c r="F108" s="763">
        <f t="shared" si="25"/>
        <v>8.9049136340768081E-2</v>
      </c>
      <c r="G108" s="763">
        <f t="shared" si="25"/>
        <v>0.11276908023483366</v>
      </c>
      <c r="H108" s="763">
        <f t="shared" si="25"/>
        <v>0</v>
      </c>
      <c r="I108" s="763">
        <f t="shared" si="25"/>
        <v>0</v>
      </c>
      <c r="J108" s="763">
        <f t="shared" si="25"/>
        <v>0</v>
      </c>
      <c r="K108" s="763">
        <f t="shared" si="25"/>
        <v>0</v>
      </c>
      <c r="L108" s="763">
        <f t="shared" si="25"/>
        <v>0</v>
      </c>
      <c r="M108" s="763">
        <f t="shared" si="25"/>
        <v>0</v>
      </c>
      <c r="N108" s="763">
        <f t="shared" si="25"/>
        <v>0</v>
      </c>
      <c r="O108" s="763">
        <f t="shared" si="25"/>
        <v>0</v>
      </c>
    </row>
    <row r="110" spans="2:28">
      <c r="B110" s="1316" t="s">
        <v>9263</v>
      </c>
      <c r="C110" s="1316"/>
      <c r="D110" s="764">
        <v>2022</v>
      </c>
      <c r="E110" s="764">
        <v>2021</v>
      </c>
      <c r="F110" s="764">
        <v>2020</v>
      </c>
      <c r="G110" s="764">
        <v>2019</v>
      </c>
      <c r="H110" s="764">
        <v>2018</v>
      </c>
      <c r="I110" s="764">
        <v>2017</v>
      </c>
      <c r="J110" s="764">
        <v>2016</v>
      </c>
      <c r="K110" s="764">
        <v>2015</v>
      </c>
      <c r="L110" s="764">
        <v>2014</v>
      </c>
      <c r="M110" s="764">
        <v>2013</v>
      </c>
      <c r="N110" s="764">
        <v>2012</v>
      </c>
      <c r="O110" s="764">
        <v>2011</v>
      </c>
    </row>
    <row r="111" spans="2:28" ht="21.95" customHeight="1">
      <c r="B111" s="1315" t="s">
        <v>9264</v>
      </c>
      <c r="C111" s="1315"/>
      <c r="D111" s="818">
        <f>Inputs!C66</f>
        <v>1045.0999999999999</v>
      </c>
      <c r="E111" s="752">
        <f>Inputs!D66</f>
        <v>-1029.2</v>
      </c>
      <c r="F111" s="752">
        <f>Inputs!E66</f>
        <v>53.1</v>
      </c>
      <c r="G111" s="752">
        <f>Inputs!F66</f>
        <v>-410.1</v>
      </c>
      <c r="H111" s="752">
        <f>Inputs!G66</f>
        <v>-81.900000000000006</v>
      </c>
      <c r="I111" s="752">
        <f>Inputs!H66</f>
        <v>58.5</v>
      </c>
      <c r="J111" s="752">
        <f>Inputs!I66</f>
        <v>-6.9</v>
      </c>
      <c r="K111" s="752">
        <f>Inputs!J66</f>
        <v>36.4</v>
      </c>
      <c r="L111" s="752">
        <f>Inputs!K66</f>
        <v>2.8</v>
      </c>
      <c r="M111" s="752">
        <f>Inputs!L66</f>
        <v>-132.9</v>
      </c>
      <c r="N111" s="752">
        <f>Inputs!M66</f>
        <v>-160.6</v>
      </c>
      <c r="O111" s="752">
        <f>Inputs!N66</f>
        <v>-163.19999999999999</v>
      </c>
    </row>
    <row r="112" spans="2:28">
      <c r="B112" s="1317" t="s">
        <v>9172</v>
      </c>
      <c r="C112" s="1318"/>
      <c r="D112" s="752">
        <v>4417.3999999999996</v>
      </c>
      <c r="E112" s="752">
        <v>3342.2</v>
      </c>
      <c r="F112" s="752">
        <v>2594.4</v>
      </c>
      <c r="G112" s="752">
        <v>2156.1999999999998</v>
      </c>
      <c r="H112" s="752">
        <v>1801.2</v>
      </c>
      <c r="I112" s="752">
        <v>1494.9</v>
      </c>
      <c r="J112" s="752">
        <v>1275.4000000000001</v>
      </c>
      <c r="K112" s="752">
        <v>1009.3</v>
      </c>
      <c r="L112" s="752">
        <v>770.4</v>
      </c>
      <c r="M112" s="752">
        <v>615.29999999999995</v>
      </c>
      <c r="N112" s="752">
        <v>533.6</v>
      </c>
      <c r="O112" s="752">
        <v>433.6</v>
      </c>
      <c r="R112" s="799" t="s">
        <v>9265</v>
      </c>
      <c r="S112" s="794">
        <v>2023</v>
      </c>
      <c r="T112" s="794">
        <v>2024</v>
      </c>
      <c r="U112" s="794">
        <v>2025</v>
      </c>
      <c r="V112" s="794">
        <v>2026</v>
      </c>
      <c r="W112" s="794">
        <v>2027</v>
      </c>
      <c r="X112" s="794">
        <v>2028</v>
      </c>
      <c r="Y112" s="794">
        <v>2029</v>
      </c>
      <c r="Z112" s="794">
        <v>2030</v>
      </c>
      <c r="AB112" s="794">
        <v>2048</v>
      </c>
    </row>
    <row r="113" spans="2:28">
      <c r="B113" s="1317" t="s">
        <v>9266</v>
      </c>
      <c r="C113" s="1318" t="s">
        <v>9267</v>
      </c>
      <c r="D113" s="772">
        <f>D111/D112</f>
        <v>0.23658713270249468</v>
      </c>
      <c r="E113" s="772">
        <f t="shared" ref="E113:L113" si="26">E111/E112</f>
        <v>-0.30794087726647124</v>
      </c>
      <c r="F113" s="772">
        <f t="shared" si="26"/>
        <v>2.0467160037002774E-2</v>
      </c>
      <c r="G113" s="772">
        <f t="shared" si="26"/>
        <v>-0.19019571468323906</v>
      </c>
      <c r="H113" s="772">
        <f t="shared" si="26"/>
        <v>-4.5469686875416394E-2</v>
      </c>
      <c r="I113" s="772">
        <f t="shared" si="26"/>
        <v>3.9133052378085488E-2</v>
      </c>
      <c r="J113" s="772">
        <f t="shared" si="26"/>
        <v>-5.4100674298259372E-3</v>
      </c>
      <c r="K113" s="772">
        <f t="shared" si="26"/>
        <v>3.6064599227187161E-2</v>
      </c>
      <c r="L113" s="772">
        <f t="shared" si="26"/>
        <v>3.6344755970924192E-3</v>
      </c>
      <c r="M113" s="772">
        <f>M111/M112</f>
        <v>-0.21599219892735252</v>
      </c>
      <c r="N113" s="772">
        <f t="shared" ref="N113" si="27">N111/N112</f>
        <v>-0.30097451274362819</v>
      </c>
      <c r="O113" s="772">
        <f t="shared" ref="O113" si="28">O111/O112</f>
        <v>-0.37638376383763833</v>
      </c>
      <c r="R113" s="799" t="s">
        <v>9268</v>
      </c>
      <c r="S113" s="803">
        <v>0.21</v>
      </c>
      <c r="T113" s="803">
        <v>0.2</v>
      </c>
      <c r="U113" s="803">
        <v>0.20499999999999999</v>
      </c>
      <c r="V113" s="803">
        <v>0.21</v>
      </c>
      <c r="W113" s="803">
        <v>0.215</v>
      </c>
      <c r="X113" s="803">
        <v>0.22</v>
      </c>
      <c r="Y113" s="803">
        <v>0.22500000000000001</v>
      </c>
      <c r="Z113" s="803">
        <v>0.23</v>
      </c>
      <c r="AA113" s="944" t="s">
        <v>9269</v>
      </c>
      <c r="AB113" s="753">
        <v>0.24</v>
      </c>
    </row>
    <row r="114" spans="2:28">
      <c r="B114" s="1317" t="s">
        <v>9270</v>
      </c>
      <c r="C114" s="1318"/>
      <c r="D114" s="772">
        <f>AVERAGE(D113:H113)</f>
        <v>-5.7310397217125851E-2</v>
      </c>
      <c r="T114" s="631"/>
      <c r="U114" s="734"/>
      <c r="V114" s="631"/>
      <c r="W114" s="734"/>
      <c r="X114" s="734"/>
      <c r="Y114" s="734"/>
      <c r="Z114" s="734"/>
    </row>
    <row r="115" spans="2:28">
      <c r="B115" s="1317" t="s">
        <v>9271</v>
      </c>
      <c r="C115" s="1318"/>
      <c r="D115" s="772">
        <f>AVERAGE(D113:O113)</f>
        <v>-9.2206700151809096E-2</v>
      </c>
    </row>
    <row r="117" spans="2:28">
      <c r="T117" s="631"/>
      <c r="U117" s="631"/>
      <c r="V117" s="631"/>
      <c r="W117" s="631"/>
      <c r="X117" s="631"/>
      <c r="Y117" s="631"/>
      <c r="Z117" s="631"/>
    </row>
    <row r="118" spans="2:28">
      <c r="B118" s="622" t="s">
        <v>9272</v>
      </c>
    </row>
    <row r="120" spans="2:28">
      <c r="B120" s="764" t="s">
        <v>180</v>
      </c>
      <c r="C120" s="764" t="s">
        <v>9273</v>
      </c>
      <c r="D120" s="764" t="s">
        <v>9274</v>
      </c>
      <c r="E120" s="764" t="s">
        <v>9275</v>
      </c>
    </row>
    <row r="121" spans="2:28">
      <c r="B121" s="752" t="s">
        <v>181</v>
      </c>
      <c r="C121" s="772">
        <v>0.31</v>
      </c>
      <c r="D121" s="772">
        <v>0.05</v>
      </c>
      <c r="E121" s="772">
        <f>D121*C121</f>
        <v>1.55E-2</v>
      </c>
    </row>
    <row r="122" spans="2:28">
      <c r="B122" s="752" t="s">
        <v>182</v>
      </c>
      <c r="C122" s="772">
        <v>0.11</v>
      </c>
      <c r="D122" s="772">
        <v>7.5899999999999995E-2</v>
      </c>
      <c r="E122" s="772">
        <f>D122*C122</f>
        <v>8.3489999999999988E-3</v>
      </c>
    </row>
    <row r="123" spans="2:28">
      <c r="B123" s="752" t="s">
        <v>9276</v>
      </c>
      <c r="C123" s="772">
        <v>0.38</v>
      </c>
      <c r="D123" s="772">
        <v>6.83E-2</v>
      </c>
      <c r="E123" s="772">
        <f>D123*C123</f>
        <v>2.5954000000000001E-2</v>
      </c>
    </row>
    <row r="124" spans="2:28">
      <c r="B124" s="752" t="s">
        <v>184</v>
      </c>
      <c r="C124" s="772">
        <v>0.2</v>
      </c>
      <c r="D124" s="772">
        <v>6.4699999999999994E-2</v>
      </c>
      <c r="E124" s="772">
        <f>D124*C124</f>
        <v>1.294E-2</v>
      </c>
    </row>
    <row r="125" spans="2:28">
      <c r="B125" s="752" t="s">
        <v>9056</v>
      </c>
      <c r="C125" s="772">
        <f>SUM(C121:C124)</f>
        <v>1</v>
      </c>
      <c r="D125" s="772">
        <f t="shared" ref="D125:E125" si="29">SUM(D121:D124)</f>
        <v>0.25890000000000002</v>
      </c>
      <c r="E125" s="780">
        <f t="shared" si="29"/>
        <v>6.2742999999999993E-2</v>
      </c>
    </row>
    <row r="127" spans="2:28">
      <c r="B127" s="622" t="s">
        <v>9277</v>
      </c>
    </row>
    <row r="131" spans="2:3">
      <c r="B131" s="764" t="s">
        <v>9278</v>
      </c>
      <c r="C131" s="764"/>
    </row>
    <row r="132" spans="2:3">
      <c r="B132" s="914" t="s">
        <v>9279</v>
      </c>
      <c r="C132" s="915">
        <v>2.5000000000000001E-3</v>
      </c>
    </row>
    <row r="133" spans="2:3">
      <c r="B133" s="914" t="s">
        <v>9280</v>
      </c>
      <c r="C133" s="915">
        <v>2.5000000000000001E-3</v>
      </c>
    </row>
    <row r="134" spans="2:3">
      <c r="B134" s="914" t="s">
        <v>9281</v>
      </c>
      <c r="C134" s="915">
        <v>2.5000000000000001E-3</v>
      </c>
    </row>
    <row r="135" spans="2:3">
      <c r="B135" s="914" t="s">
        <v>9282</v>
      </c>
      <c r="C135" s="916">
        <f>SUM(C132:C134)</f>
        <v>7.4999999999999997E-3</v>
      </c>
    </row>
  </sheetData>
  <mergeCells count="71">
    <mergeCell ref="U90:V90"/>
    <mergeCell ref="U91:V91"/>
    <mergeCell ref="B90:C90"/>
    <mergeCell ref="B91:C91"/>
    <mergeCell ref="B110:C110"/>
    <mergeCell ref="U92:V92"/>
    <mergeCell ref="B105:C105"/>
    <mergeCell ref="B106:C106"/>
    <mergeCell ref="U88:V88"/>
    <mergeCell ref="U89:V89"/>
    <mergeCell ref="R88:S88"/>
    <mergeCell ref="B89:C89"/>
    <mergeCell ref="B79:C79"/>
    <mergeCell ref="B80:C80"/>
    <mergeCell ref="B84:C84"/>
    <mergeCell ref="B85:C85"/>
    <mergeCell ref="B81:C81"/>
    <mergeCell ref="B82:C82"/>
    <mergeCell ref="B88:C88"/>
    <mergeCell ref="U83:V83"/>
    <mergeCell ref="B58:C58"/>
    <mergeCell ref="B107:C107"/>
    <mergeCell ref="R58:S58"/>
    <mergeCell ref="B45:C45"/>
    <mergeCell ref="B73:C73"/>
    <mergeCell ref="B74:C74"/>
    <mergeCell ref="B76:C76"/>
    <mergeCell ref="B55:C55"/>
    <mergeCell ref="B92:C92"/>
    <mergeCell ref="B93:C93"/>
    <mergeCell ref="B101:C101"/>
    <mergeCell ref="B57:C57"/>
    <mergeCell ref="R75:S75"/>
    <mergeCell ref="R76:S76"/>
    <mergeCell ref="R77:S77"/>
    <mergeCell ref="B77:C77"/>
    <mergeCell ref="W56:X56"/>
    <mergeCell ref="C15:G15"/>
    <mergeCell ref="B44:C44"/>
    <mergeCell ref="B56:C56"/>
    <mergeCell ref="B47:C47"/>
    <mergeCell ref="W55:X55"/>
    <mergeCell ref="R55:S55"/>
    <mergeCell ref="R56:S56"/>
    <mergeCell ref="R42:S42"/>
    <mergeCell ref="U42:V42"/>
    <mergeCell ref="W42:X42"/>
    <mergeCell ref="W43:X43"/>
    <mergeCell ref="W59:X59"/>
    <mergeCell ref="R59:S59"/>
    <mergeCell ref="W57:X57"/>
    <mergeCell ref="W58:X58"/>
    <mergeCell ref="R57:S57"/>
    <mergeCell ref="B62:C62"/>
    <mergeCell ref="B63:C63"/>
    <mergeCell ref="B61:C61"/>
    <mergeCell ref="B64:C64"/>
    <mergeCell ref="W68:X68"/>
    <mergeCell ref="B75:C75"/>
    <mergeCell ref="B68:C68"/>
    <mergeCell ref="B69:C69"/>
    <mergeCell ref="B67:C67"/>
    <mergeCell ref="B115:C115"/>
    <mergeCell ref="B102:C102"/>
    <mergeCell ref="B103:C103"/>
    <mergeCell ref="B112:C112"/>
    <mergeCell ref="B113:C113"/>
    <mergeCell ref="B114:C114"/>
    <mergeCell ref="B108:C108"/>
    <mergeCell ref="B111:C111"/>
    <mergeCell ref="B70:C70"/>
  </mergeCells>
  <hyperlinks>
    <hyperlink ref="U36" r:id="rId1" xr:uid="{DDD73B6B-E134-E144-94C4-27FFC47B2FD6}"/>
    <hyperlink ref="U35" r:id="rId2" xr:uid="{132FAEBA-BB0B-3C49-AFFC-C0E3ED6D2778}"/>
    <hyperlink ref="Y80" r:id="rId3" xr:uid="{BA2FA613-230C-1F4F-B051-37251B50AF1B}"/>
    <hyperlink ref="Y81" r:id="rId4" xr:uid="{3CDFCF73-6629-274C-9AF4-7FF280589A85}"/>
    <hyperlink ref="Y82" r:id="rId5" xr:uid="{68304587-FA9B-5F45-B2F0-3029A6F35F33}"/>
    <hyperlink ref="Y83" r:id="rId6" xr:uid="{0FFB5799-279D-CB4D-9F43-961220FF3F32}"/>
    <hyperlink ref="Y84" r:id="rId7" xr:uid="{02E1F565-786E-014E-8139-E079B56761EC}"/>
    <hyperlink ref="Y85" r:id="rId8" xr:uid="{C0B1F37F-E73F-4C4E-B568-A6B570D309E5}"/>
    <hyperlink ref="Y86" r:id="rId9" xr:uid="{219E84E8-F1FC-4444-8BD5-CC3AAE61FBDB}"/>
    <hyperlink ref="Y87" r:id="rId10" xr:uid="{676406F9-64B2-5B4A-ADDD-963E25D10522}"/>
    <hyperlink ref="Y88" r:id="rId11" xr:uid="{3DF2C806-D9C3-0A43-9C45-AFE30C8B2947}"/>
    <hyperlink ref="Y89" r:id="rId12" xr:uid="{3626DEC1-2C3A-2749-952A-DB0082A8625B}"/>
  </hyperlinks>
  <pageMargins left="0.7" right="0.7" top="0.75" bottom="0.75" header="0.3" footer="0.3"/>
  <pageSetup paperSize="9" orientation="portrait" r:id="rId13"/>
  <drawing r:id="rId1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3883-DD98-4992-AC33-2C1B89D086E1}">
  <sheetPr>
    <tabColor rgb="FFFFFF00"/>
  </sheetPr>
  <dimension ref="A1:N91"/>
  <sheetViews>
    <sheetView topLeftCell="A53" zoomScale="113" workbookViewId="0">
      <selection activeCell="B73" sqref="B73"/>
    </sheetView>
  </sheetViews>
  <sheetFormatPr defaultColWidth="11.42578125" defaultRowHeight="12.95"/>
  <cols>
    <col min="1" max="1" width="36.140625" style="9" customWidth="1"/>
    <col min="2" max="10" width="12.42578125" style="43" customWidth="1"/>
    <col min="11" max="12" width="12.42578125" style="50" customWidth="1"/>
    <col min="13" max="13" width="12.140625" style="50" bestFit="1" customWidth="1"/>
    <col min="14" max="16384" width="11.42578125" style="42"/>
  </cols>
  <sheetData>
    <row r="1" spans="1:14" ht="15.95">
      <c r="A1" s="1342" t="e" vm="1">
        <f>Inputs!I3</f>
        <v>#VALUE!</v>
      </c>
      <c r="B1" s="1342"/>
      <c r="C1" s="1342"/>
      <c r="D1" s="1342"/>
      <c r="E1" s="1342"/>
      <c r="F1" s="1342"/>
      <c r="G1" s="1342"/>
      <c r="H1" s="1342"/>
      <c r="I1" s="1342"/>
      <c r="J1" s="1342"/>
      <c r="K1" s="1342"/>
      <c r="L1" s="1342"/>
      <c r="M1" s="1342"/>
    </row>
    <row r="2" spans="1:14" ht="12">
      <c r="A2" s="1343" t="str">
        <f>Inputs!H2</f>
        <v>Figures in Millions of USD</v>
      </c>
      <c r="B2" s="1343"/>
      <c r="C2" s="1343"/>
      <c r="D2" s="1343"/>
      <c r="E2" s="1343"/>
      <c r="F2" s="1343"/>
      <c r="G2" s="1343"/>
      <c r="H2" s="1343"/>
      <c r="I2" s="1343"/>
      <c r="J2" s="1343"/>
      <c r="K2" s="1343"/>
      <c r="L2" s="1343"/>
      <c r="M2" s="1343"/>
    </row>
    <row r="3" spans="1:14" ht="20.100000000000001">
      <c r="A3" s="1341" t="s">
        <v>343</v>
      </c>
      <c r="B3" s="1341"/>
      <c r="C3" s="1341"/>
      <c r="D3" s="1341"/>
      <c r="E3" s="1341"/>
      <c r="F3" s="1341"/>
      <c r="G3" s="1341"/>
      <c r="H3" s="1341"/>
      <c r="I3" s="1341"/>
      <c r="J3" s="1341"/>
      <c r="K3" s="1341"/>
      <c r="L3" s="1341"/>
      <c r="M3" s="1341"/>
    </row>
    <row r="4" spans="1:14">
      <c r="A4" s="109"/>
      <c r="B4" s="52">
        <f>OP!J20</f>
        <v>2023</v>
      </c>
      <c r="C4" s="44">
        <f>B4-1</f>
        <v>2022</v>
      </c>
      <c r="D4" s="44">
        <f t="shared" ref="D4:M4" si="0">C4-1</f>
        <v>2021</v>
      </c>
      <c r="E4" s="44">
        <f t="shared" si="0"/>
        <v>2020</v>
      </c>
      <c r="F4" s="44">
        <f t="shared" si="0"/>
        <v>2019</v>
      </c>
      <c r="G4" s="44">
        <f t="shared" si="0"/>
        <v>2018</v>
      </c>
      <c r="H4" s="44">
        <f t="shared" si="0"/>
        <v>2017</v>
      </c>
      <c r="I4" s="44">
        <f t="shared" si="0"/>
        <v>2016</v>
      </c>
      <c r="J4" s="44">
        <f>I4-1</f>
        <v>2015</v>
      </c>
      <c r="K4" s="44">
        <f t="shared" si="0"/>
        <v>2014</v>
      </c>
      <c r="L4" s="44">
        <f t="shared" si="0"/>
        <v>2013</v>
      </c>
      <c r="M4" s="44">
        <f t="shared" si="0"/>
        <v>2012</v>
      </c>
      <c r="N4" s="44">
        <f>M4-1</f>
        <v>2011</v>
      </c>
    </row>
    <row r="5" spans="1:14">
      <c r="A5" s="110" t="s">
        <v>118</v>
      </c>
      <c r="B5" s="53">
        <f>_xlfn.XLOOKUP($A5,Inputs!$A:$A,Inputs!B:B,,0)</f>
        <v>5172.7</v>
      </c>
      <c r="C5" s="53">
        <f>_xlfn.XLOOKUP($A5,Inputs!$A:$A,Inputs!C:C,,0)</f>
        <v>4417.3999999999996</v>
      </c>
      <c r="D5" s="53">
        <f>_xlfn.XLOOKUP($A5,Inputs!$A:$A,Inputs!D:D,,0)</f>
        <v>3342.2</v>
      </c>
      <c r="E5" s="53">
        <f>_xlfn.XLOOKUP($A5,Inputs!$A:$A,Inputs!E:E,,0)</f>
        <v>2594.4</v>
      </c>
      <c r="F5" s="53">
        <f>_xlfn.XLOOKUP($A5,Inputs!$A:$A,Inputs!F:F,,0)</f>
        <v>2163</v>
      </c>
      <c r="G5" s="53">
        <f>_xlfn.XLOOKUP($A5,Inputs!$A:$A,Inputs!G:G,,0)</f>
        <v>1801.2</v>
      </c>
      <c r="H5" s="53">
        <f>_xlfn.XLOOKUP($A5,Inputs!$A:$A,Inputs!H:H,,0)</f>
        <v>1494.9</v>
      </c>
      <c r="I5" s="53">
        <f>_xlfn.XLOOKUP($A5,Inputs!$A:$A,Inputs!I:I,,0)</f>
        <v>1275.4000000000001</v>
      </c>
      <c r="J5" s="53">
        <f>_xlfn.XLOOKUP($A5,Inputs!$A:$A,Inputs!J:J,,0)</f>
        <v>1009.3</v>
      </c>
      <c r="K5" s="53">
        <f>_xlfn.XLOOKUP($A5,Inputs!$A:$A,Inputs!K:K,,0)</f>
        <v>770.4</v>
      </c>
      <c r="L5" s="53">
        <f>_xlfn.XLOOKUP($A5,Inputs!$A:$A,Inputs!L:L,,0)</f>
        <v>615.29999999999995</v>
      </c>
      <c r="M5" s="53">
        <f>_xlfn.XLOOKUP($A5,Inputs!$A:$A,Inputs!M:M,,0)</f>
        <v>533.6</v>
      </c>
      <c r="N5" s="54">
        <f>_xlfn.XLOOKUP($A5,Inputs!$A:$A,Inputs!N:N,,0)</f>
        <v>433.6</v>
      </c>
    </row>
    <row r="6" spans="1:14">
      <c r="A6" s="111" t="s">
        <v>9283</v>
      </c>
      <c r="B6" s="55">
        <f>IFERROR(B5/C5-1,"-")</f>
        <v>0.1709829311359623</v>
      </c>
      <c r="C6" s="55">
        <f t="shared" ref="C6:M6" si="1">IFERROR(C5/D5-1,"-")</f>
        <v>0.32170426665070906</v>
      </c>
      <c r="D6" s="55">
        <f t="shared" si="1"/>
        <v>0.28823620104841186</v>
      </c>
      <c r="E6" s="55">
        <f t="shared" si="1"/>
        <v>0.19944521497919565</v>
      </c>
      <c r="F6" s="55">
        <f t="shared" si="1"/>
        <v>0.20086608927381744</v>
      </c>
      <c r="G6" s="55">
        <f t="shared" si="1"/>
        <v>0.20489664860525791</v>
      </c>
      <c r="H6" s="55">
        <f t="shared" si="1"/>
        <v>0.17210286968794097</v>
      </c>
      <c r="I6" s="55">
        <f t="shared" si="1"/>
        <v>0.26364807292182713</v>
      </c>
      <c r="J6" s="55">
        <f t="shared" si="1"/>
        <v>0.31009865005192117</v>
      </c>
      <c r="K6" s="55">
        <f t="shared" si="1"/>
        <v>0.25207215992198928</v>
      </c>
      <c r="L6" s="55">
        <f t="shared" si="1"/>
        <v>0.1531109445277361</v>
      </c>
      <c r="M6" s="55">
        <f t="shared" si="1"/>
        <v>0.23062730627306283</v>
      </c>
      <c r="N6" s="56" t="str">
        <f>IFERROR(N5/#REF!-1,"-")</f>
        <v>-</v>
      </c>
    </row>
    <row r="7" spans="1:14">
      <c r="A7" s="110" t="s">
        <v>9284</v>
      </c>
      <c r="B7" s="53">
        <f>_xlfn.XLOOKUP($A7,Inputs!$A:$A,Inputs!B:B,,0)</f>
        <v>3954.1</v>
      </c>
      <c r="C7" s="53">
        <f>_xlfn.XLOOKUP($A7,Inputs!$A:$A,Inputs!C:C,,0)</f>
        <v>3332.5</v>
      </c>
      <c r="D7" s="53">
        <f>_xlfn.XLOOKUP($A7,Inputs!$A:$A,Inputs!D:D,,0)</f>
        <v>2559.1999999999998</v>
      </c>
      <c r="E7" s="53">
        <f>_xlfn.XLOOKUP($A7,Inputs!$A:$A,Inputs!E:E,,0)</f>
        <v>2024.4</v>
      </c>
      <c r="F7" s="53">
        <f>_xlfn.XLOOKUP($A7,Inputs!$A:$A,Inputs!F:F,,0)</f>
        <v>1657.1</v>
      </c>
      <c r="G7" s="53">
        <f>_xlfn.XLOOKUP($A7,Inputs!$A:$A,Inputs!G:G,,0)</f>
        <v>1350.8</v>
      </c>
      <c r="H7" s="53">
        <f>_xlfn.XLOOKUP($A7,Inputs!$A:$A,Inputs!H:H,,0)</f>
        <v>1109.5999999999999</v>
      </c>
      <c r="I7" s="53">
        <f>_xlfn.XLOOKUP($A7,Inputs!$A:$A,Inputs!I:I,,0)</f>
        <v>937.6</v>
      </c>
      <c r="J7" s="53">
        <f>_xlfn.XLOOKUP($A7,Inputs!$A:$A,Inputs!J:J,,0)</f>
        <v>722.5</v>
      </c>
      <c r="K7" s="53">
        <f>_xlfn.XLOOKUP($A7,Inputs!$A:$A,Inputs!K:K,,0)</f>
        <v>539.4</v>
      </c>
      <c r="L7" s="53">
        <f>_xlfn.XLOOKUP($A7,Inputs!$A:$A,Inputs!L:L,,0)</f>
        <v>434.7</v>
      </c>
      <c r="M7" s="53">
        <f>_xlfn.XLOOKUP($A7,Inputs!$A:$A,Inputs!M:M,,0)</f>
        <v>386.2</v>
      </c>
      <c r="N7" s="54">
        <f>_xlfn.XLOOKUP($A7,Inputs!$A:$A,Inputs!N:N,,0)</f>
        <v>320</v>
      </c>
    </row>
    <row r="8" spans="1:14">
      <c r="A8" s="111" t="s">
        <v>9285</v>
      </c>
      <c r="B8" s="55">
        <f>IFERROR(B7/B$5,"-")</f>
        <v>0.76441703559069729</v>
      </c>
      <c r="C8" s="55">
        <f t="shared" ref="C8:N8" si="2">IFERROR(C7/C$5,"-")</f>
        <v>0.75440304251369594</v>
      </c>
      <c r="D8" s="55">
        <f t="shared" si="2"/>
        <v>0.76572317635090659</v>
      </c>
      <c r="E8" s="55">
        <f t="shared" si="2"/>
        <v>0.78029602220166516</v>
      </c>
      <c r="F8" s="55">
        <f t="shared" si="2"/>
        <v>0.76611188164586219</v>
      </c>
      <c r="G8" s="55">
        <f t="shared" si="2"/>
        <v>0.74994448145680648</v>
      </c>
      <c r="H8" s="55">
        <f t="shared" si="2"/>
        <v>0.74225700715766929</v>
      </c>
      <c r="I8" s="55">
        <f t="shared" si="2"/>
        <v>0.735141916261565</v>
      </c>
      <c r="J8" s="55">
        <f t="shared" si="2"/>
        <v>0.71584266323194301</v>
      </c>
      <c r="K8" s="55">
        <f t="shared" si="2"/>
        <v>0.70015576323987538</v>
      </c>
      <c r="L8" s="55">
        <f t="shared" si="2"/>
        <v>0.70648464163822533</v>
      </c>
      <c r="M8" s="55">
        <f t="shared" si="2"/>
        <v>0.72376311844077956</v>
      </c>
      <c r="N8" s="56">
        <f t="shared" si="2"/>
        <v>0.73800738007380073</v>
      </c>
    </row>
    <row r="9" spans="1:14">
      <c r="A9" s="110" t="s">
        <v>9286</v>
      </c>
      <c r="B9" s="53">
        <f>B5-B11</f>
        <v>3959.2</v>
      </c>
      <c r="C9" s="53">
        <f>C5-C11</f>
        <v>3447.7999999999997</v>
      </c>
      <c r="D9" s="53">
        <f t="shared" ref="D9:N9" si="3">D5-D11</f>
        <v>2691.7999999999997</v>
      </c>
      <c r="E9" s="53">
        <f t="shared" si="3"/>
        <v>2066.9</v>
      </c>
      <c r="F9" s="53">
        <f t="shared" si="3"/>
        <v>1815.8</v>
      </c>
      <c r="G9" s="53">
        <f t="shared" si="3"/>
        <v>1570.2</v>
      </c>
      <c r="H9" s="53">
        <f t="shared" si="3"/>
        <v>1385.1000000000001</v>
      </c>
      <c r="I9" s="53">
        <f t="shared" si="3"/>
        <v>1232.5</v>
      </c>
      <c r="J9" s="53">
        <f t="shared" si="3"/>
        <v>994.4</v>
      </c>
      <c r="K9" s="53">
        <f t="shared" si="3"/>
        <v>711.1</v>
      </c>
      <c r="L9" s="53">
        <f t="shared" si="3"/>
        <v>543.19999999999993</v>
      </c>
      <c r="M9" s="53">
        <f t="shared" si="3"/>
        <v>433.1</v>
      </c>
      <c r="N9" s="54">
        <f t="shared" si="3"/>
        <v>344.70000000000005</v>
      </c>
    </row>
    <row r="10" spans="1:14">
      <c r="A10" s="111" t="s">
        <v>9285</v>
      </c>
      <c r="B10" s="55">
        <f>IFERROR(B9/B$5,"-")</f>
        <v>0.76540298103504933</v>
      </c>
      <c r="C10" s="55">
        <f t="shared" ref="C10:N10" si="4">IFERROR(C9/C$5,"-")</f>
        <v>0.78050436908588761</v>
      </c>
      <c r="D10" s="55">
        <f t="shared" si="4"/>
        <v>0.80539764227155763</v>
      </c>
      <c r="E10" s="55">
        <f t="shared" si="4"/>
        <v>0.796677459142769</v>
      </c>
      <c r="F10" s="55">
        <f t="shared" si="4"/>
        <v>0.83948220064724921</v>
      </c>
      <c r="G10" s="55">
        <f t="shared" si="4"/>
        <v>0.87175216522318455</v>
      </c>
      <c r="H10" s="55">
        <f t="shared" si="4"/>
        <v>0.92655027092113185</v>
      </c>
      <c r="I10" s="55">
        <f t="shared" si="4"/>
        <v>0.96636349380586473</v>
      </c>
      <c r="J10" s="55">
        <f t="shared" si="4"/>
        <v>0.98523729317348663</v>
      </c>
      <c r="K10" s="55">
        <f t="shared" si="4"/>
        <v>0.92302699896157847</v>
      </c>
      <c r="L10" s="55">
        <f t="shared" si="4"/>
        <v>0.88282138794084186</v>
      </c>
      <c r="M10" s="55">
        <f t="shared" si="4"/>
        <v>0.81165667166416788</v>
      </c>
      <c r="N10" s="56">
        <f t="shared" si="4"/>
        <v>0.7949723247232473</v>
      </c>
    </row>
    <row r="11" spans="1:14">
      <c r="A11" s="110" t="s">
        <v>307</v>
      </c>
      <c r="B11" s="53">
        <f>_xlfn.XLOOKUP($A11,Inputs!$A:$A,Inputs!B:B,,0)</f>
        <v>1213.5</v>
      </c>
      <c r="C11" s="53">
        <f>_xlfn.XLOOKUP($A11,Inputs!$A:$A,Inputs!C:C,,0)</f>
        <v>969.6</v>
      </c>
      <c r="D11" s="53">
        <f>_xlfn.XLOOKUP($A11,Inputs!$A:$A,Inputs!D:D,,0)</f>
        <v>650.4</v>
      </c>
      <c r="E11" s="53">
        <f>_xlfn.XLOOKUP($A11,Inputs!$A:$A,Inputs!E:E,,0)</f>
        <v>527.5</v>
      </c>
      <c r="F11" s="53">
        <f>_xlfn.XLOOKUP($A11,Inputs!$A:$A,Inputs!F:F,,0)</f>
        <v>347.2</v>
      </c>
      <c r="G11" s="53">
        <f>_xlfn.XLOOKUP($A11,Inputs!$A:$A,Inputs!G:G,,0)</f>
        <v>231</v>
      </c>
      <c r="H11" s="53">
        <f>_xlfn.XLOOKUP($A11,Inputs!$A:$A,Inputs!H:H,,0)</f>
        <v>109.8</v>
      </c>
      <c r="I11" s="53">
        <f>_xlfn.XLOOKUP($A11,Inputs!$A:$A,Inputs!I:I,,0)</f>
        <v>42.9</v>
      </c>
      <c r="J11" s="53">
        <f>_xlfn.XLOOKUP($A11,Inputs!$A:$A,Inputs!J:J,,0)</f>
        <v>14.9</v>
      </c>
      <c r="K11" s="53">
        <f>_xlfn.XLOOKUP($A11,Inputs!$A:$A,Inputs!K:K,,0)</f>
        <v>59.3</v>
      </c>
      <c r="L11" s="53">
        <f>_xlfn.XLOOKUP($A11,Inputs!$A:$A,Inputs!L:L,,0)</f>
        <v>72.099999999999994</v>
      </c>
      <c r="M11" s="53">
        <f>_xlfn.XLOOKUP($A11,Inputs!$A:$A,Inputs!M:M,,0)</f>
        <v>100.5</v>
      </c>
      <c r="N11" s="54">
        <f>_xlfn.XLOOKUP($A11,Inputs!$A:$A,Inputs!N:N,,0)</f>
        <v>88.9</v>
      </c>
    </row>
    <row r="12" spans="1:14">
      <c r="A12" s="111" t="s">
        <v>119</v>
      </c>
      <c r="B12" s="55">
        <f>IFERROR(B11/B$5,"-")</f>
        <v>0.23459701896495061</v>
      </c>
      <c r="C12" s="55">
        <f t="shared" ref="C12:N12" si="5">IFERROR(C11/C$5,"-")</f>
        <v>0.21949563091411239</v>
      </c>
      <c r="D12" s="55">
        <f t="shared" si="5"/>
        <v>0.19460235772844234</v>
      </c>
      <c r="E12" s="55">
        <f t="shared" si="5"/>
        <v>0.20332254085723095</v>
      </c>
      <c r="F12" s="55">
        <f t="shared" si="5"/>
        <v>0.16051779935275082</v>
      </c>
      <c r="G12" s="55">
        <f t="shared" si="5"/>
        <v>0.12824783477681545</v>
      </c>
      <c r="H12" s="55">
        <f t="shared" si="5"/>
        <v>7.344972907886814E-2</v>
      </c>
      <c r="I12" s="55">
        <f t="shared" si="5"/>
        <v>3.363650619413517E-2</v>
      </c>
      <c r="J12" s="55">
        <f t="shared" si="5"/>
        <v>1.4762706826513426E-2</v>
      </c>
      <c r="K12" s="55">
        <f t="shared" si="5"/>
        <v>7.6973001038421598E-2</v>
      </c>
      <c r="L12" s="55">
        <f t="shared" si="5"/>
        <v>0.11717861205915814</v>
      </c>
      <c r="M12" s="55">
        <f t="shared" si="5"/>
        <v>0.18834332833583209</v>
      </c>
      <c r="N12" s="56">
        <f t="shared" si="5"/>
        <v>0.20502767527675278</v>
      </c>
    </row>
    <row r="13" spans="1:14">
      <c r="A13" s="110" t="s">
        <v>9287</v>
      </c>
      <c r="B13" s="55">
        <f>IFERROR(B12/C12-1,"-")</f>
        <v>6.8800403852900871E-2</v>
      </c>
      <c r="C13" s="55">
        <f t="shared" ref="C13" si="6">IFERROR(C12/D12-1,"-")</f>
        <v>0.12791866180988087</v>
      </c>
      <c r="D13" s="55">
        <f t="shared" ref="D13" si="7">IFERROR(D12/E12-1,"-")</f>
        <v>-4.2888422956074312E-2</v>
      </c>
      <c r="E13" s="55">
        <f t="shared" ref="E13" si="8">IFERROR(E12/F12-1,"-")</f>
        <v>0.26666663558234593</v>
      </c>
      <c r="F13" s="55">
        <f t="shared" ref="F13" si="9">IFERROR(F12/G12-1,"-")</f>
        <v>0.25162190560248821</v>
      </c>
      <c r="G13" s="55">
        <f t="shared" ref="G13" si="10">IFERROR(G12/H12-1,"-")</f>
        <v>0.74606273413352864</v>
      </c>
      <c r="H13" s="55">
        <f t="shared" ref="H13" si="11">IFERROR(H12/I12-1,"-")</f>
        <v>1.1836313395615021</v>
      </c>
      <c r="I13" s="55">
        <f t="shared" ref="I13" si="12">IFERROR(I12/J12-1,"-")</f>
        <v>1.2784782350161494</v>
      </c>
      <c r="J13" s="55">
        <f t="shared" ref="J13" si="13">IFERROR(J12/K12-1,"-")</f>
        <v>-0.80820928601777497</v>
      </c>
      <c r="K13" s="55">
        <f t="shared" ref="K13" si="14">IFERROR(K12/L12-1,"-")</f>
        <v>-0.34311390375948947</v>
      </c>
      <c r="L13" s="55">
        <f t="shared" ref="L13" si="15">IFERROR(L12/M12-1,"-")</f>
        <v>-0.3778456975645097</v>
      </c>
      <c r="M13" s="55">
        <f t="shared" ref="M13" si="16">IFERROR(M12/N12-1,"-")</f>
        <v>-8.1376072368764985E-2</v>
      </c>
      <c r="N13" s="56" t="str">
        <f>IFERROR(N12/#REF!-1,"-")</f>
        <v>-</v>
      </c>
    </row>
    <row r="14" spans="1:14">
      <c r="A14" s="112" t="s">
        <v>308</v>
      </c>
      <c r="B14" s="53">
        <f>_xlfn.XLOOKUP($A14,Inputs!$A:$A,Inputs!B:B,,0)</f>
        <v>78.2</v>
      </c>
      <c r="C14" s="53">
        <f>_xlfn.XLOOKUP($A14,Inputs!$A:$A,Inputs!C:C,,0)</f>
        <v>-5.2</v>
      </c>
      <c r="D14" s="53">
        <f>_xlfn.XLOOKUP($A14,Inputs!$A:$A,Inputs!D:D,,0)</f>
        <v>-18.600000000000001</v>
      </c>
      <c r="E14" s="53">
        <f>_xlfn.XLOOKUP($A14,Inputs!$A:$A,Inputs!E:E,,0)</f>
        <v>12.2</v>
      </c>
      <c r="F14" s="53">
        <f>_xlfn.XLOOKUP($A14,Inputs!$A:$A,Inputs!F:F,,0)</f>
        <v>37.799999999999997</v>
      </c>
      <c r="G14" s="53">
        <f>_xlfn.XLOOKUP($A14,Inputs!$A:$A,Inputs!G:G,,0)</f>
        <v>28.7</v>
      </c>
      <c r="H14" s="53">
        <f>_xlfn.XLOOKUP($A14,Inputs!$A:$A,Inputs!H:H,,0)</f>
        <v>13.5</v>
      </c>
      <c r="I14" s="53">
        <f>_xlfn.XLOOKUP($A14,Inputs!$A:$A,Inputs!I:I,,0)</f>
        <v>7.3</v>
      </c>
      <c r="J14" s="53">
        <f>_xlfn.XLOOKUP($A14,Inputs!$A:$A,Inputs!J:J,,0)</f>
        <v>5.3</v>
      </c>
      <c r="K14" s="53">
        <f>_xlfn.XLOOKUP($A14,Inputs!$A:$A,Inputs!K:K,,0)</f>
        <v>5.4</v>
      </c>
      <c r="L14" s="53">
        <f>_xlfn.XLOOKUP($A14,Inputs!$A:$A,Inputs!L:L,,0)</f>
        <v>5.3</v>
      </c>
      <c r="M14" s="53">
        <f>_xlfn.XLOOKUP($A14,Inputs!$A:$A,Inputs!M:M,,0)</f>
        <v>5</v>
      </c>
      <c r="N14" s="54">
        <f>_xlfn.XLOOKUP($A14,Inputs!$A:$A,Inputs!N:N,,0)</f>
        <v>3.5</v>
      </c>
    </row>
    <row r="15" spans="1:14">
      <c r="A15" s="110" t="s">
        <v>9288</v>
      </c>
      <c r="B15" s="53">
        <f>_xlfn.XLOOKUP($A15,Inputs!$A:$A,Inputs!B:B,,0)</f>
        <v>-83.2</v>
      </c>
      <c r="C15" s="53">
        <f>_xlfn.XLOOKUP($A15,Inputs!$A:$A,Inputs!C:C,,0)</f>
        <v>-76.3</v>
      </c>
      <c r="D15" s="53">
        <f>_xlfn.XLOOKUP($A15,Inputs!$A:$A,Inputs!D:D,,0)</f>
        <v>-10.899999999999999</v>
      </c>
      <c r="E15" s="53">
        <f>_xlfn.XLOOKUP($A15,Inputs!$A:$A,Inputs!E:E,,0)</f>
        <v>2</v>
      </c>
      <c r="F15" s="53">
        <f>_xlfn.XLOOKUP($A15,Inputs!$A:$A,Inputs!F:F,,0)</f>
        <v>3.1</v>
      </c>
      <c r="G15" s="53">
        <f>_xlfn.XLOOKUP($A15,Inputs!$A:$A,Inputs!G:G,,0)</f>
        <v>-41.400000000000006</v>
      </c>
      <c r="H15" s="53">
        <f>_xlfn.XLOOKUP($A15,Inputs!$A:$A,Inputs!H:H,,0)</f>
        <v>-62.4</v>
      </c>
      <c r="I15" s="53">
        <f>_xlfn.XLOOKUP($A15,Inputs!$A:$A,Inputs!I:I,,0)</f>
        <v>-7.1</v>
      </c>
      <c r="J15" s="53">
        <f>_xlfn.XLOOKUP($A15,Inputs!$A:$A,Inputs!J:J,,0)</f>
        <v>-3.2</v>
      </c>
      <c r="K15" s="53">
        <f>_xlfn.XLOOKUP($A15,Inputs!$A:$A,Inputs!K:K,,0)</f>
        <v>-3.2</v>
      </c>
      <c r="L15" s="53">
        <f>_xlfn.XLOOKUP($A15,Inputs!$A:$A,Inputs!L:L,,0)</f>
        <v>-1.5</v>
      </c>
      <c r="M15" s="53">
        <f>_xlfn.XLOOKUP($A15,Inputs!$A:$A,Inputs!M:M,,0)</f>
        <v>-0.5</v>
      </c>
      <c r="N15" s="54">
        <f>_xlfn.XLOOKUP($A15,Inputs!$A:$A,Inputs!N:N,,0)</f>
        <v>-0.4</v>
      </c>
    </row>
    <row r="16" spans="1:14">
      <c r="A16" s="112" t="s">
        <v>59</v>
      </c>
      <c r="B16" s="53">
        <f>B11-B15</f>
        <v>1296.7</v>
      </c>
      <c r="C16" s="53">
        <f>C11-C15</f>
        <v>1045.9000000000001</v>
      </c>
      <c r="D16" s="53">
        <f t="shared" ref="D16:N16" si="17">D11-D15</f>
        <v>661.3</v>
      </c>
      <c r="E16" s="53">
        <f t="shared" si="17"/>
        <v>525.5</v>
      </c>
      <c r="F16" s="53">
        <f t="shared" si="17"/>
        <v>344.09999999999997</v>
      </c>
      <c r="G16" s="53">
        <f>G11-G15</f>
        <v>272.39999999999998</v>
      </c>
      <c r="H16" s="53">
        <f t="shared" si="17"/>
        <v>172.2</v>
      </c>
      <c r="I16" s="53">
        <f t="shared" si="17"/>
        <v>50</v>
      </c>
      <c r="J16" s="53">
        <f t="shared" si="17"/>
        <v>18.100000000000001</v>
      </c>
      <c r="K16" s="53">
        <f t="shared" si="17"/>
        <v>62.5</v>
      </c>
      <c r="L16" s="53">
        <f t="shared" si="17"/>
        <v>73.599999999999994</v>
      </c>
      <c r="M16" s="53">
        <f t="shared" si="17"/>
        <v>101</v>
      </c>
      <c r="N16" s="54">
        <f t="shared" si="17"/>
        <v>89.300000000000011</v>
      </c>
    </row>
    <row r="17" spans="1:14">
      <c r="A17" s="110" t="s">
        <v>54</v>
      </c>
      <c r="B17" s="53">
        <f>_xlfn.XLOOKUP($A17,Inputs!$A:$A,Inputs!B:B,,0)</f>
        <v>110.5</v>
      </c>
      <c r="C17" s="53">
        <f>_xlfn.XLOOKUP($A17,Inputs!$A:$A,Inputs!C:C,,0)</f>
        <v>104.3</v>
      </c>
      <c r="D17" s="53">
        <f>_xlfn.XLOOKUP($A17,Inputs!$A:$A,Inputs!D:D,,0)</f>
        <v>84.4</v>
      </c>
      <c r="E17" s="53">
        <f>_xlfn.XLOOKUP($A17,Inputs!$A:$A,Inputs!E:E,,0)</f>
        <v>68.8</v>
      </c>
      <c r="F17" s="53">
        <f>_xlfn.XLOOKUP($A17,Inputs!$A:$A,Inputs!F:F,,0)</f>
        <v>61.6</v>
      </c>
      <c r="G17" s="53">
        <f>_xlfn.XLOOKUP($A17,Inputs!$A:$A,Inputs!G:G,,0)</f>
        <v>55.7</v>
      </c>
      <c r="H17" s="53">
        <f>_xlfn.XLOOKUP($A17,Inputs!$A:$A,Inputs!H:H,,0)</f>
        <v>55.5</v>
      </c>
      <c r="I17" s="53">
        <f>_xlfn.XLOOKUP($A17,Inputs!$A:$A,Inputs!I:I,,0)</f>
        <v>48.5</v>
      </c>
      <c r="J17" s="53">
        <f>_xlfn.XLOOKUP($A17,Inputs!$A:$A,Inputs!J:J,,0)</f>
        <v>31.6</v>
      </c>
      <c r="K17" s="53">
        <f>_xlfn.XLOOKUP($A17,Inputs!$A:$A,Inputs!K:K,,0)</f>
        <v>22</v>
      </c>
      <c r="L17" s="53">
        <f>_xlfn.XLOOKUP($A17,Inputs!$A:$A,Inputs!L:L,,0)</f>
        <v>15.6</v>
      </c>
      <c r="M17" s="53">
        <f>_xlfn.XLOOKUP($A17,Inputs!$A:$A,Inputs!M:M,,0)</f>
        <v>11.6</v>
      </c>
      <c r="N17" s="54">
        <f>_xlfn.XLOOKUP($A17,Inputs!$A:$A,Inputs!N:N,,0)</f>
        <v>7</v>
      </c>
    </row>
    <row r="18" spans="1:14">
      <c r="A18" s="112" t="s">
        <v>9289</v>
      </c>
      <c r="B18" s="53">
        <f>_xlfn.XLOOKUP($A18,Inputs!$A:$A,Inputs!B:B,,0)</f>
        <v>-3888.4</v>
      </c>
      <c r="C18" s="53">
        <f>_xlfn.XLOOKUP($A18,Inputs!$A:$A,Inputs!C:C,,0)</f>
        <v>-914.30000000000018</v>
      </c>
      <c r="D18" s="53">
        <f>_xlfn.XLOOKUP($A18,Inputs!$A:$A,Inputs!D:D,,0)</f>
        <v>114.29999999999995</v>
      </c>
      <c r="E18" s="53">
        <f>_xlfn.XLOOKUP($A18,Inputs!$A:$A,Inputs!E:E,,0)</f>
        <v>-223.79999999999995</v>
      </c>
      <c r="F18" s="53">
        <f>_xlfn.XLOOKUP($A18,Inputs!$A:$A,Inputs!F:F,,0)</f>
        <v>220.80000000000018</v>
      </c>
      <c r="G18" s="53">
        <f>_xlfn.XLOOKUP($A18,Inputs!$A:$A,Inputs!G:G,,0)</f>
        <v>-26.5</v>
      </c>
      <c r="H18" s="53">
        <f>_xlfn.XLOOKUP($A18,Inputs!$A:$A,Inputs!H:H,,0)</f>
        <v>-121.70000000000016</v>
      </c>
      <c r="I18" s="53">
        <f>_xlfn.XLOOKUP($A18,Inputs!$A:$A,Inputs!I:I,,0)</f>
        <v>-48.499999999999886</v>
      </c>
      <c r="J18" s="53">
        <f>_xlfn.XLOOKUP($A18,Inputs!$A:$A,Inputs!J:J,,0)</f>
        <v>-218.30000000000013</v>
      </c>
      <c r="K18" s="53">
        <f>_xlfn.XLOOKUP($A18,Inputs!$A:$A,Inputs!K:K,,0)</f>
        <v>60.600000000000108</v>
      </c>
      <c r="L18" s="53">
        <f>_xlfn.XLOOKUP($A18,Inputs!$A:$A,Inputs!L:L,,0)</f>
        <v>79.500000000000028</v>
      </c>
      <c r="M18" s="53">
        <f>_xlfn.XLOOKUP($A18,Inputs!$A:$A,Inputs!M:M,,0)</f>
        <v>-57.700000000000102</v>
      </c>
      <c r="N18" s="54">
        <f>_xlfn.XLOOKUP($A18,Inputs!$A:$A,Inputs!N:N,,0)</f>
        <v>184.70000000000005</v>
      </c>
    </row>
    <row r="19" spans="1:14">
      <c r="A19" s="110" t="s">
        <v>50</v>
      </c>
      <c r="B19" s="53">
        <f>B11-B15+B17</f>
        <v>1407.2</v>
      </c>
      <c r="C19" s="53">
        <f>C11-C15+C17</f>
        <v>1150.2</v>
      </c>
      <c r="D19" s="53">
        <f>D11-D15+D17</f>
        <v>745.69999999999993</v>
      </c>
      <c r="E19" s="53">
        <f t="shared" ref="E19:N19" si="18">E11-E15+E17</f>
        <v>594.29999999999995</v>
      </c>
      <c r="F19" s="53">
        <f>F11-F15+F17</f>
        <v>405.7</v>
      </c>
      <c r="G19" s="53">
        <f t="shared" si="18"/>
        <v>328.09999999999997</v>
      </c>
      <c r="H19" s="53">
        <f t="shared" si="18"/>
        <v>227.7</v>
      </c>
      <c r="I19" s="53">
        <f t="shared" si="18"/>
        <v>98.5</v>
      </c>
      <c r="J19" s="53">
        <f t="shared" si="18"/>
        <v>49.7</v>
      </c>
      <c r="K19" s="53">
        <f t="shared" si="18"/>
        <v>84.5</v>
      </c>
      <c r="L19" s="53">
        <f t="shared" si="18"/>
        <v>89.199999999999989</v>
      </c>
      <c r="M19" s="53">
        <f t="shared" si="18"/>
        <v>112.6</v>
      </c>
      <c r="N19" s="54">
        <f t="shared" si="18"/>
        <v>96.300000000000011</v>
      </c>
    </row>
    <row r="20" spans="1:14">
      <c r="A20" s="111" t="s">
        <v>9290</v>
      </c>
      <c r="B20" s="55">
        <f>IFERROR(B19/B$5,"-")</f>
        <v>0.27204361358671486</v>
      </c>
      <c r="C20" s="55">
        <f t="shared" ref="C20:N20" si="19">IFERROR(C19/C$5,"-")</f>
        <v>0.26037940870195142</v>
      </c>
      <c r="D20" s="55">
        <f t="shared" si="19"/>
        <v>0.22311651008317873</v>
      </c>
      <c r="E20" s="55">
        <f t="shared" si="19"/>
        <v>0.22907030527289543</v>
      </c>
      <c r="F20" s="55">
        <f t="shared" si="19"/>
        <v>0.18756356911696717</v>
      </c>
      <c r="G20" s="55">
        <f t="shared" si="19"/>
        <v>0.18215634021763266</v>
      </c>
      <c r="H20" s="55">
        <f t="shared" si="19"/>
        <v>0.15231788079470196</v>
      </c>
      <c r="I20" s="55">
        <f t="shared" si="19"/>
        <v>7.7230672730123878E-2</v>
      </c>
      <c r="J20" s="55">
        <f t="shared" si="19"/>
        <v>4.9242048944813245E-2</v>
      </c>
      <c r="K20" s="55">
        <f t="shared" si="19"/>
        <v>0.10968328141225338</v>
      </c>
      <c r="L20" s="55">
        <f t="shared" si="19"/>
        <v>0.1449699333658378</v>
      </c>
      <c r="M20" s="55">
        <f t="shared" si="19"/>
        <v>0.21101949025487254</v>
      </c>
      <c r="N20" s="56">
        <f t="shared" si="19"/>
        <v>0.22209409594095941</v>
      </c>
    </row>
    <row r="21" spans="1:14">
      <c r="A21" s="110" t="s">
        <v>309</v>
      </c>
      <c r="B21" s="53">
        <f>_xlfn.XLOOKUP($A21,Inputs!$A:$A,Inputs!B:B,,0)</f>
        <v>-57.8</v>
      </c>
      <c r="C21" s="53">
        <f>_xlfn.XLOOKUP($A21,Inputs!$A:$A,Inputs!C:C,,0)</f>
        <v>-30.8</v>
      </c>
      <c r="D21" s="53">
        <f>_xlfn.XLOOKUP($A21,Inputs!$A:$A,Inputs!D:D,,0)</f>
        <v>-14.1</v>
      </c>
      <c r="E21" s="53">
        <f>_xlfn.XLOOKUP($A21,Inputs!$A:$A,Inputs!E:E,,0)</f>
        <v>-53.2</v>
      </c>
      <c r="F21" s="53">
        <f>_xlfn.XLOOKUP($A21,Inputs!$A:$A,Inputs!F:F,,0)</f>
        <v>-56.4</v>
      </c>
      <c r="G21" s="53">
        <f>_xlfn.XLOOKUP($A21,Inputs!$A:$A,Inputs!G:G,,0)</f>
        <v>113.9</v>
      </c>
      <c r="H21" s="53">
        <f>_xlfn.XLOOKUP($A21,Inputs!$A:$A,Inputs!H:H,,0)</f>
        <v>-29.5</v>
      </c>
      <c r="I21" s="53">
        <f>_xlfn.XLOOKUP($A21,Inputs!$A:$A,Inputs!I:I,,0)</f>
        <v>-11</v>
      </c>
      <c r="J21" s="53">
        <f>_xlfn.XLOOKUP($A21,Inputs!$A:$A,Inputs!J:J,,0)</f>
        <v>-9</v>
      </c>
      <c r="K21" s="53">
        <f>_xlfn.XLOOKUP($A21,Inputs!$A:$A,Inputs!K:K,,0)</f>
        <v>-36.200000000000003</v>
      </c>
      <c r="L21" s="53">
        <f>_xlfn.XLOOKUP($A21,Inputs!$A:$A,Inputs!L:L,,0)</f>
        <v>-31.7</v>
      </c>
      <c r="M21" s="53">
        <f>_xlfn.XLOOKUP($A21,Inputs!$A:$A,Inputs!M:M,,0)</f>
        <v>-38.200000000000003</v>
      </c>
      <c r="N21" s="54">
        <f>_xlfn.XLOOKUP($A21,Inputs!$A:$A,Inputs!N:N,,0)</f>
        <v>-29.6</v>
      </c>
    </row>
    <row r="22" spans="1:14">
      <c r="A22" s="111" t="s">
        <v>9291</v>
      </c>
      <c r="B22" s="55">
        <f>IFERROR(B21/B$5,"-")</f>
        <v>-1.1174048369323564E-2</v>
      </c>
      <c r="C22" s="55">
        <f t="shared" ref="C22:N22" si="20">IFERROR(C21/C$5,"-")</f>
        <v>-6.9724272196314578E-3</v>
      </c>
      <c r="D22" s="55">
        <f t="shared" si="20"/>
        <v>-4.2187780503859735E-3</v>
      </c>
      <c r="E22" s="55">
        <f t="shared" si="20"/>
        <v>-2.0505704594511256E-2</v>
      </c>
      <c r="F22" s="55">
        <f t="shared" si="20"/>
        <v>-2.6074895977808599E-2</v>
      </c>
      <c r="G22" s="55">
        <f t="shared" si="20"/>
        <v>6.3235620697312908E-2</v>
      </c>
      <c r="H22" s="55">
        <f t="shared" si="20"/>
        <v>-1.9733761455615759E-2</v>
      </c>
      <c r="I22" s="55">
        <f t="shared" si="20"/>
        <v>-8.6247451779833777E-3</v>
      </c>
      <c r="J22" s="55">
        <f t="shared" si="20"/>
        <v>-8.9170712374913308E-3</v>
      </c>
      <c r="K22" s="55">
        <f t="shared" si="20"/>
        <v>-4.6988577362409141E-2</v>
      </c>
      <c r="L22" s="55">
        <f t="shared" si="20"/>
        <v>-5.1519583942792137E-2</v>
      </c>
      <c r="M22" s="55">
        <f t="shared" si="20"/>
        <v>-7.1589205397301348E-2</v>
      </c>
      <c r="N22" s="56">
        <f t="shared" si="20"/>
        <v>-6.8265682656826573E-2</v>
      </c>
    </row>
    <row r="23" spans="1:14">
      <c r="A23" s="110" t="s">
        <v>63</v>
      </c>
      <c r="B23" s="53">
        <f>_xlfn.XLOOKUP($A23,Inputs!$A:$A,Inputs!B:B,,0)</f>
        <v>1150.7</v>
      </c>
      <c r="C23" s="53">
        <f>_xlfn.XLOOKUP($A23,Inputs!$A:$A,Inputs!C:C,,0)</f>
        <v>857.3</v>
      </c>
      <c r="D23" s="53">
        <f>_xlfn.XLOOKUP($A23,Inputs!$A:$A,Inputs!D:D,,0)</f>
        <v>606.79999999999995</v>
      </c>
      <c r="E23" s="53">
        <f>_xlfn.XLOOKUP($A23,Inputs!$A:$A,Inputs!E:E,,0)</f>
        <v>488.5</v>
      </c>
      <c r="F23" s="53">
        <f>_xlfn.XLOOKUP($A23,Inputs!$A:$A,Inputs!F:F,,0)</f>
        <v>331.7</v>
      </c>
      <c r="G23" s="53">
        <f>_xlfn.XLOOKUP($A23,Inputs!$A:$A,Inputs!G:G,,0)</f>
        <v>332.2</v>
      </c>
      <c r="H23" s="53">
        <f>_xlfn.XLOOKUP($A23,Inputs!$A:$A,Inputs!H:H,,0)</f>
        <v>31.4</v>
      </c>
      <c r="I23" s="53">
        <f>_xlfn.XLOOKUP($A23,Inputs!$A:$A,Inputs!I:I,,0)</f>
        <v>32.200000000000003</v>
      </c>
      <c r="J23" s="53">
        <f>_xlfn.XLOOKUP($A23,Inputs!$A:$A,Inputs!J:J,,0)</f>
        <v>8</v>
      </c>
      <c r="K23" s="53">
        <f>_xlfn.XLOOKUP($A23,Inputs!$A:$A,Inputs!K:K,,0)</f>
        <v>25.3</v>
      </c>
      <c r="L23" s="53">
        <f>_xlfn.XLOOKUP($A23,Inputs!$A:$A,Inputs!L:L,,0)</f>
        <v>44.3</v>
      </c>
      <c r="M23" s="53">
        <f>_xlfn.XLOOKUP($A23,Inputs!$A:$A,Inputs!M:M,,0)</f>
        <v>66.8</v>
      </c>
      <c r="N23" s="54">
        <f>_xlfn.XLOOKUP($A23,Inputs!$A:$A,Inputs!N:N,,0)</f>
        <v>62.5</v>
      </c>
    </row>
    <row r="24" spans="1:14">
      <c r="A24" s="111" t="s">
        <v>242</v>
      </c>
      <c r="B24" s="55">
        <f>IFERROR(B23/B$5,"-")</f>
        <v>0.22245635741488973</v>
      </c>
      <c r="C24" s="55">
        <f t="shared" ref="C24:N24" si="21">IFERROR(C23/C$5,"-")</f>
        <v>0.19407343686331327</v>
      </c>
      <c r="D24" s="55">
        <f t="shared" si="21"/>
        <v>0.18155705822512117</v>
      </c>
      <c r="E24" s="55">
        <f t="shared" si="21"/>
        <v>0.18829016342892382</v>
      </c>
      <c r="F24" s="55">
        <f t="shared" si="21"/>
        <v>0.15335182616736015</v>
      </c>
      <c r="G24" s="55">
        <f t="shared" si="21"/>
        <v>0.18443260048856316</v>
      </c>
      <c r="H24" s="55">
        <f t="shared" si="21"/>
        <v>2.1004749481570672E-2</v>
      </c>
      <c r="I24" s="55">
        <f t="shared" si="21"/>
        <v>2.5246981339187707E-2</v>
      </c>
      <c r="J24" s="55">
        <f t="shared" si="21"/>
        <v>7.9262855444367387E-3</v>
      </c>
      <c r="K24" s="55">
        <f t="shared" si="21"/>
        <v>3.2840083073727933E-2</v>
      </c>
      <c r="L24" s="55">
        <f t="shared" si="21"/>
        <v>7.1997399642450832E-2</v>
      </c>
      <c r="M24" s="55">
        <f t="shared" si="21"/>
        <v>0.12518740629685157</v>
      </c>
      <c r="N24" s="56">
        <f t="shared" si="21"/>
        <v>0.14414206642066421</v>
      </c>
    </row>
    <row r="25" spans="1:14">
      <c r="A25" s="110" t="s">
        <v>9283</v>
      </c>
      <c r="B25" s="55">
        <f>IFERROR(B24/C24-1,"-")</f>
        <v>0.14624835325385965</v>
      </c>
      <c r="C25" s="55">
        <f t="shared" ref="C25" si="22">IFERROR(C24/D24-1,"-")</f>
        <v>6.893909143797905E-2</v>
      </c>
      <c r="D25" s="55">
        <f t="shared" ref="D25" si="23">IFERROR(D24/E24-1,"-")</f>
        <v>-3.5759197831618406E-2</v>
      </c>
      <c r="E25" s="55">
        <f t="shared" ref="E25" si="24">IFERROR(E24/F24-1,"-")</f>
        <v>0.22783124358384743</v>
      </c>
      <c r="F25" s="55">
        <f t="shared" ref="F25" si="25">IFERROR(F24/G24-1,"-")</f>
        <v>-0.16852104367053244</v>
      </c>
      <c r="G25" s="55">
        <f>IFERROR(G24/H24-1,"-")</f>
        <v>7.7805189321768502</v>
      </c>
      <c r="H25" s="55">
        <f t="shared" ref="H25" si="26">IFERROR(H24/I24-1,"-")</f>
        <v>-0.16802927053430949</v>
      </c>
      <c r="I25" s="55">
        <f t="shared" ref="I25" si="27">IFERROR(I24/J24-1,"-")</f>
        <v>2.185222283205269</v>
      </c>
      <c r="J25" s="55">
        <f t="shared" ref="J25" si="28">IFERROR(J24/K24-1,"-")</f>
        <v>-0.75863990579312002</v>
      </c>
      <c r="K25" s="55">
        <f t="shared" ref="K25" si="29">IFERROR(K24/L24-1,"-")</f>
        <v>-0.54387126150643794</v>
      </c>
      <c r="L25" s="55">
        <f t="shared" ref="L25" si="30">IFERROR(L24/M24-1,"-")</f>
        <v>-0.42488304716748859</v>
      </c>
      <c r="M25" s="55">
        <f t="shared" ref="M25" si="31">IFERROR(M24/N24-1,"-")</f>
        <v>-0.13149985007496257</v>
      </c>
      <c r="N25" s="56" t="str">
        <f>IFERROR(N24/#REF!-1,"-")</f>
        <v>-</v>
      </c>
    </row>
    <row r="26" spans="1:14">
      <c r="A26" s="111" t="s">
        <v>9292</v>
      </c>
      <c r="B26" s="57">
        <f>B39-C39</f>
        <v>503.90000000000009</v>
      </c>
      <c r="C26" s="57">
        <f t="shared" ref="C26:M26" si="32">C39-D39</f>
        <v>363.80000000000018</v>
      </c>
      <c r="D26" s="57">
        <f t="shared" si="32"/>
        <v>257.29999999999995</v>
      </c>
      <c r="E26" s="57">
        <f t="shared" si="32"/>
        <v>-160.70000000000005</v>
      </c>
      <c r="F26" s="57">
        <f t="shared" si="32"/>
        <v>110.09999999999991</v>
      </c>
      <c r="G26" s="57">
        <f t="shared" si="32"/>
        <v>301.40000000000009</v>
      </c>
      <c r="H26" s="57">
        <f t="shared" si="32"/>
        <v>102</v>
      </c>
      <c r="I26" s="57">
        <f t="shared" si="32"/>
        <v>166</v>
      </c>
      <c r="J26" s="57">
        <f t="shared" si="32"/>
        <v>259.7</v>
      </c>
      <c r="K26" s="57">
        <f t="shared" si="32"/>
        <v>167.4</v>
      </c>
      <c r="L26" s="57">
        <f t="shared" si="32"/>
        <v>-7.0999999999999943</v>
      </c>
      <c r="M26" s="57">
        <f t="shared" si="32"/>
        <v>51</v>
      </c>
      <c r="N26" s="54" t="e">
        <f>N39-#REF!</f>
        <v>#REF!</v>
      </c>
    </row>
    <row r="27" spans="1:14">
      <c r="A27" s="110" t="s">
        <v>130</v>
      </c>
      <c r="B27" s="53">
        <f>_xlfn.XLOOKUP($A27,Inputs!$A:$A,Inputs!B:B,,0)</f>
        <v>0</v>
      </c>
      <c r="C27" s="53">
        <f>_xlfn.XLOOKUP($A27,Inputs!$A:$A,Inputs!C:C,,0)</f>
        <v>0</v>
      </c>
      <c r="D27" s="53">
        <f>_xlfn.XLOOKUP($A27,Inputs!$A:$A,Inputs!D:D,,0)</f>
        <v>0</v>
      </c>
      <c r="E27" s="53">
        <f>_xlfn.XLOOKUP($A27,Inputs!$A:$A,Inputs!E:E,,0)</f>
        <v>0</v>
      </c>
      <c r="F27" s="53">
        <f>_xlfn.XLOOKUP($A27,Inputs!$A:$A,Inputs!F:F,,0)</f>
        <v>0</v>
      </c>
      <c r="G27" s="53">
        <f>_xlfn.XLOOKUP($A27,Inputs!$A:$A,Inputs!G:G,,0)</f>
        <v>0</v>
      </c>
      <c r="H27" s="53">
        <f>_xlfn.XLOOKUP($A27,Inputs!$A:$A,Inputs!H:H,,0)</f>
        <v>0</v>
      </c>
      <c r="I27" s="53">
        <f>_xlfn.XLOOKUP($A27,Inputs!$A:$A,Inputs!I:I,,0)</f>
        <v>0</v>
      </c>
      <c r="J27" s="53">
        <f>_xlfn.XLOOKUP($A27,Inputs!$A:$A,Inputs!J:J,,0)</f>
        <v>0</v>
      </c>
      <c r="K27" s="53">
        <f>_xlfn.XLOOKUP($A27,Inputs!$A:$A,Inputs!K:K,,0)</f>
        <v>0</v>
      </c>
      <c r="L27" s="53">
        <f>_xlfn.XLOOKUP($A27,Inputs!$A:$A,Inputs!L:L,,0)</f>
        <v>0</v>
      </c>
      <c r="M27" s="53">
        <f>_xlfn.XLOOKUP($A27,Inputs!$A:$A,Inputs!M:M,,0)</f>
        <v>0</v>
      </c>
      <c r="N27" s="54">
        <f>_xlfn.XLOOKUP($A27,Inputs!$A:$A,Inputs!N:N,,0)</f>
        <v>0</v>
      </c>
    </row>
    <row r="28" spans="1:14">
      <c r="A28" s="112" t="s">
        <v>9293</v>
      </c>
      <c r="B28" s="53">
        <f>_xlfn.XLOOKUP($A28,Inputs!$A:$A,Inputs!B:B,,0)</f>
        <v>-604.29999999999995</v>
      </c>
      <c r="C28" s="53">
        <f>_xlfn.XLOOKUP($A28,Inputs!$A:$A,Inputs!C:C,,0)</f>
        <v>-1991.2</v>
      </c>
      <c r="D28" s="53">
        <f>_xlfn.XLOOKUP($A28,Inputs!$A:$A,Inputs!D:D,,0)</f>
        <v>-741.8</v>
      </c>
      <c r="E28" s="53">
        <f>_xlfn.XLOOKUP($A28,Inputs!$A:$A,Inputs!E:E,,0)</f>
        <v>-1080.0999999999999</v>
      </c>
      <c r="F28" s="53">
        <f>_xlfn.XLOOKUP($A28,Inputs!$A:$A,Inputs!F:F,,0)</f>
        <v>-145.1</v>
      </c>
      <c r="G28" s="53">
        <f>_xlfn.XLOOKUP($A28,Inputs!$A:$A,Inputs!G:G,,0)</f>
        <v>-211.8</v>
      </c>
      <c r="H28" s="53">
        <f>_xlfn.XLOOKUP($A28,Inputs!$A:$A,Inputs!H:H,,0)</f>
        <v>-446.3</v>
      </c>
      <c r="I28" s="53">
        <f>_xlfn.XLOOKUP($A28,Inputs!$A:$A,Inputs!I:I,,0)</f>
        <v>-110.8</v>
      </c>
      <c r="J28" s="53">
        <f>_xlfn.XLOOKUP($A28,Inputs!$A:$A,Inputs!J:J,,0)</f>
        <v>-60</v>
      </c>
      <c r="K28" s="53">
        <f>_xlfn.XLOOKUP($A28,Inputs!$A:$A,Inputs!K:K,,0)</f>
        <v>-44</v>
      </c>
      <c r="L28" s="53">
        <f>_xlfn.XLOOKUP($A28,Inputs!$A:$A,Inputs!L:L,,0)</f>
        <v>-33.5</v>
      </c>
      <c r="M28" s="53">
        <f>_xlfn.XLOOKUP($A28,Inputs!$A:$A,Inputs!M:M,,0)</f>
        <v>0</v>
      </c>
      <c r="N28" s="54">
        <f>_xlfn.XLOOKUP($A28,Inputs!$A:$A,Inputs!N:N,,0)</f>
        <v>0</v>
      </c>
    </row>
    <row r="29" spans="1:14">
      <c r="A29" s="110" t="s">
        <v>121</v>
      </c>
      <c r="B29" s="57">
        <f>SUM(B26:B28)</f>
        <v>-100.39999999999986</v>
      </c>
      <c r="C29" s="57">
        <f>SUM(C26:C28)</f>
        <v>-1627.3999999999999</v>
      </c>
      <c r="D29" s="57">
        <f t="shared" ref="D29:N29" si="33">SUM(D26:D28)</f>
        <v>-484.5</v>
      </c>
      <c r="E29" s="57">
        <f t="shared" si="33"/>
        <v>-1240.8</v>
      </c>
      <c r="F29" s="57">
        <f t="shared" si="33"/>
        <v>-35.000000000000085</v>
      </c>
      <c r="G29" s="57">
        <f t="shared" si="33"/>
        <v>89.60000000000008</v>
      </c>
      <c r="H29" s="57">
        <f t="shared" si="33"/>
        <v>-344.3</v>
      </c>
      <c r="I29" s="57">
        <f t="shared" si="33"/>
        <v>55.2</v>
      </c>
      <c r="J29" s="57">
        <f t="shared" si="33"/>
        <v>199.7</v>
      </c>
      <c r="K29" s="57">
        <f t="shared" si="33"/>
        <v>123.4</v>
      </c>
      <c r="L29" s="57">
        <f t="shared" si="33"/>
        <v>-40.599999999999994</v>
      </c>
      <c r="M29" s="57">
        <f t="shared" si="33"/>
        <v>51</v>
      </c>
      <c r="N29" s="54" t="e">
        <f t="shared" si="33"/>
        <v>#REF!</v>
      </c>
    </row>
    <row r="30" spans="1:14">
      <c r="A30" s="112" t="s">
        <v>9294</v>
      </c>
      <c r="B30" s="57">
        <f t="shared" ref="B30:N30" si="34">+B29-(B58-C29)</f>
        <v>-2782.0999999999995</v>
      </c>
      <c r="C30" s="57">
        <f t="shared" si="34"/>
        <v>-3198</v>
      </c>
      <c r="D30" s="57">
        <f t="shared" si="34"/>
        <v>-2780.5</v>
      </c>
      <c r="E30" s="57">
        <f t="shared" si="34"/>
        <v>-1328.9</v>
      </c>
      <c r="F30" s="57">
        <f t="shared" si="34"/>
        <v>8.4999999999999929</v>
      </c>
      <c r="G30" s="57">
        <f t="shared" si="34"/>
        <v>-254.69999999999993</v>
      </c>
      <c r="H30" s="57">
        <f t="shared" si="34"/>
        <v>-289.10000000000002</v>
      </c>
      <c r="I30" s="57">
        <f t="shared" si="34"/>
        <v>254.89999999999998</v>
      </c>
      <c r="J30" s="57">
        <f t="shared" si="34"/>
        <v>323.10000000000002</v>
      </c>
      <c r="K30" s="57">
        <f t="shared" si="34"/>
        <v>82.800000000000011</v>
      </c>
      <c r="L30" s="57">
        <f t="shared" si="34"/>
        <v>10.400000000000006</v>
      </c>
      <c r="M30" s="57" t="e">
        <f t="shared" si="34"/>
        <v>#REF!</v>
      </c>
      <c r="N30" s="54" t="e">
        <f t="shared" si="34"/>
        <v>#REF!</v>
      </c>
    </row>
    <row r="31" spans="1:14">
      <c r="A31" s="110" t="s">
        <v>9295</v>
      </c>
      <c r="B31" s="57">
        <f t="shared" ref="B31:N31" si="35">+B30+B33</f>
        <v>-2629.8999999999996</v>
      </c>
      <c r="C31" s="57">
        <f t="shared" si="35"/>
        <v>-2152.9</v>
      </c>
      <c r="D31" s="57">
        <f t="shared" si="35"/>
        <v>-3809.7</v>
      </c>
      <c r="E31" s="57">
        <f t="shared" si="35"/>
        <v>-1275.8000000000002</v>
      </c>
      <c r="F31" s="57">
        <f t="shared" si="35"/>
        <v>-401.6</v>
      </c>
      <c r="G31" s="57">
        <f t="shared" si="35"/>
        <v>-336.59999999999991</v>
      </c>
      <c r="H31" s="57">
        <f t="shared" si="35"/>
        <v>-230.60000000000002</v>
      </c>
      <c r="I31" s="57">
        <f t="shared" si="35"/>
        <v>247.99999999999997</v>
      </c>
      <c r="J31" s="57">
        <f t="shared" si="35"/>
        <v>359.5</v>
      </c>
      <c r="K31" s="57">
        <f t="shared" si="35"/>
        <v>85.600000000000009</v>
      </c>
      <c r="L31" s="57">
        <f t="shared" si="35"/>
        <v>-122.5</v>
      </c>
      <c r="M31" s="57" t="e">
        <f t="shared" si="35"/>
        <v>#REF!</v>
      </c>
      <c r="N31" s="54" t="e">
        <f t="shared" si="35"/>
        <v>#REF!</v>
      </c>
    </row>
    <row r="32" spans="1:14">
      <c r="A32" s="112" t="s">
        <v>126</v>
      </c>
      <c r="B32" s="53">
        <f>_xlfn.XLOOKUP($A32,Inputs!$A:$A,Inputs!B:B,,0)</f>
        <v>-208.1</v>
      </c>
      <c r="C32" s="53">
        <f>_xlfn.XLOOKUP($A32,Inputs!$A:$A,Inputs!C:C,,0)</f>
        <v>-281.2</v>
      </c>
      <c r="D32" s="53">
        <f>_xlfn.XLOOKUP($A32,Inputs!$A:$A,Inputs!D:D,,0)</f>
        <v>-295.89999999999998</v>
      </c>
      <c r="E32" s="53">
        <f>_xlfn.XLOOKUP($A32,Inputs!$A:$A,Inputs!E:E,,0)</f>
        <v>-125.9</v>
      </c>
      <c r="F32" s="53">
        <f>_xlfn.XLOOKUP($A32,Inputs!$A:$A,Inputs!F:F,,0)</f>
        <v>-92.2</v>
      </c>
      <c r="G32" s="53">
        <f>_xlfn.XLOOKUP($A32,Inputs!$A:$A,Inputs!G:G,,0)</f>
        <v>-53</v>
      </c>
      <c r="H32" s="53">
        <f>_xlfn.XLOOKUP($A32,Inputs!$A:$A,Inputs!H:H,,0)</f>
        <v>-135.30000000000001</v>
      </c>
      <c r="I32" s="53">
        <f>_xlfn.XLOOKUP($A32,Inputs!$A:$A,Inputs!I:I,,0)</f>
        <v>-67.2</v>
      </c>
      <c r="J32" s="53">
        <f>_xlfn.XLOOKUP($A32,Inputs!$A:$A,Inputs!J:J,,0)</f>
        <v>-37.4</v>
      </c>
      <c r="K32" s="53">
        <f>_xlfn.XLOOKUP($A32,Inputs!$A:$A,Inputs!K:K,,0)</f>
        <v>-32.200000000000003</v>
      </c>
      <c r="L32" s="53">
        <f>_xlfn.XLOOKUP($A32,Inputs!$A:$A,Inputs!L:L,,0)</f>
        <v>-13.9</v>
      </c>
      <c r="M32" s="53">
        <f>_xlfn.XLOOKUP($A32,Inputs!$A:$A,Inputs!M:M,,0)</f>
        <v>-22.1</v>
      </c>
      <c r="N32" s="54">
        <f>_xlfn.XLOOKUP($A32,Inputs!$A:$A,Inputs!N:N,,0)</f>
        <v>-3.6</v>
      </c>
    </row>
    <row r="33" spans="1:14">
      <c r="A33" s="110" t="s">
        <v>128</v>
      </c>
      <c r="B33" s="53">
        <f>_xlfn.XLOOKUP($A33,Inputs!$A:$A,Inputs!B:B,,0)</f>
        <v>152.19999999999999</v>
      </c>
      <c r="C33" s="53">
        <f>_xlfn.XLOOKUP($A33,Inputs!$A:$A,Inputs!C:C,,0)</f>
        <v>1045.0999999999999</v>
      </c>
      <c r="D33" s="53">
        <f>_xlfn.XLOOKUP($A33,Inputs!$A:$A,Inputs!D:D,,0)</f>
        <v>-1029.2</v>
      </c>
      <c r="E33" s="53">
        <f>_xlfn.XLOOKUP($A33,Inputs!$A:$A,Inputs!E:E,,0)</f>
        <v>53.1</v>
      </c>
      <c r="F33" s="53">
        <f>_xlfn.XLOOKUP($A33,Inputs!$A:$A,Inputs!F:F,,0)</f>
        <v>-410.1</v>
      </c>
      <c r="G33" s="53">
        <f>_xlfn.XLOOKUP($A33,Inputs!$A:$A,Inputs!G:G,,0)</f>
        <v>-81.900000000000006</v>
      </c>
      <c r="H33" s="53">
        <f>_xlfn.XLOOKUP($A33,Inputs!$A:$A,Inputs!H:H,,0)</f>
        <v>58.5</v>
      </c>
      <c r="I33" s="53">
        <f>_xlfn.XLOOKUP($A33,Inputs!$A:$A,Inputs!I:I,,0)</f>
        <v>-6.9</v>
      </c>
      <c r="J33" s="53">
        <f>_xlfn.XLOOKUP($A33,Inputs!$A:$A,Inputs!J:J,,0)</f>
        <v>36.4</v>
      </c>
      <c r="K33" s="53">
        <f>_xlfn.XLOOKUP($A33,Inputs!$A:$A,Inputs!K:K,,0)</f>
        <v>2.8</v>
      </c>
      <c r="L33" s="53">
        <f>_xlfn.XLOOKUP($A33,Inputs!$A:$A,Inputs!L:L,,0)</f>
        <v>-132.9</v>
      </c>
      <c r="M33" s="53">
        <f>_xlfn.XLOOKUP($A33,Inputs!$A:$A,Inputs!M:M,,0)</f>
        <v>-160.6</v>
      </c>
      <c r="N33" s="54">
        <f>_xlfn.XLOOKUP($A33,Inputs!$A:$A,Inputs!N:N,,0)</f>
        <v>-163.19999999999999</v>
      </c>
    </row>
    <row r="34" spans="1:14">
      <c r="A34" s="111" t="s">
        <v>122</v>
      </c>
      <c r="B34" s="57">
        <f t="shared" ref="B34:N34" si="36">+B32+B33</f>
        <v>-55.900000000000006</v>
      </c>
      <c r="C34" s="57">
        <f t="shared" si="36"/>
        <v>763.89999999999986</v>
      </c>
      <c r="D34" s="57">
        <f t="shared" si="36"/>
        <v>-1325.1</v>
      </c>
      <c r="E34" s="57">
        <f t="shared" si="36"/>
        <v>-72.800000000000011</v>
      </c>
      <c r="F34" s="57">
        <f t="shared" si="36"/>
        <v>-502.3</v>
      </c>
      <c r="G34" s="57">
        <f t="shared" si="36"/>
        <v>-134.9</v>
      </c>
      <c r="H34" s="57">
        <f t="shared" si="36"/>
        <v>-76.800000000000011</v>
      </c>
      <c r="I34" s="57">
        <f t="shared" si="36"/>
        <v>-74.100000000000009</v>
      </c>
      <c r="J34" s="57">
        <f t="shared" si="36"/>
        <v>-1</v>
      </c>
      <c r="K34" s="57">
        <f t="shared" si="36"/>
        <v>-29.400000000000002</v>
      </c>
      <c r="L34" s="57">
        <f t="shared" si="36"/>
        <v>-146.80000000000001</v>
      </c>
      <c r="M34" s="57">
        <f t="shared" si="36"/>
        <v>-182.7</v>
      </c>
      <c r="N34" s="58">
        <f t="shared" si="36"/>
        <v>-166.79999999999998</v>
      </c>
    </row>
    <row r="35" spans="1:14">
      <c r="A35" s="110" t="s">
        <v>120</v>
      </c>
      <c r="B35" s="57">
        <f t="shared" ref="B35:N35" si="37">+B27+B28</f>
        <v>-604.29999999999995</v>
      </c>
      <c r="C35" s="57">
        <f t="shared" si="37"/>
        <v>-1991.2</v>
      </c>
      <c r="D35" s="57">
        <f t="shared" si="37"/>
        <v>-741.8</v>
      </c>
      <c r="E35" s="57">
        <f t="shared" si="37"/>
        <v>-1080.0999999999999</v>
      </c>
      <c r="F35" s="57">
        <f t="shared" si="37"/>
        <v>-145.1</v>
      </c>
      <c r="G35" s="57">
        <f t="shared" si="37"/>
        <v>-211.8</v>
      </c>
      <c r="H35" s="57">
        <f t="shared" si="37"/>
        <v>-446.3</v>
      </c>
      <c r="I35" s="57">
        <f t="shared" si="37"/>
        <v>-110.8</v>
      </c>
      <c r="J35" s="57">
        <f t="shared" si="37"/>
        <v>-60</v>
      </c>
      <c r="K35" s="57">
        <f t="shared" si="37"/>
        <v>-44</v>
      </c>
      <c r="L35" s="57">
        <f t="shared" si="37"/>
        <v>-33.5</v>
      </c>
      <c r="M35" s="57">
        <f t="shared" si="37"/>
        <v>0</v>
      </c>
      <c r="N35" s="58">
        <f t="shared" si="37"/>
        <v>0</v>
      </c>
    </row>
    <row r="36" spans="1:14">
      <c r="A36" s="112" t="s">
        <v>9296</v>
      </c>
      <c r="B36" s="55">
        <f t="shared" ref="B36:N36" si="38">IFERROR(B35/B23,"-")</f>
        <v>-0.52515859911358298</v>
      </c>
      <c r="C36" s="55">
        <f t="shared" si="38"/>
        <v>-2.3226408491776511</v>
      </c>
      <c r="D36" s="55">
        <f t="shared" si="38"/>
        <v>-1.2224785761371126</v>
      </c>
      <c r="E36" s="55">
        <f t="shared" si="38"/>
        <v>-2.2110542476970316</v>
      </c>
      <c r="F36" s="55">
        <f t="shared" si="38"/>
        <v>-0.43744347301778713</v>
      </c>
      <c r="G36" s="55">
        <f t="shared" si="38"/>
        <v>-0.6375677302829621</v>
      </c>
      <c r="H36" s="55">
        <f t="shared" si="38"/>
        <v>-14.213375796178346</v>
      </c>
      <c r="I36" s="55">
        <f t="shared" si="38"/>
        <v>-3.4409937888198754</v>
      </c>
      <c r="J36" s="55">
        <f t="shared" si="38"/>
        <v>-7.5</v>
      </c>
      <c r="K36" s="55">
        <f t="shared" si="38"/>
        <v>-1.7391304347826086</v>
      </c>
      <c r="L36" s="55">
        <f t="shared" si="38"/>
        <v>-0.75620767494356667</v>
      </c>
      <c r="M36" s="55">
        <f t="shared" si="38"/>
        <v>0</v>
      </c>
      <c r="N36" s="56">
        <f t="shared" si="38"/>
        <v>0</v>
      </c>
    </row>
    <row r="37" spans="1:14">
      <c r="A37" s="5"/>
      <c r="B37" s="46"/>
      <c r="C37" s="46"/>
      <c r="D37" s="46"/>
      <c r="E37" s="46"/>
      <c r="F37" s="46"/>
      <c r="G37" s="46"/>
      <c r="H37" s="46"/>
      <c r="I37" s="46"/>
      <c r="J37" s="46"/>
      <c r="K37" s="46"/>
      <c r="L37" s="46"/>
      <c r="M37" s="46"/>
    </row>
    <row r="38" spans="1:14" ht="20.100000000000001">
      <c r="A38" s="1341" t="s">
        <v>9297</v>
      </c>
      <c r="B38" s="1341"/>
      <c r="C38" s="1341"/>
      <c r="D38" s="1341"/>
      <c r="E38" s="1341"/>
      <c r="F38" s="1341"/>
      <c r="G38" s="1341"/>
      <c r="H38" s="1341"/>
      <c r="I38" s="1341"/>
      <c r="J38" s="1341"/>
      <c r="K38" s="1341"/>
      <c r="L38" s="1341"/>
      <c r="M38" s="1341"/>
    </row>
    <row r="39" spans="1:14">
      <c r="A39" s="113" t="s">
        <v>311</v>
      </c>
      <c r="B39" s="53">
        <f>_xlfn.XLOOKUP($A39,Inputs!$A:$A,Inputs!B:B,,0)</f>
        <v>2186.8000000000002</v>
      </c>
      <c r="C39" s="53">
        <f>_xlfn.XLOOKUP($A39,Inputs!$A:$A,Inputs!C:C,,0)</f>
        <v>1682.9</v>
      </c>
      <c r="D39" s="53">
        <f>_xlfn.XLOOKUP($A39,Inputs!$A:$A,Inputs!D:D,,0)</f>
        <v>1319.1</v>
      </c>
      <c r="E39" s="53">
        <f>_xlfn.XLOOKUP($A39,Inputs!$A:$A,Inputs!E:E,,0)</f>
        <v>1061.8</v>
      </c>
      <c r="F39" s="53">
        <f>_xlfn.XLOOKUP($A39,Inputs!$A:$A,Inputs!F:F,,0)</f>
        <v>1222.5</v>
      </c>
      <c r="G39" s="53">
        <f>_xlfn.XLOOKUP($A39,Inputs!$A:$A,Inputs!G:G,,0)</f>
        <v>1112.4000000000001</v>
      </c>
      <c r="H39" s="53">
        <f>_xlfn.XLOOKUP($A39,Inputs!$A:$A,Inputs!H:H,,0)</f>
        <v>811</v>
      </c>
      <c r="I39" s="53">
        <f>_xlfn.XLOOKUP($A39,Inputs!$A:$A,Inputs!I:I,,0)</f>
        <v>709</v>
      </c>
      <c r="J39" s="53">
        <f>_xlfn.XLOOKUP($A39,Inputs!$A:$A,Inputs!J:J,,0)</f>
        <v>543</v>
      </c>
      <c r="K39" s="53">
        <f>_xlfn.XLOOKUP($A39,Inputs!$A:$A,Inputs!K:K,,0)</f>
        <v>283.3</v>
      </c>
      <c r="L39" s="53">
        <f>_xlfn.XLOOKUP($A39,Inputs!$A:$A,Inputs!L:L,,0)</f>
        <v>115.9</v>
      </c>
      <c r="M39" s="53">
        <f>_xlfn.XLOOKUP($A39,Inputs!$A:$A,Inputs!M:M,,0)</f>
        <v>123</v>
      </c>
      <c r="N39" s="54">
        <f>_xlfn.XLOOKUP($A39,Inputs!$A:$A,Inputs!N:N,,0)</f>
        <v>72</v>
      </c>
    </row>
    <row r="40" spans="1:14">
      <c r="A40" s="111" t="s">
        <v>9298</v>
      </c>
      <c r="B40" s="53">
        <f>_xlfn.XLOOKUP($A40,Inputs!$A:$A,Inputs!B:B,,0)</f>
        <v>1013.8</v>
      </c>
      <c r="C40" s="53">
        <f>_xlfn.XLOOKUP($A40,Inputs!$A:$A,Inputs!C:C,,0)</f>
        <v>1261.7</v>
      </c>
      <c r="D40" s="53">
        <f>_xlfn.XLOOKUP($A40,Inputs!$A:$A,Inputs!D:D,,0)</f>
        <v>807.7</v>
      </c>
      <c r="E40" s="53">
        <f>_xlfn.XLOOKUP($A40,Inputs!$A:$A,Inputs!E:E,,0)</f>
        <v>720</v>
      </c>
      <c r="F40" s="53">
        <f>_xlfn.XLOOKUP($A40,Inputs!$A:$A,Inputs!F:F,,0)</f>
        <v>544.29999999999995</v>
      </c>
      <c r="G40" s="53">
        <f>_xlfn.XLOOKUP($A40,Inputs!$A:$A,Inputs!G:G,,0)</f>
        <v>444.5</v>
      </c>
      <c r="H40" s="53">
        <f>_xlfn.XLOOKUP($A40,Inputs!$A:$A,Inputs!H:H,,0)</f>
        <v>348.2</v>
      </c>
      <c r="I40" s="53">
        <f>_xlfn.XLOOKUP($A40,Inputs!$A:$A,Inputs!I:I,,0)</f>
        <v>313</v>
      </c>
      <c r="J40" s="53">
        <f>_xlfn.XLOOKUP($A40,Inputs!$A:$A,Inputs!J:J,,0)</f>
        <v>259.60000000000002</v>
      </c>
      <c r="K40" s="53">
        <f>_xlfn.XLOOKUP($A40,Inputs!$A:$A,Inputs!K:K,,0)</f>
        <v>184.7</v>
      </c>
      <c r="L40" s="53">
        <f>_xlfn.XLOOKUP($A40,Inputs!$A:$A,Inputs!L:L,,0)</f>
        <v>130.5</v>
      </c>
      <c r="M40" s="53">
        <f>_xlfn.XLOOKUP($A40,Inputs!$A:$A,Inputs!M:M,,0)</f>
        <v>107.6</v>
      </c>
      <c r="N40" s="54">
        <f>_xlfn.XLOOKUP($A40,Inputs!$A:$A,Inputs!N:N,,0)</f>
        <v>95.5</v>
      </c>
    </row>
    <row r="41" spans="1:14">
      <c r="A41" s="113" t="s">
        <v>313</v>
      </c>
      <c r="B41" s="53">
        <f>_xlfn.XLOOKUP($A41,Inputs!$A:$A,Inputs!B:B,,0)</f>
        <v>467.5</v>
      </c>
      <c r="C41" s="53">
        <f>_xlfn.XLOOKUP($A41,Inputs!$A:$A,Inputs!C:C,,0)</f>
        <v>264.60000000000002</v>
      </c>
      <c r="D41" s="53">
        <f>_xlfn.XLOOKUP($A41,Inputs!$A:$A,Inputs!D:D,,0)</f>
        <v>175.8</v>
      </c>
      <c r="E41" s="53">
        <f>_xlfn.XLOOKUP($A41,Inputs!$A:$A,Inputs!E:E,,0)</f>
        <v>139.80000000000001</v>
      </c>
      <c r="F41" s="53">
        <f>_xlfn.XLOOKUP($A41,Inputs!$A:$A,Inputs!F:F,,0)</f>
        <v>117.9</v>
      </c>
      <c r="G41" s="53">
        <f>_xlfn.XLOOKUP($A41,Inputs!$A:$A,Inputs!G:G,,0)</f>
        <v>90</v>
      </c>
      <c r="H41" s="53">
        <f>_xlfn.XLOOKUP($A41,Inputs!$A:$A,Inputs!H:H,,0)</f>
        <v>77.3</v>
      </c>
      <c r="I41" s="53">
        <f>_xlfn.XLOOKUP($A41,Inputs!$A:$A,Inputs!I:I,,0)</f>
        <v>106.9</v>
      </c>
      <c r="J41" s="53">
        <f>_xlfn.XLOOKUP($A41,Inputs!$A:$A,Inputs!J:J,,0)</f>
        <v>83.9</v>
      </c>
      <c r="K41" s="53">
        <f>_xlfn.XLOOKUP($A41,Inputs!$A:$A,Inputs!K:K,,0)</f>
        <v>69.5</v>
      </c>
      <c r="L41" s="53">
        <f>_xlfn.XLOOKUP($A41,Inputs!$A:$A,Inputs!L:L,,0)</f>
        <v>48.7</v>
      </c>
      <c r="M41" s="53">
        <f>_xlfn.XLOOKUP($A41,Inputs!$A:$A,Inputs!M:M,,0)</f>
        <v>21.1</v>
      </c>
      <c r="N41" s="54">
        <f>_xlfn.XLOOKUP($A41,Inputs!$A:$A,Inputs!N:N,,0)</f>
        <v>16.2</v>
      </c>
    </row>
    <row r="42" spans="1:14">
      <c r="A42" s="111" t="s">
        <v>9299</v>
      </c>
      <c r="B42" s="53">
        <f>_xlfn.XLOOKUP($A42,Inputs!$A:$A,Inputs!B:B,,0)</f>
        <v>1370.1</v>
      </c>
      <c r="C42" s="53">
        <f>_xlfn.XLOOKUP($A42,Inputs!$A:$A,Inputs!C:C,,0)</f>
        <v>1275</v>
      </c>
      <c r="D42" s="53">
        <f>_xlfn.XLOOKUP($A42,Inputs!$A:$A,Inputs!D:D,,0)</f>
        <v>964.4</v>
      </c>
      <c r="E42" s="53">
        <f>_xlfn.XLOOKUP($A42,Inputs!$A:$A,Inputs!E:E,,0)</f>
        <v>669.8</v>
      </c>
      <c r="F42" s="53">
        <f>_xlfn.XLOOKUP($A42,Inputs!$A:$A,Inputs!F:F,,0)</f>
        <v>525.6</v>
      </c>
      <c r="G42" s="53">
        <f>_xlfn.XLOOKUP($A42,Inputs!$A:$A,Inputs!G:G,,0)</f>
        <v>382.2</v>
      </c>
      <c r="H42" s="53">
        <f>_xlfn.XLOOKUP($A42,Inputs!$A:$A,Inputs!H:H,,0)</f>
        <v>340.6</v>
      </c>
      <c r="I42" s="53">
        <f>_xlfn.XLOOKUP($A42,Inputs!$A:$A,Inputs!I:I,,0)</f>
        <v>207.7</v>
      </c>
      <c r="J42" s="53">
        <f>_xlfn.XLOOKUP($A42,Inputs!$A:$A,Inputs!J:J,,0)</f>
        <v>140.1</v>
      </c>
      <c r="K42" s="53">
        <f>_xlfn.XLOOKUP($A42,Inputs!$A:$A,Inputs!K:K,,0)</f>
        <v>94.7</v>
      </c>
      <c r="L42" s="53">
        <f>_xlfn.XLOOKUP($A42,Inputs!$A:$A,Inputs!L:L,,0)</f>
        <v>78.5</v>
      </c>
      <c r="M42" s="53">
        <f>_xlfn.XLOOKUP($A42,Inputs!$A:$A,Inputs!M:M,,0)</f>
        <v>56.9</v>
      </c>
      <c r="N42" s="54">
        <f>_xlfn.XLOOKUP($A42,Inputs!$A:$A,Inputs!N:N,,0)</f>
        <v>31.8</v>
      </c>
    </row>
    <row r="43" spans="1:14">
      <c r="A43" s="113" t="s">
        <v>9300</v>
      </c>
      <c r="B43" s="53">
        <f>_xlfn.XLOOKUP($A43,Inputs!$A:$A,Inputs!B:B,,0)</f>
        <v>2459.3999999999996</v>
      </c>
      <c r="C43" s="53">
        <f>_xlfn.XLOOKUP($A43,Inputs!$A:$A,Inputs!C:C,,0)</f>
        <v>1715.5999999999997</v>
      </c>
      <c r="D43" s="53">
        <f>_xlfn.XLOOKUP($A43,Inputs!$A:$A,Inputs!D:D,,0)</f>
        <v>2594.6</v>
      </c>
      <c r="E43" s="53">
        <f>_xlfn.XLOOKUP($A43,Inputs!$A:$A,Inputs!E:E,,0)</f>
        <v>1403.8000000000002</v>
      </c>
      <c r="F43" s="53">
        <f>_xlfn.XLOOKUP($A43,Inputs!$A:$A,Inputs!F:F,,0)</f>
        <v>1430.9</v>
      </c>
      <c r="G43" s="53">
        <f>_xlfn.XLOOKUP($A43,Inputs!$A:$A,Inputs!G:G,,0)</f>
        <v>1048.8999999999999</v>
      </c>
      <c r="H43" s="53">
        <f>_xlfn.XLOOKUP($A43,Inputs!$A:$A,Inputs!H:H,,0)</f>
        <v>680.80000000000007</v>
      </c>
      <c r="I43" s="53">
        <f>_xlfn.XLOOKUP($A43,Inputs!$A:$A,Inputs!I:I,,0)</f>
        <v>803.3</v>
      </c>
      <c r="J43" s="53">
        <f>_xlfn.XLOOKUP($A43,Inputs!$A:$A,Inputs!J:J,,0)</f>
        <v>763.9</v>
      </c>
      <c r="K43" s="53">
        <f>_xlfn.XLOOKUP($A43,Inputs!$A:$A,Inputs!K:K,,0)</f>
        <v>792.59999999999991</v>
      </c>
      <c r="L43" s="53">
        <f>_xlfn.XLOOKUP($A43,Inputs!$A:$A,Inputs!L:L,,0)</f>
        <v>794.9</v>
      </c>
      <c r="M43" s="53">
        <f>_xlfn.XLOOKUP($A43,Inputs!$A:$A,Inputs!M:M,,0)</f>
        <v>666.90000000000009</v>
      </c>
      <c r="N43" s="54">
        <f>_xlfn.XLOOKUP($A43,Inputs!$A:$A,Inputs!N:N,,0)</f>
        <v>519.20000000000005</v>
      </c>
    </row>
    <row r="44" spans="1:14">
      <c r="A44" s="114" t="s">
        <v>38</v>
      </c>
      <c r="B44" s="59">
        <f>_xlfn.XLOOKUP($A44,Inputs!$A:$A,Inputs!B:B,,0)</f>
        <v>7479.3</v>
      </c>
      <c r="C44" s="59">
        <f>_xlfn.XLOOKUP($A44,Inputs!$A:$A,Inputs!C:C,,0)</f>
        <v>6228</v>
      </c>
      <c r="D44" s="59">
        <f>_xlfn.XLOOKUP($A44,Inputs!$A:$A,Inputs!D:D,,0)</f>
        <v>5919.1</v>
      </c>
      <c r="E44" s="59">
        <f>_xlfn.XLOOKUP($A44,Inputs!$A:$A,Inputs!E:E,,0)</f>
        <v>4044.5</v>
      </c>
      <c r="F44" s="59">
        <f>_xlfn.XLOOKUP($A44,Inputs!$A:$A,Inputs!F:F,,0)</f>
        <v>3885.5</v>
      </c>
      <c r="G44" s="59">
        <f>_xlfn.XLOOKUP($A44,Inputs!$A:$A,Inputs!G:G,,0)</f>
        <v>3078</v>
      </c>
      <c r="H44" s="59">
        <f>_xlfn.XLOOKUP($A44,Inputs!$A:$A,Inputs!H:H,,0)</f>
        <v>2257.9</v>
      </c>
      <c r="I44" s="59">
        <f>_xlfn.XLOOKUP($A44,Inputs!$A:$A,Inputs!I:I,,0)</f>
        <v>2139.9</v>
      </c>
      <c r="J44" s="59">
        <f>_xlfn.XLOOKUP($A44,Inputs!$A:$A,Inputs!J:J,,0)</f>
        <v>1790.5</v>
      </c>
      <c r="K44" s="59">
        <f>_xlfn.XLOOKUP($A44,Inputs!$A:$A,Inputs!K:K,,0)</f>
        <v>1424.8</v>
      </c>
      <c r="L44" s="59">
        <f>_xlfn.XLOOKUP($A44,Inputs!$A:$A,Inputs!L:L,,0)</f>
        <v>1168.5</v>
      </c>
      <c r="M44" s="59">
        <f>_xlfn.XLOOKUP($A44,Inputs!$A:$A,Inputs!M:M,,0)</f>
        <v>975.5</v>
      </c>
      <c r="N44" s="59">
        <f>_xlfn.XLOOKUP($A44,Inputs!$A:$A,Inputs!N:N,,0)</f>
        <v>734.7</v>
      </c>
    </row>
    <row r="45" spans="1:14">
      <c r="B45"/>
      <c r="C45"/>
      <c r="D45"/>
      <c r="E45"/>
      <c r="F45"/>
      <c r="G45"/>
      <c r="H45"/>
      <c r="I45"/>
      <c r="J45"/>
      <c r="K45"/>
      <c r="L45"/>
      <c r="M45"/>
    </row>
    <row r="46" spans="1:14">
      <c r="B46"/>
      <c r="C46"/>
      <c r="D46"/>
      <c r="E46"/>
      <c r="F46"/>
      <c r="G46"/>
      <c r="H46"/>
      <c r="I46"/>
      <c r="J46"/>
      <c r="K46"/>
      <c r="L46"/>
      <c r="M46"/>
    </row>
    <row r="47" spans="1:14" ht="20.100000000000001">
      <c r="A47" s="1341" t="s">
        <v>9301</v>
      </c>
      <c r="B47" s="1341"/>
      <c r="C47" s="1341"/>
      <c r="D47" s="1341"/>
      <c r="E47" s="1341"/>
      <c r="F47" s="1341"/>
      <c r="G47" s="1341"/>
      <c r="H47" s="1341"/>
      <c r="I47" s="1341"/>
      <c r="J47" s="1341"/>
      <c r="K47" s="1341"/>
      <c r="L47" s="1341"/>
      <c r="M47" s="1341"/>
    </row>
    <row r="48" spans="1:14">
      <c r="A48" s="115" t="s">
        <v>317</v>
      </c>
      <c r="B48" s="59">
        <f>_xlfn.XLOOKUP($A48,Inputs!$A:$A,Inputs!B:B,,0)</f>
        <v>3649</v>
      </c>
      <c r="C48" s="59">
        <f>_xlfn.XLOOKUP($A48,Inputs!$A:$A,Inputs!C:C,,0)</f>
        <v>3078.4</v>
      </c>
      <c r="D48" s="59">
        <f>_xlfn.XLOOKUP($A48,Inputs!$A:$A,Inputs!D:D,,0)</f>
        <v>2318.1</v>
      </c>
      <c r="E48" s="59">
        <f>_xlfn.XLOOKUP($A48,Inputs!$A:$A,Inputs!E:E,,0)</f>
        <v>1829.5</v>
      </c>
      <c r="F48" s="59" t="str">
        <f>_xlfn.XLOOKUP($A48,Inputs!$A:$A,Inputs!F:F,,0)</f>
        <v xml:space="preserve">1 473,6 </v>
      </c>
      <c r="G48" s="59" t="str">
        <f>_xlfn.XLOOKUP($A48,Inputs!$A:$A,Inputs!G:G,,0)</f>
        <v xml:space="preserve">1 256,4 </v>
      </c>
      <c r="H48" s="59" t="str">
        <f>_xlfn.XLOOKUP($A48,Inputs!$A:$A,Inputs!H:H,,0)</f>
        <v xml:space="preserve">1 027,2 </v>
      </c>
      <c r="I48" s="59" t="str">
        <f>_xlfn.XLOOKUP($A48,Inputs!$A:$A,Inputs!I:I,,0)</f>
        <v xml:space="preserve">829,4 </v>
      </c>
      <c r="J48" s="59" t="str">
        <f>_xlfn.XLOOKUP($A48,Inputs!$A:$A,Inputs!J:J,,0)</f>
        <v xml:space="preserve">678,7 </v>
      </c>
      <c r="K48" s="59" t="str">
        <f>_xlfn.XLOOKUP($A48,Inputs!$A:$A,Inputs!K:K,,0)</f>
        <v xml:space="preserve">496,5 </v>
      </c>
      <c r="L48" s="59" t="str">
        <f>_xlfn.XLOOKUP($A48,Inputs!$A:$A,Inputs!L:L,,0)</f>
        <v xml:space="preserve">413,1 </v>
      </c>
      <c r="M48" s="59">
        <f>_xlfn.XLOOKUP($A48,Inputs!$A:$A,Inputs!M:M,,0)</f>
        <v>319.3</v>
      </c>
      <c r="N48" s="59">
        <f>_xlfn.XLOOKUP($A48,Inputs!$A:$A,Inputs!N:N,,0)</f>
        <v>266.89999999999998</v>
      </c>
    </row>
    <row r="49" spans="1:14">
      <c r="A49" s="116" t="s">
        <v>9302</v>
      </c>
      <c r="B49" s="53">
        <f>_xlfn.XLOOKUP($A49,Inputs!$A:$A,Inputs!B:B,,0)</f>
        <v>0</v>
      </c>
      <c r="C49" s="53">
        <f>_xlfn.XLOOKUP($A49,Inputs!$A:$A,Inputs!C:C,,0)</f>
        <v>0</v>
      </c>
      <c r="D49" s="53">
        <f>_xlfn.XLOOKUP($A49,Inputs!$A:$A,Inputs!D:D,,0)</f>
        <v>0</v>
      </c>
      <c r="E49" s="53">
        <f>_xlfn.XLOOKUP($A49,Inputs!$A:$A,Inputs!E:E,,0)</f>
        <v>0</v>
      </c>
      <c r="F49" s="53">
        <f>_xlfn.XLOOKUP($A49,Inputs!$A:$A,Inputs!F:F,,0)</f>
        <v>0</v>
      </c>
      <c r="G49" s="53">
        <f>_xlfn.XLOOKUP($A49,Inputs!$A:$A,Inputs!G:G,,0)</f>
        <v>0</v>
      </c>
      <c r="H49" s="53">
        <f>_xlfn.XLOOKUP($A49,Inputs!$A:$A,Inputs!H:H,,0)</f>
        <v>0</v>
      </c>
      <c r="I49" s="53">
        <f>_xlfn.XLOOKUP($A49,Inputs!$A:$A,Inputs!I:I,,0)</f>
        <v>0</v>
      </c>
      <c r="J49" s="53">
        <f>_xlfn.XLOOKUP($A49,Inputs!$A:$A,Inputs!J:J,,0)</f>
        <v>0</v>
      </c>
      <c r="K49" s="53">
        <f>_xlfn.XLOOKUP($A49,Inputs!$A:$A,Inputs!K:K,,0)</f>
        <v>0</v>
      </c>
      <c r="L49" s="53">
        <f>_xlfn.XLOOKUP($A49,Inputs!$A:$A,Inputs!L:L,,0)</f>
        <v>0</v>
      </c>
      <c r="M49" s="53">
        <f>_xlfn.XLOOKUP($A49,Inputs!$A:$A,Inputs!M:M,,0)</f>
        <v>0</v>
      </c>
      <c r="N49" s="53">
        <f>_xlfn.XLOOKUP($A49,Inputs!$A:$A,Inputs!N:N,,0)</f>
        <v>0</v>
      </c>
    </row>
    <row r="50" spans="1:14">
      <c r="A50" s="110" t="s">
        <v>9303</v>
      </c>
      <c r="B50" s="53">
        <f>_xlfn.XLOOKUP($A50,Inputs!$A:$A,Inputs!B:B,,0)</f>
        <v>0</v>
      </c>
      <c r="C50" s="53">
        <f>_xlfn.XLOOKUP($A50,Inputs!$A:$A,Inputs!C:C,,0)</f>
        <v>33.200000000000003</v>
      </c>
      <c r="D50" s="53">
        <f>_xlfn.XLOOKUP($A50,Inputs!$A:$A,Inputs!D:D,,0)</f>
        <v>26.3</v>
      </c>
      <c r="E50" s="53">
        <f>_xlfn.XLOOKUP($A50,Inputs!$A:$A,Inputs!E:E,,0)</f>
        <v>19.100000000000001</v>
      </c>
      <c r="F50" s="53">
        <f>_xlfn.XLOOKUP($A50,Inputs!$A:$A,Inputs!F:F,,0)</f>
        <v>15.5</v>
      </c>
      <c r="G50" s="53">
        <v>0</v>
      </c>
      <c r="H50" s="53">
        <f>_xlfn.XLOOKUP($A50,Inputs!$A:$A,Inputs!H:H,,0)</f>
        <v>0</v>
      </c>
      <c r="I50" s="53">
        <f>_xlfn.XLOOKUP($A50,Inputs!$A:$A,Inputs!I:I,,0)</f>
        <v>0</v>
      </c>
      <c r="J50" s="53">
        <f>_xlfn.XLOOKUP($A50,Inputs!$A:$A,Inputs!J:J,,0)</f>
        <v>0</v>
      </c>
      <c r="K50" s="53">
        <f>_xlfn.XLOOKUP($A50,Inputs!$A:$A,Inputs!K:K,,0)</f>
        <v>0</v>
      </c>
      <c r="L50" s="53">
        <f>_xlfn.XLOOKUP($A50,Inputs!$A:$A,Inputs!L:L,,0)</f>
        <v>0</v>
      </c>
      <c r="M50" s="53">
        <f>_xlfn.XLOOKUP($A50,Inputs!$A:$A,Inputs!M:M,,0)</f>
        <v>0</v>
      </c>
      <c r="N50" s="53">
        <f>_xlfn.XLOOKUP($A50,Inputs!$A:$A,Inputs!N:N,,0)</f>
        <v>0</v>
      </c>
    </row>
    <row r="51" spans="1:14">
      <c r="A51" s="111" t="s">
        <v>9304</v>
      </c>
      <c r="B51" s="53">
        <f>_xlfn.XLOOKUP($A51,Inputs!$A:$A,Inputs!B:B,,0)</f>
        <v>3395.1</v>
      </c>
      <c r="C51" s="53">
        <f>_xlfn.XLOOKUP($A51,Inputs!$A:$A,Inputs!C:C,,0)</f>
        <v>2801.8</v>
      </c>
      <c r="D51" s="53">
        <f>_xlfn.XLOOKUP($A51,Inputs!$A:$A,Inputs!D:D,,0)</f>
        <v>2143.4</v>
      </c>
      <c r="E51" s="53">
        <f>_xlfn.XLOOKUP($A51,Inputs!$A:$A,Inputs!E:E,,0)</f>
        <v>1668.8</v>
      </c>
      <c r="F51" s="53">
        <f>_xlfn.XLOOKUP($A51,Inputs!$A:$A,Inputs!F:F,,0)</f>
        <v>1361.6999999999998</v>
      </c>
      <c r="G51" s="53">
        <f>_xlfn.XLOOKUP($A51,Inputs!$A:$A,Inputs!G:G,,0)</f>
        <v>1170</v>
      </c>
      <c r="H51" s="53">
        <f>_xlfn.XLOOKUP($A51,Inputs!$A:$A,Inputs!H:H,,0)</f>
        <v>957.2</v>
      </c>
      <c r="I51" s="53">
        <f>_xlfn.XLOOKUP($A51,Inputs!$A:$A,Inputs!I:I,,0)</f>
        <v>772.69999999999993</v>
      </c>
      <c r="J51" s="53">
        <f>_xlfn.XLOOKUP($A51,Inputs!$A:$A,Inputs!J:J,,0)</f>
        <v>617.20000000000005</v>
      </c>
      <c r="K51" s="53">
        <f>_xlfn.XLOOKUP($A51,Inputs!$A:$A,Inputs!K:K,,0)</f>
        <v>446.6</v>
      </c>
      <c r="L51" s="53">
        <f>_xlfn.XLOOKUP($A51,Inputs!$A:$A,Inputs!L:L,,0)</f>
        <v>377.5</v>
      </c>
      <c r="M51" s="53">
        <f>_xlfn.XLOOKUP($A51,Inputs!$A:$A,Inputs!M:M,,0)</f>
        <v>298.5</v>
      </c>
      <c r="N51" s="53">
        <f>_xlfn.XLOOKUP($A51,Inputs!$A:$A,Inputs!N:N,,0)</f>
        <v>247.09999999999997</v>
      </c>
    </row>
    <row r="52" spans="1:14">
      <c r="A52" s="115" t="s">
        <v>9305</v>
      </c>
      <c r="B52" s="59">
        <f>_xlfn.XLOOKUP($A52,Inputs!$A:$A,Inputs!B:B,,0)</f>
        <v>3756.2</v>
      </c>
      <c r="C52" s="59">
        <f>_xlfn.XLOOKUP($A52,Inputs!$A:$A,Inputs!C:C,,0)</f>
        <v>3431.2000000000003</v>
      </c>
      <c r="D52" s="59">
        <f>_xlfn.XLOOKUP($A52,Inputs!$A:$A,Inputs!D:D,,0)</f>
        <v>2819.2999999999997</v>
      </c>
      <c r="E52" s="59">
        <f>_xlfn.XLOOKUP($A52,Inputs!$A:$A,Inputs!E:E,,0)</f>
        <v>1359</v>
      </c>
      <c r="F52" s="59">
        <f>_xlfn.XLOOKUP($A52,Inputs!$A:$A,Inputs!F:F,,0)</f>
        <v>1090</v>
      </c>
      <c r="G52" s="59">
        <f>_xlfn.XLOOKUP($A52,Inputs!$A:$A,Inputs!G:G,,0)</f>
        <v>811.40000000000009</v>
      </c>
      <c r="H52" s="59">
        <f>_xlfn.XLOOKUP($A52,Inputs!$A:$A,Inputs!H:H,,0)</f>
        <v>641.29999999999995</v>
      </c>
      <c r="I52" s="59">
        <f>_xlfn.XLOOKUP($A52,Inputs!$A:$A,Inputs!I:I,,0)</f>
        <v>472.9</v>
      </c>
      <c r="J52" s="59">
        <f>_xlfn.XLOOKUP($A52,Inputs!$A:$A,Inputs!J:J,,0)</f>
        <v>356.39999999999986</v>
      </c>
      <c r="K52" s="59">
        <f>_xlfn.XLOOKUP($A52,Inputs!$A:$A,Inputs!K:K,,0)</f>
        <v>252.29999999999995</v>
      </c>
      <c r="L52" s="59">
        <f>_xlfn.XLOOKUP($A52,Inputs!$A:$A,Inputs!L:L,,0)</f>
        <v>169.60000000000002</v>
      </c>
      <c r="M52" s="59">
        <f>_xlfn.XLOOKUP($A52,Inputs!$A:$A,Inputs!M:M,,0)</f>
        <v>145.09999999999997</v>
      </c>
      <c r="N52" s="59">
        <f>_xlfn.XLOOKUP($A52,Inputs!$A:$A,Inputs!N:N,,0)</f>
        <v>109.5</v>
      </c>
    </row>
    <row r="53" spans="1:14">
      <c r="A53" s="116" t="s">
        <v>9306</v>
      </c>
      <c r="B53" s="53">
        <f>_xlfn.XLOOKUP($A53,Inputs!$A:$A,Inputs!B:B,,0)</f>
        <v>991.8</v>
      </c>
      <c r="C53" s="53">
        <f>_xlfn.XLOOKUP($A53,Inputs!$A:$A,Inputs!C:C,,0)</f>
        <v>990.4</v>
      </c>
      <c r="D53" s="53">
        <f>_xlfn.XLOOKUP($A53,Inputs!$A:$A,Inputs!D:D,,0)</f>
        <v>988.4</v>
      </c>
      <c r="E53" s="53">
        <f>_xlfn.XLOOKUP($A53,Inputs!$A:$A,Inputs!E:E,,0)</f>
        <v>0</v>
      </c>
      <c r="F53" s="53">
        <f>_xlfn.XLOOKUP($A53,Inputs!$A:$A,Inputs!F:F,,0)</f>
        <v>0</v>
      </c>
      <c r="G53" s="53">
        <f>_xlfn.XLOOKUP($A53,Inputs!$A:$A,Inputs!G:G,,0)</f>
        <v>0</v>
      </c>
      <c r="H53" s="53">
        <f>_xlfn.XLOOKUP($A53,Inputs!$A:$A,Inputs!H:H,,0)</f>
        <v>0</v>
      </c>
      <c r="I53" s="53">
        <f>_xlfn.XLOOKUP($A53,Inputs!$A:$A,Inputs!I:I,,0)</f>
        <v>0</v>
      </c>
      <c r="J53" s="53">
        <f>_xlfn.XLOOKUP($A53,Inputs!$A:$A,Inputs!J:J,,0)</f>
        <v>0</v>
      </c>
      <c r="K53" s="53">
        <f>_xlfn.XLOOKUP($A53,Inputs!$A:$A,Inputs!K:K,,0)</f>
        <v>0</v>
      </c>
      <c r="L53" s="53">
        <f>_xlfn.XLOOKUP($A53,Inputs!$A:$A,Inputs!L:L,,0)</f>
        <v>0</v>
      </c>
      <c r="M53" s="53">
        <f>_xlfn.XLOOKUP($A53,Inputs!$A:$A,Inputs!M:M,,0)</f>
        <v>0</v>
      </c>
      <c r="N53" s="53">
        <f>_xlfn.XLOOKUP($A53,Inputs!$A:$A,Inputs!N:N,,0)</f>
        <v>0</v>
      </c>
    </row>
    <row r="54" spans="1:14">
      <c r="A54" s="110" t="s">
        <v>9307</v>
      </c>
      <c r="B54" s="53">
        <f>_xlfn.XLOOKUP($A54,Inputs!$A:$A,Inputs!B:B,,0)</f>
        <v>62.5</v>
      </c>
      <c r="C54" s="53">
        <f>_xlfn.XLOOKUP($A54,Inputs!$A:$A,Inputs!C:C,,0)</f>
        <v>62.5</v>
      </c>
      <c r="D54" s="53">
        <f>_xlfn.XLOOKUP($A54,Inputs!$A:$A,Inputs!D:D,,0)</f>
        <v>40.5</v>
      </c>
      <c r="E54" s="53">
        <f>_xlfn.XLOOKUP($A54,Inputs!$A:$A,Inputs!E:E,,0)</f>
        <v>34</v>
      </c>
      <c r="F54" s="53">
        <f>_xlfn.XLOOKUP($A54,Inputs!$A:$A,Inputs!F:F,,0)</f>
        <v>30.6</v>
      </c>
      <c r="G54" s="53">
        <f>_xlfn.XLOOKUP($A54,Inputs!$A:$A,Inputs!G:G,,0)</f>
        <v>0</v>
      </c>
      <c r="H54" s="53">
        <f>_xlfn.XLOOKUP($A54,Inputs!$A:$A,Inputs!H:H,,0)</f>
        <v>0</v>
      </c>
      <c r="I54" s="53">
        <f>_xlfn.XLOOKUP($A54,Inputs!$A:$A,Inputs!I:I,,0)</f>
        <v>0</v>
      </c>
      <c r="J54" s="53">
        <f>_xlfn.XLOOKUP($A54,Inputs!$A:$A,Inputs!J:J,,0)</f>
        <v>0</v>
      </c>
      <c r="K54" s="53">
        <f>_xlfn.XLOOKUP($A54,Inputs!$A:$A,Inputs!K:K,,0)</f>
        <v>0</v>
      </c>
      <c r="L54" s="53">
        <f>_xlfn.XLOOKUP($A54,Inputs!$A:$A,Inputs!L:L,,0)</f>
        <v>0</v>
      </c>
      <c r="M54" s="53">
        <f>_xlfn.XLOOKUP($A54,Inputs!$A:$A,Inputs!M:M,,0)</f>
        <v>0</v>
      </c>
      <c r="N54" s="53">
        <f>_xlfn.XLOOKUP($A54,Inputs!$A:$A,Inputs!N:N,,0)</f>
        <v>0</v>
      </c>
    </row>
    <row r="55" spans="1:14">
      <c r="A55" s="111" t="s">
        <v>9308</v>
      </c>
      <c r="B55" s="53">
        <f>_xlfn.XLOOKUP($A55,Inputs!$A:$A,Inputs!B:B,,0)</f>
        <v>2701.8999999999996</v>
      </c>
      <c r="C55" s="53">
        <f>_xlfn.XLOOKUP($A55,Inputs!$A:$A,Inputs!C:C,,0)</f>
        <v>2378.3000000000002</v>
      </c>
      <c r="D55" s="53">
        <f>_xlfn.XLOOKUP($A55,Inputs!$A:$A,Inputs!D:D,,0)</f>
        <v>1790.3999999999996</v>
      </c>
      <c r="E55" s="53">
        <f>_xlfn.XLOOKUP($A55,Inputs!$A:$A,Inputs!E:E,,0)</f>
        <v>1325</v>
      </c>
      <c r="F55" s="53">
        <f>_xlfn.XLOOKUP($A55,Inputs!$A:$A,Inputs!F:F,,0)</f>
        <v>1059.4000000000001</v>
      </c>
      <c r="G55" s="53">
        <f>_xlfn.XLOOKUP($A55,Inputs!$A:$A,Inputs!G:G,,0)</f>
        <v>811.40000000000009</v>
      </c>
      <c r="H55" s="53">
        <f>_xlfn.XLOOKUP($A55,Inputs!$A:$A,Inputs!H:H,,0)</f>
        <v>641.29999999999995</v>
      </c>
      <c r="I55" s="53">
        <f>_xlfn.XLOOKUP($A55,Inputs!$A:$A,Inputs!I:I,,0)</f>
        <v>472.9</v>
      </c>
      <c r="J55" s="53">
        <f>_xlfn.XLOOKUP($A55,Inputs!$A:$A,Inputs!J:J,,0)</f>
        <v>356.39999999999986</v>
      </c>
      <c r="K55" s="53">
        <f>_xlfn.XLOOKUP($A55,Inputs!$A:$A,Inputs!K:K,,0)</f>
        <v>252.29999999999995</v>
      </c>
      <c r="L55" s="53">
        <f>_xlfn.XLOOKUP($A55,Inputs!$A:$A,Inputs!L:L,,0)</f>
        <v>169.60000000000002</v>
      </c>
      <c r="M55" s="53">
        <f>_xlfn.XLOOKUP($A55,Inputs!$A:$A,Inputs!M:M,,0)</f>
        <v>145.09999999999997</v>
      </c>
      <c r="N55" s="53">
        <f>_xlfn.XLOOKUP($A55,Inputs!$A:$A,Inputs!N:N,,0)</f>
        <v>109.5</v>
      </c>
    </row>
    <row r="56" spans="1:14">
      <c r="A56" s="115" t="s">
        <v>44</v>
      </c>
      <c r="B56" s="59">
        <f>_xlfn.XLOOKUP($A56,Inputs!$A:$A,Inputs!B:B,,0)</f>
        <v>7405.2</v>
      </c>
      <c r="C56" s="59" t="str">
        <f>_xlfn.XLOOKUP($A56,Inputs!$A:$A,Inputs!C:C,,0)</f>
        <v xml:space="preserve">6 509,6 </v>
      </c>
      <c r="D56" s="59" t="str">
        <f>_xlfn.XLOOKUP($A56,Inputs!$A:$A,Inputs!D:D,,0)</f>
        <v xml:space="preserve">5 137,4 </v>
      </c>
      <c r="E56" s="59" t="str">
        <f>_xlfn.XLOOKUP($A56,Inputs!$A:$A,Inputs!E:E,,0)</f>
        <v xml:space="preserve">3 188,5 </v>
      </c>
      <c r="F56" s="59" t="str">
        <f>_xlfn.XLOOKUP($A56,Inputs!$A:$A,Inputs!F:F,,0)</f>
        <v xml:space="preserve">2 563,6 </v>
      </c>
      <c r="G56" s="59" t="str">
        <f>_xlfn.XLOOKUP($A56,Inputs!$A:$A,Inputs!G:G,,0)</f>
        <v xml:space="preserve">2 067,8 </v>
      </c>
      <c r="H56" s="59" t="str">
        <f>_xlfn.XLOOKUP($A56,Inputs!$A:$A,Inputs!H:H,,0)</f>
        <v xml:space="preserve">1 668,5 </v>
      </c>
      <c r="I56" s="59" t="str">
        <f>_xlfn.XLOOKUP($A56,Inputs!$A:$A,Inputs!I:I,,0)</f>
        <v xml:space="preserve">1 302,3 </v>
      </c>
      <c r="J56" s="59" t="str">
        <f>_xlfn.XLOOKUP($A56,Inputs!$A:$A,Inputs!J:J,,0)</f>
        <v xml:space="preserve">1 035,1 </v>
      </c>
      <c r="K56" s="59" t="str">
        <f>_xlfn.XLOOKUP($A56,Inputs!$A:$A,Inputs!K:K,,0)</f>
        <v xml:space="preserve">748,8 </v>
      </c>
      <c r="L56" s="59" t="str">
        <f>_xlfn.XLOOKUP($A56,Inputs!$A:$A,Inputs!L:L,,0)</f>
        <v xml:space="preserve">582,7 </v>
      </c>
      <c r="M56" s="59">
        <f>_xlfn.XLOOKUP($A56,Inputs!$A:$A,Inputs!M:M,,0)</f>
        <v>464.4</v>
      </c>
      <c r="N56" s="59">
        <f>_xlfn.XLOOKUP($A56,Inputs!$A:$A,Inputs!N:N,,0)</f>
        <v>376.4</v>
      </c>
    </row>
    <row r="57" spans="1:14">
      <c r="B57"/>
      <c r="C57"/>
      <c r="D57"/>
      <c r="E57"/>
      <c r="F57"/>
      <c r="G57"/>
      <c r="H57"/>
      <c r="I57"/>
      <c r="J57"/>
      <c r="K57"/>
      <c r="L57"/>
      <c r="M57"/>
      <c r="N57"/>
    </row>
    <row r="58" spans="1:14">
      <c r="A58" s="115" t="s">
        <v>318</v>
      </c>
      <c r="B58" s="59">
        <f>B49+B53+B50+B54</f>
        <v>1054.3</v>
      </c>
      <c r="C58" s="59">
        <f>C49+C53+C50+C54</f>
        <v>1086.0999999999999</v>
      </c>
      <c r="D58" s="59">
        <f>D49+D53+D50+D54</f>
        <v>1055.1999999999998</v>
      </c>
      <c r="E58" s="59">
        <f>E49+E53+E50+E54</f>
        <v>53.1</v>
      </c>
      <c r="F58" s="59">
        <f t="shared" ref="F58:N58" si="39">F49+F53+F50+F54</f>
        <v>46.1</v>
      </c>
      <c r="G58" s="59">
        <f>G49+G53+G50+G54</f>
        <v>0</v>
      </c>
      <c r="H58" s="59">
        <f t="shared" si="39"/>
        <v>0</v>
      </c>
      <c r="I58" s="59">
        <f>I49+I53+I50+I54</f>
        <v>0</v>
      </c>
      <c r="J58" s="59">
        <f>J49+J53+J50+J54</f>
        <v>0</v>
      </c>
      <c r="K58" s="59">
        <f t="shared" si="39"/>
        <v>0</v>
      </c>
      <c r="L58" s="59">
        <f>L49+L53+L50+L54</f>
        <v>0</v>
      </c>
      <c r="M58" s="59">
        <f>M49+M53+M50+M54</f>
        <v>0</v>
      </c>
      <c r="N58" s="59">
        <f t="shared" si="39"/>
        <v>0</v>
      </c>
    </row>
    <row r="59" spans="1:14">
      <c r="A59" s="116" t="s">
        <v>67</v>
      </c>
      <c r="B59" s="55">
        <f>IFERROR(B58/B44,"-")</f>
        <v>0.14096238952843179</v>
      </c>
      <c r="C59" s="55">
        <f t="shared" ref="C59:N59" si="40">IFERROR(C58/C44,"-")</f>
        <v>0.17438985228002568</v>
      </c>
      <c r="D59" s="55">
        <f t="shared" si="40"/>
        <v>0.17827034515382401</v>
      </c>
      <c r="E59" s="55">
        <f t="shared" si="40"/>
        <v>1.3128940536531093E-2</v>
      </c>
      <c r="F59" s="55">
        <f t="shared" si="40"/>
        <v>1.1864624887401878E-2</v>
      </c>
      <c r="G59" s="55">
        <f t="shared" si="40"/>
        <v>0</v>
      </c>
      <c r="H59" s="55">
        <f t="shared" si="40"/>
        <v>0</v>
      </c>
      <c r="I59" s="55">
        <f t="shared" si="40"/>
        <v>0</v>
      </c>
      <c r="J59" s="55">
        <f t="shared" si="40"/>
        <v>0</v>
      </c>
      <c r="K59" s="55">
        <f t="shared" si="40"/>
        <v>0</v>
      </c>
      <c r="L59" s="55">
        <f t="shared" si="40"/>
        <v>0</v>
      </c>
      <c r="M59" s="55">
        <f t="shared" si="40"/>
        <v>0</v>
      </c>
      <c r="N59" s="55">
        <f t="shared" si="40"/>
        <v>0</v>
      </c>
    </row>
    <row r="60" spans="1:14">
      <c r="A60" s="115" t="s">
        <v>9309</v>
      </c>
      <c r="B60" s="59">
        <f>B58-B39</f>
        <v>-1132.5000000000002</v>
      </c>
      <c r="C60" s="59">
        <f t="shared" ref="C60:N60" si="41">C58-C39</f>
        <v>-596.80000000000018</v>
      </c>
      <c r="D60" s="59">
        <f t="shared" si="41"/>
        <v>-263.90000000000009</v>
      </c>
      <c r="E60" s="59">
        <f t="shared" si="41"/>
        <v>-1008.6999999999999</v>
      </c>
      <c r="F60" s="59">
        <f t="shared" si="41"/>
        <v>-1176.4000000000001</v>
      </c>
      <c r="G60" s="59">
        <f t="shared" si="41"/>
        <v>-1112.4000000000001</v>
      </c>
      <c r="H60" s="59">
        <f t="shared" si="41"/>
        <v>-811</v>
      </c>
      <c r="I60" s="59">
        <f t="shared" si="41"/>
        <v>-709</v>
      </c>
      <c r="J60" s="59">
        <f t="shared" si="41"/>
        <v>-543</v>
      </c>
      <c r="K60" s="59">
        <f t="shared" si="41"/>
        <v>-283.3</v>
      </c>
      <c r="L60" s="59">
        <f t="shared" si="41"/>
        <v>-115.9</v>
      </c>
      <c r="M60" s="59">
        <f>M58-M39</f>
        <v>-123</v>
      </c>
      <c r="N60" s="59">
        <f t="shared" si="41"/>
        <v>-72</v>
      </c>
    </row>
    <row r="61" spans="1:14">
      <c r="B61"/>
      <c r="C61"/>
      <c r="D61"/>
      <c r="E61"/>
      <c r="F61"/>
      <c r="G61"/>
      <c r="H61"/>
      <c r="I61"/>
      <c r="J61"/>
      <c r="K61"/>
      <c r="L61"/>
      <c r="M61"/>
      <c r="N61"/>
    </row>
    <row r="62" spans="1:14" s="47" customFormat="1">
      <c r="A62" s="115" t="s">
        <v>9310</v>
      </c>
      <c r="B62" s="59">
        <f>_xlfn.XLOOKUP($A62,Inputs!$A:$A,Inputs!B:B,,0)</f>
        <v>0</v>
      </c>
      <c r="C62" s="59">
        <f>_xlfn.XLOOKUP($A62,Inputs!$A:$A,Inputs!C:C,,0)</f>
        <v>0</v>
      </c>
      <c r="D62" s="59">
        <f>_xlfn.XLOOKUP($A62,Inputs!$A:$A,Inputs!D:D,,0)</f>
        <v>16.7</v>
      </c>
      <c r="E62" s="59">
        <f>_xlfn.XLOOKUP($A62,Inputs!$A:$A,Inputs!E:E,,0)</f>
        <v>0</v>
      </c>
      <c r="F62" s="59">
        <f>_xlfn.XLOOKUP($A62,Inputs!$A:$A,Inputs!F:F,,0)</f>
        <v>0</v>
      </c>
      <c r="G62" s="59">
        <f>_xlfn.XLOOKUP($A62,Inputs!$A:$A,Inputs!G:G,,0)</f>
        <v>0</v>
      </c>
      <c r="H62" s="59">
        <f>_xlfn.XLOOKUP($A62,Inputs!$A:$A,Inputs!H:H,,0)</f>
        <v>0</v>
      </c>
      <c r="I62" s="59">
        <f>_xlfn.XLOOKUP($A62,Inputs!$A:$A,Inputs!I:I,,0)</f>
        <v>0</v>
      </c>
      <c r="J62" s="59">
        <f>_xlfn.XLOOKUP($A62,Inputs!$A:$A,Inputs!J:J,,0)</f>
        <v>0</v>
      </c>
      <c r="K62" s="59">
        <f>_xlfn.XLOOKUP($A62,Inputs!$A:$A,Inputs!K:K,,0)</f>
        <v>0</v>
      </c>
      <c r="L62" s="59">
        <f>_xlfn.XLOOKUP($A62,Inputs!$A:$A,Inputs!L:L,,0)</f>
        <v>0</v>
      </c>
      <c r="M62" s="59">
        <f>_xlfn.XLOOKUP($A62,Inputs!$A:$A,Inputs!M:M,,0)</f>
        <v>0</v>
      </c>
      <c r="N62" s="59">
        <f>_xlfn.XLOOKUP($A62,Inputs!$A:$A,Inputs!N:N,,0)</f>
        <v>0</v>
      </c>
    </row>
    <row r="63" spans="1:14">
      <c r="B63"/>
      <c r="C63"/>
      <c r="D63"/>
      <c r="E63"/>
      <c r="F63"/>
      <c r="G63"/>
      <c r="H63"/>
      <c r="I63"/>
      <c r="J63"/>
      <c r="K63"/>
      <c r="L63"/>
      <c r="M63"/>
      <c r="N63"/>
    </row>
    <row r="64" spans="1:14">
      <c r="A64" s="115" t="s">
        <v>9311</v>
      </c>
      <c r="B64" s="59">
        <f>_xlfn.XLOOKUP($A64,Inputs!$A:$A,Inputs!B:B,,0)</f>
        <v>74.099999999999994</v>
      </c>
      <c r="C64" s="59">
        <f>_xlfn.XLOOKUP($A64,Inputs!$A:$A,Inputs!C:C,,0)</f>
        <v>-281.60000000000036</v>
      </c>
      <c r="D64" s="59">
        <f>_xlfn.XLOOKUP($A64,Inputs!$A:$A,Inputs!D:D,,0)</f>
        <v>765.00000000000068</v>
      </c>
      <c r="E64" s="59">
        <f>_xlfn.XLOOKUP($A64,Inputs!$A:$A,Inputs!E:E,,0)</f>
        <v>856</v>
      </c>
      <c r="F64" s="59">
        <f>_xlfn.XLOOKUP($A64,Inputs!$A:$A,Inputs!F:F,,0)</f>
        <v>1321.9</v>
      </c>
      <c r="G64" s="59">
        <f>_xlfn.XLOOKUP($A64,Inputs!$A:$A,Inputs!G:G,,0)</f>
        <v>1010.1999999999998</v>
      </c>
      <c r="H64" s="59">
        <f>_xlfn.XLOOKUP($A64,Inputs!$A:$A,Inputs!H:H,,0)</f>
        <v>589.40000000000009</v>
      </c>
      <c r="I64" s="59">
        <f>_xlfn.XLOOKUP($A64,Inputs!$A:$A,Inputs!I:I,,0)</f>
        <v>837.60000000000014</v>
      </c>
      <c r="J64" s="59">
        <f>_xlfn.XLOOKUP($A64,Inputs!$A:$A,Inputs!J:J,,0)</f>
        <v>755.40000000000009</v>
      </c>
      <c r="K64" s="59">
        <f>_xlfn.XLOOKUP($A64,Inputs!$A:$A,Inputs!K:K,,0)</f>
        <v>676</v>
      </c>
      <c r="L64" s="59">
        <f>_xlfn.XLOOKUP($A64,Inputs!$A:$A,Inputs!L:L,,0)</f>
        <v>585.79999999999995</v>
      </c>
      <c r="M64" s="59">
        <f>_xlfn.XLOOKUP($A64,Inputs!$A:$A,Inputs!M:M,,0)</f>
        <v>511.1</v>
      </c>
      <c r="N64" s="59">
        <f>_xlfn.XLOOKUP($A64,Inputs!$A:$A,Inputs!N:N,,0)</f>
        <v>358.30000000000007</v>
      </c>
    </row>
    <row r="66" spans="1:14" ht="20.100000000000001">
      <c r="A66" s="1341" t="s">
        <v>123</v>
      </c>
      <c r="B66" s="1341"/>
      <c r="C66" s="1341"/>
      <c r="D66" s="1341"/>
      <c r="E66" s="1341"/>
      <c r="F66" s="1341"/>
      <c r="G66" s="1341"/>
      <c r="H66" s="1341"/>
      <c r="I66" s="1341"/>
      <c r="J66" s="1341"/>
      <c r="K66" s="1341"/>
      <c r="L66" s="1341"/>
      <c r="M66" s="1341"/>
    </row>
    <row r="67" spans="1:14">
      <c r="A67" s="115" t="s">
        <v>124</v>
      </c>
      <c r="B67" s="59">
        <f>_xlfn.XLOOKUP($A67,Inputs!$A:$A,Inputs!B:B,,0)</f>
        <v>2271.9</v>
      </c>
      <c r="C67" s="59">
        <f>_xlfn.XLOOKUP($A67,Inputs!$A:$A,Inputs!C:C,,0)</f>
        <v>1730.6</v>
      </c>
      <c r="D67" s="59">
        <f>_xlfn.XLOOKUP($A67,Inputs!$A:$A,Inputs!D:D,,0)</f>
        <v>1499.7</v>
      </c>
      <c r="E67" s="59">
        <f>_xlfn.XLOOKUP($A67,Inputs!$A:$A,Inputs!E:E,,0)</f>
        <v>1083.7</v>
      </c>
      <c r="F67" s="59">
        <f>_xlfn.XLOOKUP($A67,Inputs!$A:$A,Inputs!F:F,,0)</f>
        <v>808</v>
      </c>
      <c r="G67" s="59">
        <f>_xlfn.XLOOKUP($A67,Inputs!$A:$A,Inputs!G:G,,0)</f>
        <v>638.9</v>
      </c>
      <c r="H67" s="59">
        <f>_xlfn.XLOOKUP($A67,Inputs!$A:$A,Inputs!H:H,,0)</f>
        <v>594.4</v>
      </c>
      <c r="I67" s="59">
        <f>_xlfn.XLOOKUP($A67,Inputs!$A:$A,Inputs!I:I,,0)</f>
        <v>345.7</v>
      </c>
      <c r="J67" s="59">
        <f>_xlfn.XLOOKUP($A67,Inputs!$A:$A,Inputs!J:J,,0)</f>
        <v>282.5</v>
      </c>
      <c r="K67" s="59">
        <f>_xlfn.XLOOKUP($A67,Inputs!$A:$A,Inputs!K:K,,0)</f>
        <v>196.6</v>
      </c>
      <c r="L67" s="59">
        <f>_xlfn.XLOOKUP($A67,Inputs!$A:$A,Inputs!L:L,,0)</f>
        <v>147.4</v>
      </c>
      <c r="M67" s="59">
        <f>_xlfn.XLOOKUP($A67,Inputs!$A:$A,Inputs!M:M,,0)</f>
        <v>183.9</v>
      </c>
      <c r="N67" s="59">
        <f>_xlfn.XLOOKUP($A67,Inputs!$A:$A,Inputs!N:N,,0)</f>
        <v>132.80000000000001</v>
      </c>
    </row>
    <row r="68" spans="1:14">
      <c r="A68" s="115" t="s">
        <v>125</v>
      </c>
      <c r="B68" s="59">
        <f>_xlfn.XLOOKUP($A68,Inputs!$A:$A,Inputs!B:B,,0)</f>
        <v>-360.3</v>
      </c>
      <c r="C68" s="59">
        <f>_xlfn.XLOOKUP($A68,Inputs!$A:$A,Inputs!C:C,,0)</f>
        <v>763.9</v>
      </c>
      <c r="D68" s="59">
        <f>_xlfn.XLOOKUP($A68,Inputs!$A:$A,Inputs!D:D,,0)</f>
        <v>-1325.1</v>
      </c>
      <c r="E68" s="59">
        <f>_xlfn.XLOOKUP($A68,Inputs!$A:$A,Inputs!E:E,,0)</f>
        <v>-72.8</v>
      </c>
      <c r="F68" s="59">
        <f>_xlfn.XLOOKUP($A68,Inputs!$A:$A,Inputs!F:F,,0)</f>
        <v>-502.3</v>
      </c>
      <c r="G68" s="59">
        <f>_xlfn.XLOOKUP($A68,Inputs!$A:$A,Inputs!G:G,,0)</f>
        <v>-134.9</v>
      </c>
      <c r="H68" s="59">
        <f>_xlfn.XLOOKUP($A68,Inputs!$A:$A,Inputs!H:H,,0)</f>
        <v>-76.8</v>
      </c>
      <c r="I68" s="59">
        <f>_xlfn.XLOOKUP($A68,Inputs!$A:$A,Inputs!I:I,,0)</f>
        <v>-74.099999999999994</v>
      </c>
      <c r="J68" s="59">
        <f>_xlfn.XLOOKUP($A68,Inputs!$A:$A,Inputs!J:J,,0)</f>
        <v>-1</v>
      </c>
      <c r="K68" s="59">
        <f>_xlfn.XLOOKUP($A68,Inputs!$A:$A,Inputs!K:K,,0)</f>
        <v>-29.4</v>
      </c>
      <c r="L68" s="59">
        <f>_xlfn.XLOOKUP($A68,Inputs!$A:$A,Inputs!L:L,,0)</f>
        <v>-146.69999999999999</v>
      </c>
      <c r="M68" s="59">
        <f>_xlfn.XLOOKUP($A68,Inputs!$A:$A,Inputs!M:M,,0)</f>
        <v>-182.7</v>
      </c>
      <c r="N68" s="59">
        <f>_xlfn.XLOOKUP($A68,Inputs!$A:$A,Inputs!N:N,,0)</f>
        <v>-166.8</v>
      </c>
    </row>
    <row r="69" spans="1:14">
      <c r="A69" s="111" t="s">
        <v>126</v>
      </c>
      <c r="B69" s="53">
        <f>_xlfn.XLOOKUP($A69,Inputs!$A:$A,Inputs!B:B,,0)</f>
        <v>-208.1</v>
      </c>
      <c r="C69" s="53">
        <f>_xlfn.XLOOKUP($A69,Inputs!$A:$A,Inputs!C:C,,0)</f>
        <v>-281.2</v>
      </c>
      <c r="D69" s="53">
        <f>_xlfn.XLOOKUP($A69,Inputs!$A:$A,Inputs!D:D,,0)</f>
        <v>-295.89999999999998</v>
      </c>
      <c r="E69" s="53">
        <f>_xlfn.XLOOKUP($A69,Inputs!$A:$A,Inputs!E:E,,0)</f>
        <v>-125.9</v>
      </c>
      <c r="F69" s="53">
        <f>_xlfn.XLOOKUP($A69,Inputs!$A:$A,Inputs!F:F,,0)</f>
        <v>-92.2</v>
      </c>
      <c r="G69" s="53">
        <f>_xlfn.XLOOKUP($A69,Inputs!$A:$A,Inputs!G:G,,0)</f>
        <v>-53</v>
      </c>
      <c r="H69" s="53">
        <f>_xlfn.XLOOKUP($A69,Inputs!$A:$A,Inputs!H:H,,0)</f>
        <v>-135.30000000000001</v>
      </c>
      <c r="I69" s="53">
        <f>_xlfn.XLOOKUP($A69,Inputs!$A:$A,Inputs!I:I,,0)</f>
        <v>-67.2</v>
      </c>
      <c r="J69" s="53">
        <f>_xlfn.XLOOKUP($A69,Inputs!$A:$A,Inputs!J:J,,0)</f>
        <v>-37.4</v>
      </c>
      <c r="K69" s="53">
        <f>_xlfn.XLOOKUP($A69,Inputs!$A:$A,Inputs!K:K,,0)</f>
        <v>-32.200000000000003</v>
      </c>
      <c r="L69" s="53">
        <f>_xlfn.XLOOKUP($A69,Inputs!$A:$A,Inputs!L:L,,0)</f>
        <v>-13.9</v>
      </c>
      <c r="M69" s="53">
        <f>_xlfn.XLOOKUP($A69,Inputs!$A:$A,Inputs!M:M,,0)</f>
        <v>-22.1</v>
      </c>
      <c r="N69" s="53">
        <f>_xlfn.XLOOKUP($A69,Inputs!$A:$A,Inputs!N:N,,0)</f>
        <v>-3.6</v>
      </c>
    </row>
    <row r="70" spans="1:14">
      <c r="A70" s="111" t="s">
        <v>128</v>
      </c>
      <c r="B70" s="53">
        <f>_xlfn.XLOOKUP($A70,Inputs!$A:$A,Inputs!B:B,,0)</f>
        <v>152.19999999999999</v>
      </c>
      <c r="C70" s="53">
        <f>_xlfn.XLOOKUP($A70,Inputs!$A:$A,Inputs!C:C,,0)</f>
        <v>1045.0999999999999</v>
      </c>
      <c r="D70" s="53">
        <f>_xlfn.XLOOKUP($A70,Inputs!$A:$A,Inputs!D:D,,0)</f>
        <v>-1029.2</v>
      </c>
      <c r="E70" s="53">
        <f>_xlfn.XLOOKUP($A70,Inputs!$A:$A,Inputs!E:E,,0)</f>
        <v>53.1</v>
      </c>
      <c r="F70" s="53">
        <f>_xlfn.XLOOKUP($A70,Inputs!$A:$A,Inputs!F:F,,0)</f>
        <v>-410.1</v>
      </c>
      <c r="G70" s="53">
        <f>_xlfn.XLOOKUP($A70,Inputs!$A:$A,Inputs!G:G,,0)</f>
        <v>-81.900000000000006</v>
      </c>
      <c r="H70" s="53">
        <f>_xlfn.XLOOKUP($A70,Inputs!$A:$A,Inputs!H:H,,0)</f>
        <v>58.5</v>
      </c>
      <c r="I70" s="53">
        <f>_xlfn.XLOOKUP($A70,Inputs!$A:$A,Inputs!I:I,,0)</f>
        <v>-6.9</v>
      </c>
      <c r="J70" s="53">
        <f>_xlfn.XLOOKUP($A70,Inputs!$A:$A,Inputs!J:J,,0)</f>
        <v>36.4</v>
      </c>
      <c r="K70" s="53">
        <f>_xlfn.XLOOKUP($A70,Inputs!$A:$A,Inputs!K:K,,0)</f>
        <v>2.8</v>
      </c>
      <c r="L70" s="53">
        <f>_xlfn.XLOOKUP($A70,Inputs!$A:$A,Inputs!L:L,,0)</f>
        <v>-132.9</v>
      </c>
      <c r="M70" s="53">
        <f>_xlfn.XLOOKUP($A70,Inputs!$A:$A,Inputs!M:M,,0)</f>
        <v>-160.6</v>
      </c>
      <c r="N70" s="53">
        <f>_xlfn.XLOOKUP($A70,Inputs!$A:$A,Inputs!N:N,,0)</f>
        <v>-163.19999999999999</v>
      </c>
    </row>
    <row r="71" spans="1:14">
      <c r="A71" s="115" t="s">
        <v>129</v>
      </c>
      <c r="B71" s="59">
        <f>_xlfn.XLOOKUP($A71,Inputs!$A:$A,Inputs!B:B,,0)</f>
        <v>-687.7</v>
      </c>
      <c r="C71" s="59">
        <f>_xlfn.XLOOKUP($A71,Inputs!$A:$A,Inputs!C:C,,0)</f>
        <v>-2130.3000000000002</v>
      </c>
      <c r="D71" s="59">
        <f>_xlfn.XLOOKUP($A71,Inputs!$A:$A,Inputs!D:D,,0)</f>
        <v>82.8</v>
      </c>
      <c r="E71" s="59">
        <f>_xlfn.XLOOKUP($A71,Inputs!$A:$A,Inputs!E:E,,0)</f>
        <v>-1171.5999999999999</v>
      </c>
      <c r="F71" s="59">
        <f>_xlfn.XLOOKUP($A71,Inputs!$A:$A,Inputs!F:F,,0)</f>
        <v>-195.6</v>
      </c>
      <c r="G71" s="59">
        <f>_xlfn.XLOOKUP($A71,Inputs!$A:$A,Inputs!G:G,,0)</f>
        <v>-202.6</v>
      </c>
      <c r="H71" s="59">
        <f>_xlfn.XLOOKUP($A71,Inputs!$A:$A,Inputs!H:H,,0)</f>
        <v>-415.6</v>
      </c>
      <c r="I71" s="59">
        <f>_xlfn.XLOOKUP($A71,Inputs!$A:$A,Inputs!I:I,,0)</f>
        <v>-105.9</v>
      </c>
      <c r="J71" s="59">
        <f>_xlfn.XLOOKUP($A71,Inputs!$A:$A,Inputs!J:J,,0)</f>
        <v>-21.6</v>
      </c>
      <c r="K71" s="59">
        <f>_xlfn.XLOOKUP($A71,Inputs!$A:$A,Inputs!K:K,,0)</f>
        <v>0.7</v>
      </c>
      <c r="L71" s="59">
        <f>_xlfn.XLOOKUP($A71,Inputs!$A:$A,Inputs!L:L,,0)</f>
        <v>-6.4</v>
      </c>
      <c r="M71" s="59">
        <f>_xlfn.XLOOKUP($A71,Inputs!$A:$A,Inputs!M:M,,0)</f>
        <v>50.2</v>
      </c>
      <c r="N71" s="59">
        <f>_xlfn.XLOOKUP($A71,Inputs!$A:$A,Inputs!N:N,,0)</f>
        <v>39.799999999999997</v>
      </c>
    </row>
    <row r="72" spans="1:14">
      <c r="A72" s="111" t="s">
        <v>130</v>
      </c>
      <c r="B72" s="53">
        <f>_xlfn.XLOOKUP($A72,Inputs!$A:$A,Inputs!B:B,,0)</f>
        <v>0</v>
      </c>
      <c r="C72" s="53">
        <f>_xlfn.XLOOKUP($A72,Inputs!$A:$A,Inputs!C:C,,0)</f>
        <v>0</v>
      </c>
      <c r="D72" s="53">
        <f>_xlfn.XLOOKUP($A72,Inputs!$A:$A,Inputs!D:D,,0)</f>
        <v>0</v>
      </c>
      <c r="E72" s="53">
        <f>_xlfn.XLOOKUP($A72,Inputs!$A:$A,Inputs!E:E,,0)</f>
        <v>0</v>
      </c>
      <c r="F72" s="53">
        <f>_xlfn.XLOOKUP($A72,Inputs!$A:$A,Inputs!F:F,,0)</f>
        <v>0</v>
      </c>
      <c r="G72" s="53">
        <f>_xlfn.XLOOKUP($A72,Inputs!$A:$A,Inputs!G:G,,0)</f>
        <v>0</v>
      </c>
      <c r="H72" s="53">
        <f>_xlfn.XLOOKUP($A72,Inputs!$A:$A,Inputs!H:H,,0)</f>
        <v>0</v>
      </c>
      <c r="I72" s="53">
        <f>_xlfn.XLOOKUP($A72,Inputs!$A:$A,Inputs!I:I,,0)</f>
        <v>0</v>
      </c>
      <c r="J72" s="53">
        <f>_xlfn.XLOOKUP($A72,Inputs!$A:$A,Inputs!J:J,,0)</f>
        <v>0</v>
      </c>
      <c r="K72" s="53">
        <f>_xlfn.XLOOKUP($A72,Inputs!$A:$A,Inputs!K:K,,0)</f>
        <v>0</v>
      </c>
      <c r="L72" s="53">
        <f>_xlfn.XLOOKUP($A72,Inputs!$A:$A,Inputs!L:L,,0)</f>
        <v>0</v>
      </c>
      <c r="M72" s="53">
        <f>_xlfn.XLOOKUP($A72,Inputs!$A:$A,Inputs!M:M,,0)</f>
        <v>0</v>
      </c>
      <c r="N72" s="53">
        <f>_xlfn.XLOOKUP($A72,Inputs!$A:$A,Inputs!N:N,,0)</f>
        <v>0</v>
      </c>
    </row>
    <row r="73" spans="1:14">
      <c r="A73" s="111" t="s">
        <v>9293</v>
      </c>
      <c r="B73" s="53">
        <f>_xlfn.XLOOKUP($A73,Inputs!$A:$A,Inputs!B:B,,0)</f>
        <v>-604.29999999999995</v>
      </c>
      <c r="C73" s="53">
        <f>_xlfn.XLOOKUP($A73,Inputs!$A:$A,Inputs!C:C,,0)</f>
        <v>-1991.2</v>
      </c>
      <c r="D73" s="53">
        <f>_xlfn.XLOOKUP($A73,Inputs!$A:$A,Inputs!D:D,,0)</f>
        <v>-741.8</v>
      </c>
      <c r="E73" s="53">
        <f>_xlfn.XLOOKUP($A73,Inputs!$A:$A,Inputs!E:E,,0)</f>
        <v>-1080.0999999999999</v>
      </c>
      <c r="F73" s="53">
        <f>_xlfn.XLOOKUP($A73,Inputs!$A:$A,Inputs!F:F,,0)</f>
        <v>-145.1</v>
      </c>
      <c r="G73" s="53">
        <f>_xlfn.XLOOKUP($A73,Inputs!$A:$A,Inputs!G:G,,0)</f>
        <v>-211.8</v>
      </c>
      <c r="H73" s="53">
        <f>_xlfn.XLOOKUP($A73,Inputs!$A:$A,Inputs!H:H,,0)</f>
        <v>-446.3</v>
      </c>
      <c r="I73" s="53">
        <f>_xlfn.XLOOKUP($A73,Inputs!$A:$A,Inputs!I:I,,0)</f>
        <v>-110.8</v>
      </c>
      <c r="J73" s="53">
        <f>_xlfn.XLOOKUP($A73,Inputs!$A:$A,Inputs!J:J,,0)</f>
        <v>-60</v>
      </c>
      <c r="K73" s="53">
        <f>_xlfn.XLOOKUP($A73,Inputs!$A:$A,Inputs!K:K,,0)</f>
        <v>-44</v>
      </c>
      <c r="L73" s="53">
        <f>_xlfn.XLOOKUP($A73,Inputs!$A:$A,Inputs!L:L,,0)</f>
        <v>-33.5</v>
      </c>
      <c r="M73" s="53">
        <f>_xlfn.XLOOKUP($A73,Inputs!$A:$A,Inputs!M:M,,0)</f>
        <v>0</v>
      </c>
      <c r="N73" s="53">
        <f>_xlfn.XLOOKUP($A73,Inputs!$A:$A,Inputs!N:N,,0)</f>
        <v>0</v>
      </c>
    </row>
    <row r="74" spans="1:14">
      <c r="A74" s="115" t="s">
        <v>133</v>
      </c>
      <c r="B74" s="59">
        <f>_xlfn.XLOOKUP($A74,Inputs!$A:$A,Inputs!B:B,,0)</f>
        <v>-0.7</v>
      </c>
      <c r="C74" s="59">
        <f>_xlfn.XLOOKUP($A74,Inputs!$A:$A,Inputs!C:C,,0)</f>
        <v>-0.4</v>
      </c>
      <c r="D74" s="59">
        <f>_xlfn.XLOOKUP($A74,Inputs!$A:$A,Inputs!D:D,,0)</f>
        <v>-0.1</v>
      </c>
      <c r="E74" s="59">
        <f>_xlfn.XLOOKUP($A74,Inputs!$A:$A,Inputs!E:E,,0)</f>
        <v>0</v>
      </c>
      <c r="F74" s="59">
        <f>_xlfn.XLOOKUP($A74,Inputs!$A:$A,Inputs!F:F,,0)</f>
        <v>0</v>
      </c>
      <c r="G74" s="59">
        <f>_xlfn.XLOOKUP($A74,Inputs!$A:$A,Inputs!G:G,,0)</f>
        <v>0</v>
      </c>
      <c r="H74" s="59">
        <f>_xlfn.XLOOKUP($A74,Inputs!$A:$A,Inputs!H:H,,0)</f>
        <v>0</v>
      </c>
      <c r="I74" s="59">
        <f>_xlfn.XLOOKUP($A74,Inputs!$A:$A,Inputs!I:I,,0)</f>
        <v>0</v>
      </c>
      <c r="J74" s="59">
        <f>_xlfn.XLOOKUP($A74,Inputs!$A:$A,Inputs!J:J,,0)</f>
        <v>0</v>
      </c>
      <c r="K74" s="59">
        <f>_xlfn.XLOOKUP($A74,Inputs!$A:$A,Inputs!K:K,,0)</f>
        <v>-0.6</v>
      </c>
      <c r="L74" s="59">
        <f>_xlfn.XLOOKUP($A74,Inputs!$A:$A,Inputs!L:L,,0)</f>
        <v>-1.3</v>
      </c>
      <c r="M74" s="59">
        <f>_xlfn.XLOOKUP($A74,Inputs!$A:$A,Inputs!M:M,,0)</f>
        <v>-0.3</v>
      </c>
      <c r="N74" s="59">
        <f>_xlfn.XLOOKUP($A74,Inputs!$A:$A,Inputs!N:N,,0)</f>
        <v>0.7</v>
      </c>
    </row>
    <row r="75" spans="1:14">
      <c r="A75" s="115" t="s">
        <v>9312</v>
      </c>
      <c r="B75" s="59">
        <f>_xlfn.XLOOKUP($A75,Inputs!$A:$A,Inputs!B:B,,0)</f>
        <v>1223.2</v>
      </c>
      <c r="C75" s="59">
        <f>_xlfn.XLOOKUP($A75,Inputs!$A:$A,Inputs!C:C,,0)</f>
        <v>363.79999999999984</v>
      </c>
      <c r="D75" s="59">
        <f>_xlfn.XLOOKUP($A75,Inputs!$A:$A,Inputs!D:D,,0)</f>
        <v>257.30000000000013</v>
      </c>
      <c r="E75" s="59">
        <f>_xlfn.XLOOKUP($A75,Inputs!$A:$A,Inputs!E:E,,0)</f>
        <v>-160.69999999999982</v>
      </c>
      <c r="F75" s="59">
        <f>_xlfn.XLOOKUP($A75,Inputs!$A:$A,Inputs!F:F,,0)</f>
        <v>110.1</v>
      </c>
      <c r="G75" s="59">
        <f>_xlfn.XLOOKUP($A75,Inputs!$A:$A,Inputs!G:G,,0)</f>
        <v>301.39999999999998</v>
      </c>
      <c r="H75" s="59">
        <f>_xlfn.XLOOKUP($A75,Inputs!$A:$A,Inputs!H:H,,0)</f>
        <v>102</v>
      </c>
      <c r="I75" s="59">
        <f>_xlfn.XLOOKUP($A75,Inputs!$A:$A,Inputs!I:I,,0)</f>
        <v>165.70000000000002</v>
      </c>
      <c r="J75" s="59">
        <f>_xlfn.XLOOKUP($A75,Inputs!$A:$A,Inputs!J:J,,0)</f>
        <v>259.89999999999998</v>
      </c>
      <c r="K75" s="59">
        <f>_xlfn.XLOOKUP($A75,Inputs!$A:$A,Inputs!K:K,,0)</f>
        <v>167.29999999999998</v>
      </c>
      <c r="L75" s="59">
        <f>_xlfn.XLOOKUP($A75,Inputs!$A:$A,Inputs!L:L,,0)</f>
        <v>-6.9999999999999831</v>
      </c>
      <c r="M75" s="59">
        <f>_xlfn.XLOOKUP($A75,Inputs!$A:$A,Inputs!M:M,,0)</f>
        <v>51.100000000000023</v>
      </c>
      <c r="N75" s="59">
        <f>_xlfn.XLOOKUP($A75,Inputs!$A:$A,Inputs!N:N,,0)</f>
        <v>6.4999999999999973</v>
      </c>
    </row>
    <row r="76" spans="1:14">
      <c r="K76" s="43"/>
      <c r="L76" s="43"/>
      <c r="M76" s="43"/>
    </row>
    <row r="77" spans="1:14" ht="20.100000000000001">
      <c r="A77" s="1341" t="s">
        <v>9313</v>
      </c>
      <c r="B77" s="1341"/>
      <c r="C77" s="1341"/>
      <c r="D77" s="1341"/>
      <c r="E77" s="1341"/>
      <c r="F77" s="1341"/>
      <c r="G77" s="1341"/>
      <c r="H77" s="1341"/>
      <c r="I77" s="1341"/>
      <c r="J77" s="1341"/>
      <c r="K77" s="1341"/>
      <c r="L77" s="1341"/>
      <c r="M77" s="1341"/>
    </row>
    <row r="78" spans="1:14">
      <c r="A78" s="110" t="s">
        <v>9314</v>
      </c>
      <c r="C78" s="53" t="e">
        <f>_xlfn.XLOOKUP($A78,Inputs!$A:$A,Inputs!C:C,,0)</f>
        <v>#N/A</v>
      </c>
      <c r="D78" s="53" t="e">
        <f>_xlfn.XLOOKUP($A78,Inputs!$A:$A,Inputs!D:D,,0)</f>
        <v>#N/A</v>
      </c>
      <c r="E78" s="53" t="e">
        <f>_xlfn.XLOOKUP($A78,Inputs!$A:$A,Inputs!E:E,,0)</f>
        <v>#N/A</v>
      </c>
      <c r="F78" s="53" t="e">
        <f>_xlfn.XLOOKUP($A78,Inputs!$A:$A,Inputs!F:F,,0)</f>
        <v>#N/A</v>
      </c>
      <c r="G78" s="53" t="e">
        <f>_xlfn.XLOOKUP($A78,Inputs!$A:$A,Inputs!G:G,,0)</f>
        <v>#N/A</v>
      </c>
      <c r="H78" s="53" t="e">
        <f>_xlfn.XLOOKUP($A78,Inputs!$A:$A,Inputs!H:H,,0)</f>
        <v>#N/A</v>
      </c>
      <c r="I78" s="53" t="e">
        <f>_xlfn.XLOOKUP($A78,Inputs!$A:$A,Inputs!I:I,,0)</f>
        <v>#N/A</v>
      </c>
      <c r="J78" s="53" t="e">
        <f>_xlfn.XLOOKUP($A78,Inputs!$A:$A,Inputs!J:J,,0)</f>
        <v>#N/A</v>
      </c>
      <c r="K78" s="53" t="e">
        <f>_xlfn.XLOOKUP($A78,Inputs!$A:$A,Inputs!K:K,,0)</f>
        <v>#N/A</v>
      </c>
      <c r="L78" s="53" t="e">
        <f>_xlfn.XLOOKUP($A78,Inputs!$A:$A,Inputs!L:L,,0)</f>
        <v>#N/A</v>
      </c>
      <c r="M78" s="53" t="e">
        <f>_xlfn.XLOOKUP($A78,Inputs!$A:$A,Inputs!M:M,,0)</f>
        <v>#N/A</v>
      </c>
      <c r="N78" s="53" t="e">
        <f>_xlfn.XLOOKUP($A78,Inputs!$A:$A,Inputs!N:N,,0)</f>
        <v>#N/A</v>
      </c>
    </row>
    <row r="79" spans="1:14">
      <c r="A79" s="116" t="s">
        <v>9315</v>
      </c>
      <c r="C79" s="53" t="e">
        <f>_xlfn.XLOOKUP($A79,Inputs!$A:$A,Inputs!C:C,,0)</f>
        <v>#N/A</v>
      </c>
      <c r="D79" s="53" t="e">
        <f>_xlfn.XLOOKUP($A79,Inputs!$A:$A,Inputs!D:D,,0)</f>
        <v>#N/A</v>
      </c>
      <c r="E79" s="53" t="e">
        <f>_xlfn.XLOOKUP($A79,Inputs!$A:$A,Inputs!E:E,,0)</f>
        <v>#N/A</v>
      </c>
      <c r="F79" s="53" t="e">
        <f>_xlfn.XLOOKUP($A79,Inputs!$A:$A,Inputs!F:F,,0)</f>
        <v>#N/A</v>
      </c>
      <c r="G79" s="53" t="e">
        <f>_xlfn.XLOOKUP($A79,Inputs!$A:$A,Inputs!G:G,,0)</f>
        <v>#N/A</v>
      </c>
      <c r="H79" s="53" t="e">
        <f>_xlfn.XLOOKUP($A79,Inputs!$A:$A,Inputs!H:H,,0)</f>
        <v>#N/A</v>
      </c>
      <c r="I79" s="53" t="e">
        <f>_xlfn.XLOOKUP($A79,Inputs!$A:$A,Inputs!I:I,,0)</f>
        <v>#N/A</v>
      </c>
      <c r="J79" s="53" t="e">
        <f>_xlfn.XLOOKUP($A79,Inputs!$A:$A,Inputs!J:J,,0)</f>
        <v>#N/A</v>
      </c>
      <c r="K79" s="53" t="e">
        <f>_xlfn.XLOOKUP($A79,Inputs!$A:$A,Inputs!K:K,,0)</f>
        <v>#N/A</v>
      </c>
      <c r="L79" s="53" t="e">
        <f>_xlfn.XLOOKUP($A79,Inputs!$A:$A,Inputs!L:L,,0)</f>
        <v>#N/A</v>
      </c>
      <c r="M79" s="53" t="e">
        <f>_xlfn.XLOOKUP($A79,Inputs!$A:$A,Inputs!M:M,,0)</f>
        <v>#N/A</v>
      </c>
      <c r="N79" s="53" t="e">
        <f>_xlfn.XLOOKUP($A79,Inputs!$A:$A,Inputs!N:N,,0)</f>
        <v>#N/A</v>
      </c>
    </row>
    <row r="80" spans="1:14">
      <c r="A80" s="110" t="s">
        <v>42</v>
      </c>
      <c r="C80" s="53">
        <f>_xlfn.XLOOKUP($A80,Inputs!$A:$A,Inputs!C:C,,0)</f>
        <v>646.91</v>
      </c>
      <c r="D80" s="53" t="str">
        <f>_xlfn.XLOOKUP($A80,Inputs!$A:$A,Inputs!D:D,,0)</f>
        <v>Yahoo finance</v>
      </c>
      <c r="E80" s="53">
        <f>_xlfn.XLOOKUP($A80,Inputs!$A:$A,Inputs!E:E,,0)</f>
        <v>0</v>
      </c>
      <c r="F80" s="53">
        <f>_xlfn.XLOOKUP($A80,Inputs!$A:$A,Inputs!F:F,,0)</f>
        <v>0</v>
      </c>
      <c r="G80" s="53">
        <f>_xlfn.XLOOKUP($A80,Inputs!$A:$A,Inputs!G:G,,0)</f>
        <v>0</v>
      </c>
      <c r="H80" s="53">
        <f>_xlfn.XLOOKUP($A80,Inputs!$A:$A,Inputs!H:H,,0)</f>
        <v>0</v>
      </c>
      <c r="I80" s="53">
        <f>_xlfn.XLOOKUP($A80,Inputs!$A:$A,Inputs!I:I,,0)</f>
        <v>0</v>
      </c>
      <c r="J80" s="53">
        <f>_xlfn.XLOOKUP($A80,Inputs!$A:$A,Inputs!J:J,,0)</f>
        <v>0</v>
      </c>
      <c r="K80" s="53">
        <f>_xlfn.XLOOKUP($A80,Inputs!$A:$A,Inputs!K:K,,0)</f>
        <v>0</v>
      </c>
      <c r="L80" s="53">
        <f>_xlfn.XLOOKUP($A80,Inputs!$A:$A,Inputs!L:L,,0)</f>
        <v>0</v>
      </c>
      <c r="M80" s="53">
        <f>_xlfn.XLOOKUP($A80,Inputs!$A:$A,Inputs!M:M,,0)</f>
        <v>0</v>
      </c>
      <c r="N80" s="53">
        <f>_xlfn.XLOOKUP($A80,Inputs!$A:$A,Inputs!N:N,,0)</f>
        <v>0</v>
      </c>
    </row>
    <row r="81" spans="1:14">
      <c r="A81" s="116" t="s">
        <v>47</v>
      </c>
      <c r="C81" s="53">
        <f>_xlfn.XLOOKUP($A81,Inputs!$A:$A,Inputs!C:C,,0)</f>
        <v>0.17019999999999999</v>
      </c>
      <c r="D81" s="53" t="str">
        <f>_xlfn.XLOOKUP($A81,Inputs!$A:$A,Inputs!D:D,,0)</f>
        <v>Yahoo finance</v>
      </c>
      <c r="E81" s="53">
        <f>_xlfn.XLOOKUP($A81,Inputs!$A:$A,Inputs!E:E,,0)</f>
        <v>0</v>
      </c>
      <c r="F81" s="53">
        <f>_xlfn.XLOOKUP($A81,Inputs!$A:$A,Inputs!F:F,,0)</f>
        <v>0</v>
      </c>
      <c r="G81" s="53">
        <f>_xlfn.XLOOKUP($A81,Inputs!$A:$A,Inputs!G:G,,0)</f>
        <v>0</v>
      </c>
      <c r="H81" s="53">
        <f>_xlfn.XLOOKUP($A81,Inputs!$A:$A,Inputs!H:H,,0)</f>
        <v>0</v>
      </c>
      <c r="I81" s="53">
        <f>_xlfn.XLOOKUP($A81,Inputs!$A:$A,Inputs!I:I,,0)</f>
        <v>0</v>
      </c>
      <c r="J81" s="53">
        <f>_xlfn.XLOOKUP($A81,Inputs!$A:$A,Inputs!J:J,,0)</f>
        <v>0</v>
      </c>
      <c r="K81" s="53">
        <f>_xlfn.XLOOKUP($A81,Inputs!$A:$A,Inputs!K:K,,0)</f>
        <v>0</v>
      </c>
      <c r="L81" s="53">
        <f>_xlfn.XLOOKUP($A81,Inputs!$A:$A,Inputs!L:L,,0)</f>
        <v>0</v>
      </c>
      <c r="M81" s="53">
        <f>_xlfn.XLOOKUP($A81,Inputs!$A:$A,Inputs!M:M,,0)</f>
        <v>0</v>
      </c>
      <c r="N81" s="53">
        <f>_xlfn.XLOOKUP($A81,Inputs!$A:$A,Inputs!N:N,,0)</f>
        <v>0</v>
      </c>
    </row>
    <row r="82" spans="1:14">
      <c r="A82" s="110" t="s">
        <v>9316</v>
      </c>
      <c r="C82" s="53" t="str">
        <f>_xlfn.XLOOKUP($A82,Inputs!$A:$A,Inputs!C:C,,0)</f>
        <v>BBB+</v>
      </c>
      <c r="D82" s="53" t="str">
        <f>_xlfn.XLOOKUP($A82,Inputs!$A:$A,Inputs!D:D,,0)</f>
        <v>10-K</v>
      </c>
      <c r="E82" s="53">
        <f>_xlfn.XLOOKUP($A82,Inputs!$A:$A,Inputs!E:E,,0)</f>
        <v>0</v>
      </c>
      <c r="F82" s="53">
        <f>_xlfn.XLOOKUP($A82,Inputs!$A:$A,Inputs!F:F,,0)</f>
        <v>0</v>
      </c>
      <c r="G82" s="53">
        <f>_xlfn.XLOOKUP($A82,Inputs!$A:$A,Inputs!G:G,,0)</f>
        <v>0</v>
      </c>
      <c r="H82" s="53">
        <f>_xlfn.XLOOKUP($A82,Inputs!$A:$A,Inputs!H:H,,0)</f>
        <v>0</v>
      </c>
      <c r="I82" s="53">
        <f>_xlfn.XLOOKUP($A82,Inputs!$A:$A,Inputs!I:I,,0)</f>
        <v>0</v>
      </c>
      <c r="J82" s="53">
        <f>_xlfn.XLOOKUP($A82,Inputs!$A:$A,Inputs!J:J,,0)</f>
        <v>0</v>
      </c>
      <c r="K82" s="53">
        <f>_xlfn.XLOOKUP($A82,Inputs!$A:$A,Inputs!K:K,,0)</f>
        <v>0</v>
      </c>
      <c r="L82" s="53">
        <f>_xlfn.XLOOKUP($A82,Inputs!$A:$A,Inputs!L:L,,0)</f>
        <v>0</v>
      </c>
      <c r="M82" s="53">
        <f>_xlfn.XLOOKUP($A82,Inputs!$A:$A,Inputs!M:M,,0)</f>
        <v>0</v>
      </c>
      <c r="N82" s="53">
        <f>_xlfn.XLOOKUP($A82,Inputs!$A:$A,Inputs!N:N,,0)</f>
        <v>0</v>
      </c>
    </row>
    <row r="83" spans="1:14">
      <c r="A83" s="110" t="s">
        <v>9317</v>
      </c>
      <c r="C83" s="53">
        <v>0</v>
      </c>
      <c r="D83" s="53">
        <v>0</v>
      </c>
      <c r="E83" s="53">
        <v>0</v>
      </c>
      <c r="F83" s="53">
        <v>0</v>
      </c>
      <c r="G83" s="53">
        <v>0</v>
      </c>
      <c r="H83" s="53">
        <v>0</v>
      </c>
      <c r="I83" s="53">
        <v>0</v>
      </c>
      <c r="J83" s="53">
        <v>0</v>
      </c>
      <c r="K83" s="53">
        <v>0</v>
      </c>
      <c r="L83" s="53">
        <v>0</v>
      </c>
      <c r="M83" s="53">
        <v>0</v>
      </c>
      <c r="N83" s="53">
        <v>0</v>
      </c>
    </row>
    <row r="84" spans="1:14">
      <c r="A84" s="116" t="s">
        <v>9318</v>
      </c>
      <c r="C84" s="53">
        <f>_xlfn.XLOOKUP($A84,Inputs!$A:$A,Inputs!C:C,,0)</f>
        <v>6.55</v>
      </c>
      <c r="D84" s="53" t="str">
        <f>_xlfn.XLOOKUP($A84,Inputs!$A:$A,Inputs!D:D,,0)</f>
        <v>Yahoo Finance</v>
      </c>
      <c r="E84" s="53">
        <f>_xlfn.XLOOKUP($A84,Inputs!$A:$A,Inputs!E:E,,0)</f>
        <v>0</v>
      </c>
      <c r="F84" s="53">
        <f>_xlfn.XLOOKUP($A84,Inputs!$A:$A,Inputs!F:F,,0)</f>
        <v>0</v>
      </c>
      <c r="G84" s="53">
        <f>_xlfn.XLOOKUP($A84,Inputs!$A:$A,Inputs!G:G,,0)</f>
        <v>0</v>
      </c>
      <c r="H84" s="53">
        <f>_xlfn.XLOOKUP($A84,Inputs!$A:$A,Inputs!H:H,,0)</f>
        <v>0</v>
      </c>
      <c r="I84" s="53">
        <f>_xlfn.XLOOKUP($A84,Inputs!$A:$A,Inputs!I:I,,0)</f>
        <v>0</v>
      </c>
      <c r="J84" s="53">
        <f>_xlfn.XLOOKUP($A84,Inputs!$A:$A,Inputs!J:J,,0)</f>
        <v>0</v>
      </c>
      <c r="K84" s="53">
        <f>_xlfn.XLOOKUP($A84,Inputs!$A:$A,Inputs!K:K,,0)</f>
        <v>0</v>
      </c>
      <c r="L84" s="53">
        <f>_xlfn.XLOOKUP($A84,Inputs!$A:$A,Inputs!L:L,,0)</f>
        <v>0</v>
      </c>
      <c r="M84" s="53">
        <f>_xlfn.XLOOKUP($A84,Inputs!$A:$A,Inputs!M:M,,0)</f>
        <v>0</v>
      </c>
      <c r="N84" s="53">
        <f>_xlfn.XLOOKUP($A84,Inputs!$A:$A,Inputs!N:N,,0)</f>
        <v>0</v>
      </c>
    </row>
    <row r="85" spans="1:14">
      <c r="B85" s="45"/>
      <c r="C85" s="45"/>
      <c r="D85" s="45"/>
      <c r="E85" s="45"/>
      <c r="F85" s="45"/>
      <c r="G85" s="45"/>
      <c r="H85" s="45"/>
      <c r="I85" s="45"/>
      <c r="J85" s="45"/>
      <c r="K85" s="45"/>
      <c r="L85" s="45"/>
      <c r="M85" s="45"/>
    </row>
    <row r="86" spans="1:14">
      <c r="B86" s="44">
        <v>2020</v>
      </c>
      <c r="C86" s="44">
        <v>2021</v>
      </c>
      <c r="D86" s="44">
        <v>2022</v>
      </c>
      <c r="E86" s="787" t="s">
        <v>9319</v>
      </c>
      <c r="G86" s="44"/>
      <c r="H86" s="45"/>
      <c r="I86" s="45"/>
      <c r="J86" s="45"/>
      <c r="K86" s="45"/>
      <c r="L86" s="45"/>
      <c r="M86" s="45"/>
    </row>
    <row r="87" spans="1:14">
      <c r="A87" s="110" t="s">
        <v>9320</v>
      </c>
      <c r="B87" s="57">
        <v>0</v>
      </c>
      <c r="C87" s="57">
        <v>0</v>
      </c>
      <c r="D87" s="58">
        <v>0</v>
      </c>
      <c r="E87" s="58"/>
      <c r="G87" s="45"/>
      <c r="H87" s="45"/>
      <c r="I87" s="45"/>
      <c r="J87" s="45"/>
      <c r="K87" s="45"/>
      <c r="L87" s="45"/>
      <c r="M87" s="45"/>
    </row>
    <row r="88" spans="1:14">
      <c r="A88" s="116" t="s">
        <v>69</v>
      </c>
      <c r="B88" s="57">
        <v>0</v>
      </c>
      <c r="C88" s="57">
        <v>0</v>
      </c>
      <c r="D88" s="58">
        <v>0</v>
      </c>
      <c r="E88" s="58"/>
    </row>
    <row r="90" spans="1:14">
      <c r="A90" s="12" t="s">
        <v>9321</v>
      </c>
      <c r="B90" s="44" t="s">
        <v>9322</v>
      </c>
      <c r="C90" s="44" t="s">
        <v>9323</v>
      </c>
      <c r="D90" s="44" t="s">
        <v>9324</v>
      </c>
      <c r="E90" s="44" t="s">
        <v>9325</v>
      </c>
      <c r="G90" s="44"/>
    </row>
    <row r="91" spans="1:14">
      <c r="B91" s="60" t="e">
        <f>VLOOKUP($A91,Inputs!$A$5:$N$98,MATCH(B$4,Inputs!$C$5:$N$5,0)+1,FALSE)</f>
        <v>#N/A</v>
      </c>
      <c r="C91" s="60" t="e">
        <f>VLOOKUP($A91,Inputs!$A$5:$N$98,MATCH(C$4,Inputs!$C$5:$N$5,0)+1,FALSE)</f>
        <v>#N/A</v>
      </c>
      <c r="D91" s="60" t="e">
        <f>VLOOKUP($A91,Inputs!$A$5:$N$98,MATCH(D$4,Inputs!$C$5:$N$5,0)+1,FALSE)</f>
        <v>#N/A</v>
      </c>
      <c r="E91" s="60" t="e">
        <f>VLOOKUP($A91,Inputs!$A$5:$N$98,MATCH(E$4,Inputs!$C$5:$N$5,0)+1,FALSE)</f>
        <v>#N/A</v>
      </c>
    </row>
  </sheetData>
  <mergeCells count="7">
    <mergeCell ref="A77:M77"/>
    <mergeCell ref="A1:M1"/>
    <mergeCell ref="A2:M2"/>
    <mergeCell ref="A3:M3"/>
    <mergeCell ref="A38:M38"/>
    <mergeCell ref="A47:M47"/>
    <mergeCell ref="A66:M66"/>
  </mergeCells>
  <pageMargins left="0.7" right="0.7" top="0.75" bottom="0.75" header="0.3" footer="0.3"/>
  <pageSetup paperSize="9" orientation="portrait" horizontalDpi="4294967293"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BE39-AA8C-416A-BD40-1FFD3C1649A8}">
  <dimension ref="B2:AA128"/>
  <sheetViews>
    <sheetView topLeftCell="J1" workbookViewId="0"/>
  </sheetViews>
  <sheetFormatPr defaultColWidth="8.85546875" defaultRowHeight="12.95"/>
  <cols>
    <col min="1" max="9" width="0" hidden="1" customWidth="1"/>
    <col min="11" max="11" width="21.85546875" bestFit="1" customWidth="1"/>
  </cols>
  <sheetData>
    <row r="2" spans="2:27">
      <c r="E2" s="9" t="s">
        <v>9326</v>
      </c>
      <c r="F2" s="9" t="s">
        <v>9327</v>
      </c>
      <c r="H2" s="9" t="s">
        <v>8963</v>
      </c>
      <c r="K2" s="1344" t="s">
        <v>9326</v>
      </c>
      <c r="L2" s="1346" t="s">
        <v>9328</v>
      </c>
      <c r="M2" s="1347"/>
      <c r="N2" s="1347"/>
      <c r="O2" s="1347"/>
      <c r="P2" s="1348"/>
      <c r="Q2" s="1347" t="s">
        <v>8909</v>
      </c>
      <c r="R2" s="1347"/>
      <c r="S2" s="1347"/>
      <c r="T2" s="1347"/>
      <c r="U2" s="1347"/>
      <c r="V2" s="1347"/>
      <c r="W2" s="1347"/>
      <c r="X2" s="1347"/>
      <c r="Y2" s="1347"/>
      <c r="Z2" s="1347"/>
      <c r="AA2" s="1348"/>
    </row>
    <row r="3" spans="2:27">
      <c r="E3" t="s">
        <v>9329</v>
      </c>
      <c r="F3" t="s">
        <v>9330</v>
      </c>
      <c r="H3" s="9" t="s">
        <v>8893</v>
      </c>
      <c r="K3" s="1345"/>
      <c r="L3" s="69" t="s">
        <v>9331</v>
      </c>
      <c r="M3" s="83" t="s">
        <v>9332</v>
      </c>
      <c r="N3" s="83" t="s">
        <v>9333</v>
      </c>
      <c r="O3" s="83" t="s">
        <v>9334</v>
      </c>
      <c r="P3" s="84" t="s">
        <v>9335</v>
      </c>
      <c r="Q3" s="83" t="s">
        <v>9336</v>
      </c>
      <c r="R3" s="83" t="s">
        <v>9337</v>
      </c>
      <c r="S3" s="83" t="s">
        <v>8918</v>
      </c>
      <c r="T3" s="83" t="s">
        <v>9338</v>
      </c>
      <c r="U3" s="83" t="s">
        <v>9339</v>
      </c>
      <c r="V3" s="83" t="s">
        <v>9340</v>
      </c>
      <c r="W3" s="83" t="s">
        <v>9341</v>
      </c>
      <c r="X3" s="83" t="s">
        <v>9342</v>
      </c>
      <c r="Y3" s="83" t="s">
        <v>9343</v>
      </c>
      <c r="Z3" s="83" t="s">
        <v>9344</v>
      </c>
      <c r="AA3" s="84" t="s">
        <v>8948</v>
      </c>
    </row>
    <row r="4" spans="2:27">
      <c r="B4" s="70"/>
      <c r="E4" t="s">
        <v>9329</v>
      </c>
      <c r="F4" t="s">
        <v>9345</v>
      </c>
      <c r="H4" s="9" t="s">
        <v>8973</v>
      </c>
      <c r="K4" s="85" t="s">
        <v>9329</v>
      </c>
      <c r="L4" s="86" t="s">
        <v>8963</v>
      </c>
      <c r="M4" t="s">
        <v>8963</v>
      </c>
      <c r="N4" t="s">
        <v>8893</v>
      </c>
      <c r="O4" t="s">
        <v>8963</v>
      </c>
      <c r="P4" s="87" t="s">
        <v>8963</v>
      </c>
      <c r="Q4" t="s">
        <v>8893</v>
      </c>
      <c r="R4" t="s">
        <v>8893</v>
      </c>
      <c r="S4" t="s">
        <v>8963</v>
      </c>
      <c r="T4" t="s">
        <v>8963</v>
      </c>
      <c r="U4" t="s">
        <v>8973</v>
      </c>
      <c r="V4" t="s">
        <v>8963</v>
      </c>
      <c r="W4" t="s">
        <v>8963</v>
      </c>
      <c r="X4" t="s">
        <v>8963</v>
      </c>
      <c r="Y4" t="s">
        <v>8963</v>
      </c>
      <c r="Z4" t="s">
        <v>8963</v>
      </c>
      <c r="AA4" s="87" t="s">
        <v>8893</v>
      </c>
    </row>
    <row r="5" spans="2:27" ht="14.1">
      <c r="B5" s="79" t="s">
        <v>8890</v>
      </c>
      <c r="E5" t="s">
        <v>9329</v>
      </c>
      <c r="F5" t="s">
        <v>9346</v>
      </c>
      <c r="H5" s="9" t="s">
        <v>9347</v>
      </c>
      <c r="K5" s="85" t="s">
        <v>9348</v>
      </c>
      <c r="L5" s="86" t="s">
        <v>8963</v>
      </c>
      <c r="M5" t="s">
        <v>8963</v>
      </c>
      <c r="N5" t="s">
        <v>8893</v>
      </c>
      <c r="O5" t="s">
        <v>8893</v>
      </c>
      <c r="P5" s="87" t="s">
        <v>8963</v>
      </c>
      <c r="Q5" t="s">
        <v>8893</v>
      </c>
      <c r="R5" t="s">
        <v>8893</v>
      </c>
      <c r="S5" t="s">
        <v>8963</v>
      </c>
      <c r="T5" t="s">
        <v>8963</v>
      </c>
      <c r="U5" t="s">
        <v>8893</v>
      </c>
      <c r="V5" t="s">
        <v>8893</v>
      </c>
      <c r="W5" t="s">
        <v>8893</v>
      </c>
      <c r="X5" t="s">
        <v>8973</v>
      </c>
      <c r="Y5" t="s">
        <v>8963</v>
      </c>
      <c r="Z5" t="s">
        <v>8973</v>
      </c>
      <c r="AA5" s="87" t="s">
        <v>8963</v>
      </c>
    </row>
    <row r="6" spans="2:27">
      <c r="B6" s="81" t="s">
        <v>9349</v>
      </c>
      <c r="E6" t="s">
        <v>9329</v>
      </c>
      <c r="F6" t="s">
        <v>9350</v>
      </c>
      <c r="K6" s="85" t="s">
        <v>9351</v>
      </c>
      <c r="L6" s="86" t="s">
        <v>8973</v>
      </c>
      <c r="M6" t="s">
        <v>9347</v>
      </c>
      <c r="N6" t="s">
        <v>8973</v>
      </c>
      <c r="O6" t="s">
        <v>8973</v>
      </c>
      <c r="P6" s="87" t="s">
        <v>8973</v>
      </c>
      <c r="Q6" t="s">
        <v>8893</v>
      </c>
      <c r="R6" t="s">
        <v>8973</v>
      </c>
      <c r="S6" t="s">
        <v>8973</v>
      </c>
      <c r="T6" t="s">
        <v>8963</v>
      </c>
      <c r="U6" t="s">
        <v>8893</v>
      </c>
      <c r="V6" t="s">
        <v>8893</v>
      </c>
      <c r="W6" t="s">
        <v>8963</v>
      </c>
      <c r="X6" t="s">
        <v>8973</v>
      </c>
      <c r="Y6" t="s">
        <v>8963</v>
      </c>
      <c r="Z6" t="s">
        <v>9347</v>
      </c>
      <c r="AA6" s="87" t="s">
        <v>8963</v>
      </c>
    </row>
    <row r="7" spans="2:27">
      <c r="B7" s="81" t="s">
        <v>9352</v>
      </c>
      <c r="E7" t="s">
        <v>9329</v>
      </c>
      <c r="F7" t="s">
        <v>9353</v>
      </c>
      <c r="K7" s="85" t="s">
        <v>9333</v>
      </c>
      <c r="L7" s="86" t="s">
        <v>9347</v>
      </c>
      <c r="M7" t="s">
        <v>9347</v>
      </c>
      <c r="N7" t="s">
        <v>8893</v>
      </c>
      <c r="O7" t="s">
        <v>9347</v>
      </c>
      <c r="P7" s="87" t="s">
        <v>8973</v>
      </c>
      <c r="Q7" t="s">
        <v>8973</v>
      </c>
      <c r="R7" t="s">
        <v>8893</v>
      </c>
      <c r="S7" t="s">
        <v>8893</v>
      </c>
      <c r="T7" t="s">
        <v>8893</v>
      </c>
      <c r="U7" t="s">
        <v>8893</v>
      </c>
      <c r="V7" t="s">
        <v>8973</v>
      </c>
      <c r="W7" t="s">
        <v>8893</v>
      </c>
      <c r="X7" t="s">
        <v>8893</v>
      </c>
      <c r="Y7" t="s">
        <v>8973</v>
      </c>
      <c r="Z7" t="s">
        <v>8973</v>
      </c>
      <c r="AA7" s="87" t="s">
        <v>8963</v>
      </c>
    </row>
    <row r="8" spans="2:27">
      <c r="B8" s="81"/>
      <c r="K8" s="85" t="s">
        <v>9354</v>
      </c>
      <c r="L8" s="86" t="s">
        <v>8963</v>
      </c>
      <c r="M8" t="s">
        <v>8963</v>
      </c>
      <c r="N8" t="s">
        <v>8963</v>
      </c>
      <c r="O8" t="s">
        <v>8893</v>
      </c>
      <c r="P8" s="87" t="s">
        <v>8893</v>
      </c>
      <c r="Q8" t="s">
        <v>8963</v>
      </c>
      <c r="R8" t="s">
        <v>8893</v>
      </c>
      <c r="S8" t="s">
        <v>8893</v>
      </c>
      <c r="T8" t="s">
        <v>8973</v>
      </c>
      <c r="U8" t="s">
        <v>8893</v>
      </c>
      <c r="V8" t="s">
        <v>8963</v>
      </c>
      <c r="W8" t="s">
        <v>8963</v>
      </c>
      <c r="X8" t="s">
        <v>8893</v>
      </c>
      <c r="Y8" t="s">
        <v>8893</v>
      </c>
      <c r="Z8" t="s">
        <v>8973</v>
      </c>
      <c r="AA8" s="87" t="s">
        <v>8963</v>
      </c>
    </row>
    <row r="9" spans="2:27">
      <c r="B9" s="81" t="s">
        <v>8899</v>
      </c>
      <c r="E9" t="s">
        <v>9329</v>
      </c>
      <c r="F9" t="s">
        <v>9355</v>
      </c>
      <c r="K9" s="85" t="s">
        <v>9356</v>
      </c>
      <c r="L9" s="86" t="s">
        <v>8963</v>
      </c>
      <c r="M9" t="s">
        <v>8963</v>
      </c>
      <c r="N9" t="s">
        <v>8963</v>
      </c>
      <c r="O9" t="s">
        <v>8963</v>
      </c>
      <c r="P9" s="87" t="s">
        <v>8963</v>
      </c>
      <c r="Q9" t="s">
        <v>8963</v>
      </c>
      <c r="R9" t="s">
        <v>8963</v>
      </c>
      <c r="S9" t="s">
        <v>8893</v>
      </c>
      <c r="T9" t="s">
        <v>8973</v>
      </c>
      <c r="U9" t="s">
        <v>8893</v>
      </c>
      <c r="V9" t="s">
        <v>8963</v>
      </c>
      <c r="W9" t="s">
        <v>8963</v>
      </c>
      <c r="X9" t="s">
        <v>8963</v>
      </c>
      <c r="Y9" t="s">
        <v>8963</v>
      </c>
      <c r="Z9" t="s">
        <v>8893</v>
      </c>
      <c r="AA9" s="87" t="s">
        <v>8963</v>
      </c>
    </row>
    <row r="10" spans="2:27">
      <c r="B10" s="81"/>
      <c r="K10" s="85" t="s">
        <v>9357</v>
      </c>
      <c r="L10" s="86" t="s">
        <v>8963</v>
      </c>
      <c r="M10" t="s">
        <v>8893</v>
      </c>
      <c r="N10" t="s">
        <v>8963</v>
      </c>
      <c r="O10" t="s">
        <v>8893</v>
      </c>
      <c r="P10" s="87" t="s">
        <v>8973</v>
      </c>
      <c r="Q10" t="s">
        <v>8963</v>
      </c>
      <c r="R10" t="s">
        <v>8963</v>
      </c>
      <c r="S10" t="s">
        <v>8963</v>
      </c>
      <c r="T10" t="s">
        <v>8963</v>
      </c>
      <c r="U10" t="s">
        <v>8963</v>
      </c>
      <c r="V10" t="s">
        <v>8963</v>
      </c>
      <c r="W10" t="s">
        <v>8963</v>
      </c>
      <c r="X10" t="s">
        <v>8963</v>
      </c>
      <c r="Y10" t="s">
        <v>8893</v>
      </c>
      <c r="Z10" t="s">
        <v>8963</v>
      </c>
      <c r="AA10" s="87" t="s">
        <v>8963</v>
      </c>
    </row>
    <row r="11" spans="2:27">
      <c r="B11" s="81" t="s">
        <v>8903</v>
      </c>
      <c r="E11" t="s">
        <v>9329</v>
      </c>
      <c r="F11" t="s">
        <v>9358</v>
      </c>
      <c r="K11" s="85" t="s">
        <v>9359</v>
      </c>
      <c r="L11" s="86" t="s">
        <v>8963</v>
      </c>
      <c r="M11" t="s">
        <v>8893</v>
      </c>
      <c r="N11" t="s">
        <v>8963</v>
      </c>
      <c r="O11" t="s">
        <v>8963</v>
      </c>
      <c r="P11" s="87" t="s">
        <v>8963</v>
      </c>
      <c r="Q11" t="s">
        <v>8963</v>
      </c>
      <c r="R11" t="s">
        <v>8963</v>
      </c>
      <c r="S11" t="s">
        <v>8893</v>
      </c>
      <c r="T11" t="s">
        <v>8963</v>
      </c>
      <c r="U11" t="s">
        <v>8973</v>
      </c>
      <c r="V11" t="s">
        <v>8963</v>
      </c>
      <c r="W11" t="s">
        <v>8963</v>
      </c>
      <c r="X11" t="s">
        <v>8963</v>
      </c>
      <c r="Y11" t="s">
        <v>8963</v>
      </c>
      <c r="Z11" t="s">
        <v>8963</v>
      </c>
      <c r="AA11" s="87" t="s">
        <v>8963</v>
      </c>
    </row>
    <row r="12" spans="2:27">
      <c r="B12" s="80" t="s">
        <v>9360</v>
      </c>
      <c r="E12" t="s">
        <v>9329</v>
      </c>
      <c r="F12" t="s">
        <v>9361</v>
      </c>
      <c r="K12" s="85" t="s">
        <v>9362</v>
      </c>
      <c r="L12" s="86" t="s">
        <v>9347</v>
      </c>
      <c r="M12" t="s">
        <v>9347</v>
      </c>
      <c r="N12" t="s">
        <v>9347</v>
      </c>
      <c r="O12" t="s">
        <v>8973</v>
      </c>
      <c r="P12" s="87" t="s">
        <v>8973</v>
      </c>
      <c r="Q12" t="s">
        <v>8963</v>
      </c>
      <c r="R12" t="s">
        <v>8893</v>
      </c>
      <c r="S12" t="s">
        <v>8973</v>
      </c>
      <c r="T12" t="s">
        <v>9347</v>
      </c>
      <c r="U12" t="s">
        <v>8893</v>
      </c>
      <c r="V12" t="s">
        <v>9347</v>
      </c>
      <c r="W12" t="s">
        <v>8893</v>
      </c>
      <c r="X12" t="s">
        <v>9347</v>
      </c>
      <c r="Y12" t="s">
        <v>9347</v>
      </c>
      <c r="Z12" t="s">
        <v>9347</v>
      </c>
      <c r="AA12" s="87" t="s">
        <v>8973</v>
      </c>
    </row>
    <row r="13" spans="2:27" ht="14.1">
      <c r="B13" s="79" t="s">
        <v>8909</v>
      </c>
      <c r="E13" t="s">
        <v>9329</v>
      </c>
      <c r="F13" t="s">
        <v>9363</v>
      </c>
      <c r="K13" s="85" t="s">
        <v>8875</v>
      </c>
      <c r="L13" s="86" t="s">
        <v>8893</v>
      </c>
      <c r="M13" t="s">
        <v>8963</v>
      </c>
      <c r="N13" t="s">
        <v>8973</v>
      </c>
      <c r="O13" t="s">
        <v>8963</v>
      </c>
      <c r="P13" s="87" t="s">
        <v>8963</v>
      </c>
      <c r="Q13" t="s">
        <v>8963</v>
      </c>
      <c r="R13" t="s">
        <v>8963</v>
      </c>
      <c r="S13" t="s">
        <v>8963</v>
      </c>
      <c r="T13" t="s">
        <v>8963</v>
      </c>
      <c r="U13" t="s">
        <v>8973</v>
      </c>
      <c r="V13" t="s">
        <v>8963</v>
      </c>
      <c r="W13" t="s">
        <v>8963</v>
      </c>
      <c r="X13" t="s">
        <v>8963</v>
      </c>
      <c r="Y13" t="s">
        <v>8963</v>
      </c>
      <c r="Z13" t="s">
        <v>8893</v>
      </c>
      <c r="AA13" s="87" t="s">
        <v>9347</v>
      </c>
    </row>
    <row r="14" spans="2:27">
      <c r="B14" s="74" t="s">
        <v>9364</v>
      </c>
      <c r="E14" t="s">
        <v>9329</v>
      </c>
      <c r="F14" t="s">
        <v>9365</v>
      </c>
      <c r="K14" s="85" t="s">
        <v>9366</v>
      </c>
      <c r="L14" s="86" t="s">
        <v>9347</v>
      </c>
      <c r="M14" t="s">
        <v>9347</v>
      </c>
      <c r="N14" t="s">
        <v>9347</v>
      </c>
      <c r="O14" t="s">
        <v>9347</v>
      </c>
      <c r="P14" s="87" t="s">
        <v>8973</v>
      </c>
      <c r="Q14" t="s">
        <v>8973</v>
      </c>
      <c r="R14" t="s">
        <v>8973</v>
      </c>
      <c r="S14" t="s">
        <v>8893</v>
      </c>
      <c r="T14" t="s">
        <v>8973</v>
      </c>
      <c r="U14" t="s">
        <v>8963</v>
      </c>
      <c r="V14" t="s">
        <v>9347</v>
      </c>
      <c r="W14" t="s">
        <v>8893</v>
      </c>
      <c r="X14" t="s">
        <v>8893</v>
      </c>
      <c r="Y14" t="s">
        <v>9347</v>
      </c>
      <c r="Z14" t="s">
        <v>8973</v>
      </c>
      <c r="AA14" s="87" t="s">
        <v>8893</v>
      </c>
    </row>
    <row r="15" spans="2:27">
      <c r="B15" s="74" t="s">
        <v>9367</v>
      </c>
      <c r="E15" t="s">
        <v>9348</v>
      </c>
      <c r="F15" t="s">
        <v>9368</v>
      </c>
      <c r="K15" s="85" t="s">
        <v>9369</v>
      </c>
      <c r="L15" s="86" t="s">
        <v>8963</v>
      </c>
      <c r="M15" t="s">
        <v>8963</v>
      </c>
      <c r="N15" t="s">
        <v>8893</v>
      </c>
      <c r="O15" t="s">
        <v>8963</v>
      </c>
      <c r="P15" s="87" t="s">
        <v>8963</v>
      </c>
      <c r="Q15" t="s">
        <v>8893</v>
      </c>
      <c r="R15" t="s">
        <v>8963</v>
      </c>
      <c r="S15" t="s">
        <v>8963</v>
      </c>
      <c r="T15" t="s">
        <v>8963</v>
      </c>
      <c r="U15" t="s">
        <v>8973</v>
      </c>
      <c r="V15" t="s">
        <v>8963</v>
      </c>
      <c r="W15" t="s">
        <v>8893</v>
      </c>
      <c r="X15" t="s">
        <v>8963</v>
      </c>
      <c r="Y15" t="s">
        <v>8893</v>
      </c>
      <c r="Z15" t="s">
        <v>8963</v>
      </c>
      <c r="AA15" s="87" t="s">
        <v>8963</v>
      </c>
    </row>
    <row r="16" spans="2:27">
      <c r="B16" s="77" t="s">
        <v>9370</v>
      </c>
      <c r="E16" t="s">
        <v>9348</v>
      </c>
      <c r="F16" t="s">
        <v>9371</v>
      </c>
      <c r="K16" s="88" t="s">
        <v>9372</v>
      </c>
      <c r="L16" s="89" t="s">
        <v>9347</v>
      </c>
      <c r="M16" s="90" t="s">
        <v>8973</v>
      </c>
      <c r="N16" s="90" t="s">
        <v>8973</v>
      </c>
      <c r="O16" s="90" t="s">
        <v>8893</v>
      </c>
      <c r="P16" s="91" t="s">
        <v>8973</v>
      </c>
      <c r="Q16" s="90" t="s">
        <v>8963</v>
      </c>
      <c r="R16" s="90" t="s">
        <v>8893</v>
      </c>
      <c r="S16" s="90" t="s">
        <v>8893</v>
      </c>
      <c r="T16" s="90" t="s">
        <v>8963</v>
      </c>
      <c r="U16" s="90" t="s">
        <v>8893</v>
      </c>
      <c r="V16" s="90" t="s">
        <v>8893</v>
      </c>
      <c r="W16" s="90" t="s">
        <v>8893</v>
      </c>
      <c r="X16" s="90" t="s">
        <v>8893</v>
      </c>
      <c r="Y16" s="90" t="s">
        <v>8963</v>
      </c>
      <c r="Z16" s="90" t="s">
        <v>8893</v>
      </c>
      <c r="AA16" s="91" t="s">
        <v>8963</v>
      </c>
    </row>
    <row r="17" spans="2:22">
      <c r="B17" s="77" t="s">
        <v>9373</v>
      </c>
      <c r="E17" t="s">
        <v>9348</v>
      </c>
      <c r="F17" t="s">
        <v>9374</v>
      </c>
    </row>
    <row r="18" spans="2:22" hidden="1">
      <c r="B18" s="74" t="s">
        <v>9375</v>
      </c>
      <c r="E18" t="s">
        <v>9348</v>
      </c>
      <c r="F18" t="s">
        <v>9376</v>
      </c>
    </row>
    <row r="19" spans="2:22" hidden="1">
      <c r="B19" s="74" t="s">
        <v>9377</v>
      </c>
      <c r="E19" t="s">
        <v>9348</v>
      </c>
      <c r="F19" t="s">
        <v>9378</v>
      </c>
      <c r="L19" s="92" t="s">
        <v>9329</v>
      </c>
      <c r="M19" s="93" t="s">
        <v>9348</v>
      </c>
      <c r="N19" s="93" t="s">
        <v>9351</v>
      </c>
      <c r="O19" s="93" t="s">
        <v>9333</v>
      </c>
      <c r="P19" s="93" t="s">
        <v>9356</v>
      </c>
      <c r="Q19" s="93" t="s">
        <v>9359</v>
      </c>
      <c r="R19" s="93" t="s">
        <v>9362</v>
      </c>
      <c r="S19" s="93" t="s">
        <v>8875</v>
      </c>
      <c r="T19" s="93" t="s">
        <v>9366</v>
      </c>
      <c r="U19" s="93" t="s">
        <v>9369</v>
      </c>
      <c r="V19" s="94" t="s">
        <v>9372</v>
      </c>
    </row>
    <row r="20" spans="2:22" hidden="1">
      <c r="B20" s="74" t="s">
        <v>8930</v>
      </c>
      <c r="E20" t="s">
        <v>9348</v>
      </c>
      <c r="F20" t="s">
        <v>9379</v>
      </c>
      <c r="L20" s="86" t="s">
        <v>9330</v>
      </c>
      <c r="M20" t="s">
        <v>9368</v>
      </c>
      <c r="N20" t="s">
        <v>9380</v>
      </c>
      <c r="O20" t="s">
        <v>9381</v>
      </c>
      <c r="P20" t="s">
        <v>9382</v>
      </c>
      <c r="Q20" t="s">
        <v>9383</v>
      </c>
      <c r="R20" t="s">
        <v>9384</v>
      </c>
      <c r="S20" t="s">
        <v>9385</v>
      </c>
      <c r="T20" t="s">
        <v>9386</v>
      </c>
      <c r="U20" t="s">
        <v>9387</v>
      </c>
      <c r="V20" s="87" t="s">
        <v>9388</v>
      </c>
    </row>
    <row r="21" spans="2:22" hidden="1">
      <c r="B21" s="74" t="s">
        <v>8932</v>
      </c>
      <c r="E21" t="s">
        <v>9348</v>
      </c>
      <c r="F21" t="s">
        <v>9389</v>
      </c>
      <c r="L21" s="86" t="s">
        <v>9345</v>
      </c>
      <c r="M21" t="s">
        <v>9371</v>
      </c>
      <c r="N21" t="s">
        <v>9390</v>
      </c>
      <c r="O21" t="s">
        <v>9391</v>
      </c>
      <c r="P21" t="s">
        <v>9392</v>
      </c>
      <c r="Q21" t="s">
        <v>9393</v>
      </c>
      <c r="R21" t="s">
        <v>9394</v>
      </c>
      <c r="S21" t="s">
        <v>9395</v>
      </c>
      <c r="T21" t="s">
        <v>9396</v>
      </c>
      <c r="U21" t="s">
        <v>9397</v>
      </c>
      <c r="V21" s="87" t="s">
        <v>9398</v>
      </c>
    </row>
    <row r="22" spans="2:22" hidden="1">
      <c r="B22" s="74" t="s">
        <v>8938</v>
      </c>
      <c r="E22" t="s">
        <v>9348</v>
      </c>
      <c r="F22" t="s">
        <v>9399</v>
      </c>
      <c r="L22" s="86" t="s">
        <v>9346</v>
      </c>
      <c r="M22" t="s">
        <v>9374</v>
      </c>
      <c r="N22" t="s">
        <v>9400</v>
      </c>
      <c r="O22" t="s">
        <v>9401</v>
      </c>
      <c r="P22" t="s">
        <v>9402</v>
      </c>
      <c r="Q22" t="s">
        <v>9403</v>
      </c>
      <c r="R22" t="s">
        <v>9404</v>
      </c>
      <c r="S22" t="s">
        <v>9405</v>
      </c>
      <c r="T22" t="s">
        <v>9406</v>
      </c>
      <c r="U22" t="s">
        <v>9407</v>
      </c>
      <c r="V22" s="87" t="s">
        <v>9408</v>
      </c>
    </row>
    <row r="23" spans="2:22" hidden="1">
      <c r="B23" s="74" t="s">
        <v>8944</v>
      </c>
      <c r="E23" t="s">
        <v>9348</v>
      </c>
      <c r="F23" t="s">
        <v>9409</v>
      </c>
      <c r="L23" s="86" t="s">
        <v>9350</v>
      </c>
      <c r="M23" t="s">
        <v>9376</v>
      </c>
      <c r="N23" t="s">
        <v>9410</v>
      </c>
      <c r="O23" t="s">
        <v>9411</v>
      </c>
      <c r="P23" t="s">
        <v>9412</v>
      </c>
      <c r="Q23" t="s">
        <v>9413</v>
      </c>
      <c r="R23" t="s">
        <v>9414</v>
      </c>
      <c r="S23" t="s">
        <v>9415</v>
      </c>
      <c r="T23" t="s">
        <v>9416</v>
      </c>
      <c r="U23" t="s">
        <v>9417</v>
      </c>
      <c r="V23" s="87" t="s">
        <v>9418</v>
      </c>
    </row>
    <row r="24" spans="2:22" hidden="1">
      <c r="B24" s="76" t="s">
        <v>8948</v>
      </c>
      <c r="E24" t="s">
        <v>9348</v>
      </c>
      <c r="F24" t="s">
        <v>9419</v>
      </c>
      <c r="L24" s="86" t="s">
        <v>9353</v>
      </c>
      <c r="M24" t="s">
        <v>9378</v>
      </c>
      <c r="N24" t="s">
        <v>9420</v>
      </c>
      <c r="O24" t="s">
        <v>9421</v>
      </c>
      <c r="P24" t="s">
        <v>9422</v>
      </c>
      <c r="Q24" t="s">
        <v>9423</v>
      </c>
      <c r="R24" t="s">
        <v>9424</v>
      </c>
      <c r="S24" t="s">
        <v>9425</v>
      </c>
      <c r="T24" t="s">
        <v>9426</v>
      </c>
      <c r="U24" t="s">
        <v>9427</v>
      </c>
      <c r="V24" s="87" t="s">
        <v>9428</v>
      </c>
    </row>
    <row r="25" spans="2:22" hidden="1">
      <c r="E25" t="s">
        <v>9348</v>
      </c>
      <c r="F25" t="s">
        <v>9429</v>
      </c>
      <c r="L25" s="86" t="s">
        <v>9355</v>
      </c>
      <c r="M25" t="s">
        <v>9379</v>
      </c>
      <c r="N25" t="s">
        <v>9430</v>
      </c>
      <c r="P25" t="s">
        <v>9431</v>
      </c>
      <c r="Q25" t="s">
        <v>9432</v>
      </c>
      <c r="R25" t="s">
        <v>9433</v>
      </c>
      <c r="S25" t="s">
        <v>9434</v>
      </c>
      <c r="T25" t="s">
        <v>9435</v>
      </c>
      <c r="U25" t="s">
        <v>9436</v>
      </c>
      <c r="V25" s="87"/>
    </row>
    <row r="26" spans="2:22" hidden="1">
      <c r="E26" t="s">
        <v>9348</v>
      </c>
      <c r="F26" t="s">
        <v>9437</v>
      </c>
      <c r="L26" s="86" t="s">
        <v>9358</v>
      </c>
      <c r="M26" t="s">
        <v>9389</v>
      </c>
      <c r="N26" t="s">
        <v>9438</v>
      </c>
      <c r="P26" t="s">
        <v>9439</v>
      </c>
      <c r="Q26" t="s">
        <v>9440</v>
      </c>
      <c r="R26" t="s">
        <v>9441</v>
      </c>
      <c r="S26" t="s">
        <v>9442</v>
      </c>
      <c r="T26" t="s">
        <v>9443</v>
      </c>
      <c r="U26" t="s">
        <v>9444</v>
      </c>
      <c r="V26" s="87"/>
    </row>
    <row r="27" spans="2:22" hidden="1">
      <c r="E27" t="s">
        <v>9348</v>
      </c>
      <c r="F27" t="s">
        <v>9445</v>
      </c>
      <c r="L27" s="86" t="s">
        <v>9361</v>
      </c>
      <c r="M27" t="s">
        <v>9399</v>
      </c>
      <c r="N27" t="s">
        <v>9446</v>
      </c>
      <c r="P27" t="s">
        <v>9447</v>
      </c>
      <c r="Q27" t="s">
        <v>9448</v>
      </c>
      <c r="R27" t="s">
        <v>9449</v>
      </c>
      <c r="S27" t="s">
        <v>9450</v>
      </c>
      <c r="T27" t="s">
        <v>9451</v>
      </c>
      <c r="U27" t="s">
        <v>9452</v>
      </c>
      <c r="V27" s="87"/>
    </row>
    <row r="28" spans="2:22" hidden="1">
      <c r="E28" t="s">
        <v>9348</v>
      </c>
      <c r="F28" t="s">
        <v>9453</v>
      </c>
      <c r="L28" s="86" t="s">
        <v>9363</v>
      </c>
      <c r="M28" t="s">
        <v>9409</v>
      </c>
      <c r="N28" t="s">
        <v>9454</v>
      </c>
      <c r="P28" t="s">
        <v>9455</v>
      </c>
      <c r="Q28" t="s">
        <v>9456</v>
      </c>
      <c r="R28" t="s">
        <v>9457</v>
      </c>
      <c r="S28" t="s">
        <v>9458</v>
      </c>
      <c r="T28" t="s">
        <v>9459</v>
      </c>
      <c r="V28" s="87"/>
    </row>
    <row r="29" spans="2:22" hidden="1">
      <c r="E29" t="s">
        <v>9348</v>
      </c>
      <c r="F29" t="s">
        <v>9460</v>
      </c>
      <c r="L29" s="89" t="s">
        <v>9365</v>
      </c>
      <c r="M29" s="90" t="s">
        <v>9419</v>
      </c>
      <c r="N29" s="90" t="s">
        <v>9461</v>
      </c>
      <c r="O29" s="90"/>
      <c r="P29" s="90" t="s">
        <v>9462</v>
      </c>
      <c r="Q29" s="90" t="s">
        <v>9463</v>
      </c>
      <c r="R29" s="90" t="s">
        <v>9464</v>
      </c>
      <c r="S29" s="90" t="s">
        <v>9465</v>
      </c>
      <c r="T29" s="90" t="s">
        <v>9466</v>
      </c>
      <c r="U29" s="90"/>
      <c r="V29" s="91"/>
    </row>
    <row r="30" spans="2:22" hidden="1">
      <c r="E30" t="s">
        <v>9348</v>
      </c>
      <c r="F30" t="s">
        <v>9467</v>
      </c>
      <c r="M30" t="s">
        <v>9429</v>
      </c>
      <c r="N30" t="s">
        <v>9468</v>
      </c>
      <c r="P30" t="s">
        <v>9469</v>
      </c>
      <c r="R30" t="s">
        <v>9470</v>
      </c>
      <c r="S30" t="s">
        <v>9471</v>
      </c>
      <c r="T30" t="s">
        <v>9472</v>
      </c>
    </row>
    <row r="31" spans="2:22" hidden="1">
      <c r="E31" t="s">
        <v>9348</v>
      </c>
      <c r="F31" t="s">
        <v>9473</v>
      </c>
      <c r="M31" t="s">
        <v>9437</v>
      </c>
      <c r="N31" t="s">
        <v>9474</v>
      </c>
      <c r="P31" t="s">
        <v>9475</v>
      </c>
      <c r="R31" t="s">
        <v>9476</v>
      </c>
      <c r="S31" t="s">
        <v>9477</v>
      </c>
    </row>
    <row r="32" spans="2:22" hidden="1">
      <c r="E32" t="s">
        <v>9348</v>
      </c>
      <c r="F32" t="s">
        <v>9478</v>
      </c>
      <c r="M32" t="s">
        <v>9445</v>
      </c>
      <c r="P32" t="s">
        <v>9479</v>
      </c>
      <c r="R32" t="s">
        <v>9480</v>
      </c>
      <c r="S32" t="s">
        <v>9481</v>
      </c>
    </row>
    <row r="33" spans="5:18" hidden="1">
      <c r="E33" t="s">
        <v>9348</v>
      </c>
      <c r="F33" t="s">
        <v>9482</v>
      </c>
      <c r="M33" t="s">
        <v>9453</v>
      </c>
      <c r="R33" t="s">
        <v>9483</v>
      </c>
    </row>
    <row r="34" spans="5:18" hidden="1">
      <c r="E34" t="s">
        <v>9348</v>
      </c>
      <c r="F34" t="s">
        <v>9484</v>
      </c>
      <c r="M34" t="s">
        <v>9460</v>
      </c>
      <c r="R34" t="s">
        <v>9485</v>
      </c>
    </row>
    <row r="35" spans="5:18" hidden="1">
      <c r="E35" t="s">
        <v>9351</v>
      </c>
      <c r="F35" t="s">
        <v>9380</v>
      </c>
      <c r="M35" t="s">
        <v>9467</v>
      </c>
      <c r="R35" t="s">
        <v>9486</v>
      </c>
    </row>
    <row r="36" spans="5:18" hidden="1">
      <c r="E36" t="s">
        <v>9351</v>
      </c>
      <c r="F36" t="s">
        <v>9390</v>
      </c>
      <c r="M36" t="s">
        <v>9473</v>
      </c>
      <c r="R36" t="s">
        <v>9487</v>
      </c>
    </row>
    <row r="37" spans="5:18" hidden="1">
      <c r="E37" t="s">
        <v>9351</v>
      </c>
      <c r="F37" t="s">
        <v>9400</v>
      </c>
      <c r="M37" t="s">
        <v>9478</v>
      </c>
    </row>
    <row r="38" spans="5:18" hidden="1">
      <c r="E38" t="s">
        <v>9351</v>
      </c>
      <c r="F38" t="s">
        <v>9410</v>
      </c>
      <c r="M38" t="s">
        <v>9482</v>
      </c>
    </row>
    <row r="39" spans="5:18" hidden="1">
      <c r="E39" t="s">
        <v>9351</v>
      </c>
      <c r="F39" t="s">
        <v>9420</v>
      </c>
      <c r="M39" t="s">
        <v>9484</v>
      </c>
    </row>
    <row r="40" spans="5:18" hidden="1">
      <c r="E40" t="s">
        <v>9351</v>
      </c>
      <c r="F40" t="s">
        <v>9430</v>
      </c>
    </row>
    <row r="41" spans="5:18" hidden="1">
      <c r="E41" t="s">
        <v>9351</v>
      </c>
      <c r="F41" t="s">
        <v>9438</v>
      </c>
    </row>
    <row r="42" spans="5:18">
      <c r="E42" t="s">
        <v>9351</v>
      </c>
      <c r="F42" t="s">
        <v>9446</v>
      </c>
    </row>
    <row r="43" spans="5:18">
      <c r="E43" t="s">
        <v>9351</v>
      </c>
      <c r="F43" t="s">
        <v>9454</v>
      </c>
    </row>
    <row r="44" spans="5:18">
      <c r="E44" t="s">
        <v>9351</v>
      </c>
      <c r="F44" t="s">
        <v>9461</v>
      </c>
    </row>
    <row r="45" spans="5:18">
      <c r="E45" t="s">
        <v>9351</v>
      </c>
      <c r="F45" t="s">
        <v>9468</v>
      </c>
    </row>
    <row r="46" spans="5:18">
      <c r="E46" t="s">
        <v>9351</v>
      </c>
      <c r="F46" t="s">
        <v>9474</v>
      </c>
    </row>
    <row r="47" spans="5:18">
      <c r="E47" t="s">
        <v>9333</v>
      </c>
      <c r="F47" t="s">
        <v>9381</v>
      </c>
    </row>
    <row r="48" spans="5:18">
      <c r="E48" t="s">
        <v>9333</v>
      </c>
      <c r="F48" t="s">
        <v>9391</v>
      </c>
    </row>
    <row r="49" spans="5:6">
      <c r="E49" t="s">
        <v>9333</v>
      </c>
      <c r="F49" t="s">
        <v>9401</v>
      </c>
    </row>
    <row r="50" spans="5:6">
      <c r="E50" t="s">
        <v>9333</v>
      </c>
      <c r="F50" t="s">
        <v>9411</v>
      </c>
    </row>
    <row r="51" spans="5:6">
      <c r="E51" t="s">
        <v>9333</v>
      </c>
      <c r="F51" t="s">
        <v>9421</v>
      </c>
    </row>
    <row r="52" spans="5:6">
      <c r="E52" t="s">
        <v>9356</v>
      </c>
      <c r="F52" t="s">
        <v>9382</v>
      </c>
    </row>
    <row r="53" spans="5:6">
      <c r="E53" t="s">
        <v>9356</v>
      </c>
      <c r="F53" t="s">
        <v>9392</v>
      </c>
    </row>
    <row r="54" spans="5:6">
      <c r="E54" t="s">
        <v>9356</v>
      </c>
      <c r="F54" t="s">
        <v>9402</v>
      </c>
    </row>
    <row r="55" spans="5:6">
      <c r="E55" t="s">
        <v>9356</v>
      </c>
      <c r="F55" t="s">
        <v>9412</v>
      </c>
    </row>
    <row r="56" spans="5:6">
      <c r="E56" t="s">
        <v>9356</v>
      </c>
      <c r="F56" t="s">
        <v>9422</v>
      </c>
    </row>
    <row r="57" spans="5:6">
      <c r="E57" t="s">
        <v>9356</v>
      </c>
      <c r="F57" t="s">
        <v>9431</v>
      </c>
    </row>
    <row r="58" spans="5:6">
      <c r="E58" t="s">
        <v>9356</v>
      </c>
      <c r="F58" t="s">
        <v>9439</v>
      </c>
    </row>
    <row r="59" spans="5:6">
      <c r="E59" t="s">
        <v>9356</v>
      </c>
      <c r="F59" t="s">
        <v>9447</v>
      </c>
    </row>
    <row r="60" spans="5:6">
      <c r="E60" t="s">
        <v>9356</v>
      </c>
      <c r="F60" t="s">
        <v>9455</v>
      </c>
    </row>
    <row r="61" spans="5:6">
      <c r="E61" t="s">
        <v>9356</v>
      </c>
      <c r="F61" t="s">
        <v>9462</v>
      </c>
    </row>
    <row r="62" spans="5:6">
      <c r="E62" t="s">
        <v>9356</v>
      </c>
      <c r="F62" t="s">
        <v>9469</v>
      </c>
    </row>
    <row r="63" spans="5:6">
      <c r="E63" t="s">
        <v>9356</v>
      </c>
      <c r="F63" t="s">
        <v>9475</v>
      </c>
    </row>
    <row r="64" spans="5:6">
      <c r="E64" t="s">
        <v>9356</v>
      </c>
      <c r="F64" t="s">
        <v>9479</v>
      </c>
    </row>
    <row r="65" spans="5:6">
      <c r="E65" t="s">
        <v>9359</v>
      </c>
      <c r="F65" t="s">
        <v>9383</v>
      </c>
    </row>
    <row r="66" spans="5:6">
      <c r="E66" t="s">
        <v>9359</v>
      </c>
      <c r="F66" t="s">
        <v>9393</v>
      </c>
    </row>
    <row r="67" spans="5:6">
      <c r="E67" t="s">
        <v>9359</v>
      </c>
      <c r="F67" t="s">
        <v>9403</v>
      </c>
    </row>
    <row r="68" spans="5:6">
      <c r="E68" t="s">
        <v>9359</v>
      </c>
      <c r="F68" t="s">
        <v>9413</v>
      </c>
    </row>
    <row r="69" spans="5:6">
      <c r="E69" t="s">
        <v>9359</v>
      </c>
      <c r="F69" t="s">
        <v>9423</v>
      </c>
    </row>
    <row r="70" spans="5:6">
      <c r="E70" t="s">
        <v>9359</v>
      </c>
      <c r="F70" t="s">
        <v>9432</v>
      </c>
    </row>
    <row r="71" spans="5:6">
      <c r="E71" t="s">
        <v>9359</v>
      </c>
      <c r="F71" t="s">
        <v>9440</v>
      </c>
    </row>
    <row r="72" spans="5:6">
      <c r="E72" t="s">
        <v>9359</v>
      </c>
      <c r="F72" t="s">
        <v>9448</v>
      </c>
    </row>
    <row r="73" spans="5:6">
      <c r="E73" t="s">
        <v>9359</v>
      </c>
      <c r="F73" t="s">
        <v>9456</v>
      </c>
    </row>
    <row r="74" spans="5:6">
      <c r="E74" t="s">
        <v>9359</v>
      </c>
      <c r="F74" t="s">
        <v>9463</v>
      </c>
    </row>
    <row r="75" spans="5:6">
      <c r="E75" t="s">
        <v>9362</v>
      </c>
      <c r="F75" t="s">
        <v>9384</v>
      </c>
    </row>
    <row r="76" spans="5:6">
      <c r="E76" t="s">
        <v>9362</v>
      </c>
      <c r="F76" t="s">
        <v>9394</v>
      </c>
    </row>
    <row r="77" spans="5:6">
      <c r="E77" t="s">
        <v>9362</v>
      </c>
      <c r="F77" t="s">
        <v>9404</v>
      </c>
    </row>
    <row r="78" spans="5:6">
      <c r="E78" t="s">
        <v>9362</v>
      </c>
      <c r="F78" t="s">
        <v>9414</v>
      </c>
    </row>
    <row r="79" spans="5:6">
      <c r="E79" t="s">
        <v>9362</v>
      </c>
      <c r="F79" t="s">
        <v>9424</v>
      </c>
    </row>
    <row r="80" spans="5:6">
      <c r="E80" t="s">
        <v>9362</v>
      </c>
      <c r="F80" t="s">
        <v>9433</v>
      </c>
    </row>
    <row r="81" spans="5:6">
      <c r="E81" t="s">
        <v>9362</v>
      </c>
      <c r="F81" t="s">
        <v>9441</v>
      </c>
    </row>
    <row r="82" spans="5:6">
      <c r="E82" t="s">
        <v>9362</v>
      </c>
      <c r="F82" t="s">
        <v>9449</v>
      </c>
    </row>
    <row r="83" spans="5:6">
      <c r="E83" t="s">
        <v>9362</v>
      </c>
      <c r="F83" t="s">
        <v>9457</v>
      </c>
    </row>
    <row r="84" spans="5:6">
      <c r="E84" t="s">
        <v>9362</v>
      </c>
      <c r="F84" t="s">
        <v>9464</v>
      </c>
    </row>
    <row r="85" spans="5:6">
      <c r="E85" t="s">
        <v>9362</v>
      </c>
      <c r="F85" t="s">
        <v>9470</v>
      </c>
    </row>
    <row r="86" spans="5:6">
      <c r="E86" t="s">
        <v>9362</v>
      </c>
      <c r="F86" t="s">
        <v>9476</v>
      </c>
    </row>
    <row r="87" spans="5:6">
      <c r="E87" t="s">
        <v>9362</v>
      </c>
      <c r="F87" t="s">
        <v>9480</v>
      </c>
    </row>
    <row r="88" spans="5:6">
      <c r="E88" t="s">
        <v>9362</v>
      </c>
      <c r="F88" t="s">
        <v>9483</v>
      </c>
    </row>
    <row r="89" spans="5:6">
      <c r="E89" t="s">
        <v>9362</v>
      </c>
      <c r="F89" t="s">
        <v>9485</v>
      </c>
    </row>
    <row r="90" spans="5:6">
      <c r="E90" t="s">
        <v>9362</v>
      </c>
      <c r="F90" t="s">
        <v>9486</v>
      </c>
    </row>
    <row r="91" spans="5:6">
      <c r="E91" t="s">
        <v>9362</v>
      </c>
      <c r="F91" t="s">
        <v>9487</v>
      </c>
    </row>
    <row r="92" spans="5:6">
      <c r="E92" t="s">
        <v>8875</v>
      </c>
      <c r="F92" t="s">
        <v>9385</v>
      </c>
    </row>
    <row r="93" spans="5:6">
      <c r="E93" t="s">
        <v>8875</v>
      </c>
      <c r="F93" t="s">
        <v>9395</v>
      </c>
    </row>
    <row r="94" spans="5:6">
      <c r="E94" t="s">
        <v>8875</v>
      </c>
      <c r="F94" t="s">
        <v>9405</v>
      </c>
    </row>
    <row r="95" spans="5:6">
      <c r="E95" t="s">
        <v>8875</v>
      </c>
      <c r="F95" t="s">
        <v>9415</v>
      </c>
    </row>
    <row r="96" spans="5:6">
      <c r="E96" t="s">
        <v>8875</v>
      </c>
      <c r="F96" t="s">
        <v>9425</v>
      </c>
    </row>
    <row r="97" spans="5:6">
      <c r="E97" t="s">
        <v>8875</v>
      </c>
      <c r="F97" t="s">
        <v>9434</v>
      </c>
    </row>
    <row r="98" spans="5:6">
      <c r="E98" t="s">
        <v>8875</v>
      </c>
      <c r="F98" t="s">
        <v>9442</v>
      </c>
    </row>
    <row r="99" spans="5:6">
      <c r="E99" t="s">
        <v>8875</v>
      </c>
      <c r="F99" t="s">
        <v>9450</v>
      </c>
    </row>
    <row r="100" spans="5:6">
      <c r="E100" t="s">
        <v>8875</v>
      </c>
      <c r="F100" t="s">
        <v>9458</v>
      </c>
    </row>
    <row r="101" spans="5:6">
      <c r="E101" t="s">
        <v>8875</v>
      </c>
      <c r="F101" t="s">
        <v>9465</v>
      </c>
    </row>
    <row r="102" spans="5:6">
      <c r="E102" t="s">
        <v>8875</v>
      </c>
      <c r="F102" t="s">
        <v>9471</v>
      </c>
    </row>
    <row r="103" spans="5:6">
      <c r="E103" t="s">
        <v>8875</v>
      </c>
      <c r="F103" t="s">
        <v>9477</v>
      </c>
    </row>
    <row r="104" spans="5:6">
      <c r="E104" t="s">
        <v>8875</v>
      </c>
      <c r="F104" t="s">
        <v>9481</v>
      </c>
    </row>
    <row r="105" spans="5:6">
      <c r="E105" t="s">
        <v>9366</v>
      </c>
      <c r="F105" t="s">
        <v>9386</v>
      </c>
    </row>
    <row r="106" spans="5:6">
      <c r="E106" t="s">
        <v>9366</v>
      </c>
      <c r="F106" t="s">
        <v>9396</v>
      </c>
    </row>
    <row r="107" spans="5:6">
      <c r="E107" t="s">
        <v>9366</v>
      </c>
      <c r="F107" t="s">
        <v>9406</v>
      </c>
    </row>
    <row r="108" spans="5:6">
      <c r="E108" t="s">
        <v>9366</v>
      </c>
      <c r="F108" t="s">
        <v>9416</v>
      </c>
    </row>
    <row r="109" spans="5:6">
      <c r="E109" t="s">
        <v>9366</v>
      </c>
      <c r="F109" t="s">
        <v>9426</v>
      </c>
    </row>
    <row r="110" spans="5:6">
      <c r="E110" t="s">
        <v>9366</v>
      </c>
      <c r="F110" t="s">
        <v>9435</v>
      </c>
    </row>
    <row r="111" spans="5:6">
      <c r="E111" t="s">
        <v>9366</v>
      </c>
      <c r="F111" t="s">
        <v>9443</v>
      </c>
    </row>
    <row r="112" spans="5:6">
      <c r="E112" t="s">
        <v>9366</v>
      </c>
      <c r="F112" t="s">
        <v>9451</v>
      </c>
    </row>
    <row r="113" spans="5:6">
      <c r="E113" t="s">
        <v>9366</v>
      </c>
      <c r="F113" t="s">
        <v>9459</v>
      </c>
    </row>
    <row r="114" spans="5:6">
      <c r="E114" t="s">
        <v>9366</v>
      </c>
      <c r="F114" t="s">
        <v>9466</v>
      </c>
    </row>
    <row r="115" spans="5:6">
      <c r="E115" t="s">
        <v>9366</v>
      </c>
      <c r="F115" t="s">
        <v>9472</v>
      </c>
    </row>
    <row r="116" spans="5:6">
      <c r="E116" t="s">
        <v>9369</v>
      </c>
      <c r="F116" t="s">
        <v>9387</v>
      </c>
    </row>
    <row r="117" spans="5:6">
      <c r="E117" t="s">
        <v>9369</v>
      </c>
      <c r="F117" t="s">
        <v>9397</v>
      </c>
    </row>
    <row r="118" spans="5:6">
      <c r="E118" t="s">
        <v>9369</v>
      </c>
      <c r="F118" t="s">
        <v>9407</v>
      </c>
    </row>
    <row r="119" spans="5:6">
      <c r="E119" t="s">
        <v>9369</v>
      </c>
      <c r="F119" t="s">
        <v>9417</v>
      </c>
    </row>
    <row r="120" spans="5:6">
      <c r="E120" t="s">
        <v>9369</v>
      </c>
      <c r="F120" t="s">
        <v>9427</v>
      </c>
    </row>
    <row r="121" spans="5:6">
      <c r="E121" t="s">
        <v>9369</v>
      </c>
      <c r="F121" t="s">
        <v>9436</v>
      </c>
    </row>
    <row r="122" spans="5:6">
      <c r="E122" t="s">
        <v>9369</v>
      </c>
      <c r="F122" t="s">
        <v>9444</v>
      </c>
    </row>
    <row r="123" spans="5:6">
      <c r="E123" t="s">
        <v>9369</v>
      </c>
      <c r="F123" t="s">
        <v>9452</v>
      </c>
    </row>
    <row r="124" spans="5:6">
      <c r="E124" t="s">
        <v>9372</v>
      </c>
      <c r="F124" t="s">
        <v>9388</v>
      </c>
    </row>
    <row r="125" spans="5:6">
      <c r="E125" t="s">
        <v>9372</v>
      </c>
      <c r="F125" t="s">
        <v>9398</v>
      </c>
    </row>
    <row r="126" spans="5:6">
      <c r="E126" t="s">
        <v>9372</v>
      </c>
      <c r="F126" t="s">
        <v>9408</v>
      </c>
    </row>
    <row r="127" spans="5:6">
      <c r="E127" t="s">
        <v>9372</v>
      </c>
      <c r="F127" t="s">
        <v>9418</v>
      </c>
    </row>
    <row r="128" spans="5:6">
      <c r="E128" t="s">
        <v>9372</v>
      </c>
      <c r="F128" t="s">
        <v>9428</v>
      </c>
    </row>
  </sheetData>
  <mergeCells count="3">
    <mergeCell ref="K2:K3"/>
    <mergeCell ref="L2:P2"/>
    <mergeCell ref="Q2:AA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7115-0CBC-4ABB-BE5B-970F623C3B18}">
  <dimension ref="A1:AH89"/>
  <sheetViews>
    <sheetView zoomScale="90" zoomScaleNormal="110" workbookViewId="0">
      <selection activeCell="C81" sqref="C81"/>
    </sheetView>
  </sheetViews>
  <sheetFormatPr defaultColWidth="10.42578125" defaultRowHeight="14.1"/>
  <cols>
    <col min="1" max="1" width="40.140625" style="20" bestFit="1" customWidth="1"/>
    <col min="2" max="2" width="16.42578125" style="717" customWidth="1"/>
    <col min="3" max="3" width="13.42578125" style="20" customWidth="1"/>
    <col min="4" max="4" width="13.85546875" style="20" customWidth="1"/>
    <col min="5" max="6" width="13.42578125" style="20" customWidth="1"/>
    <col min="7" max="7" width="13.140625" style="20" customWidth="1"/>
    <col min="8" max="8" width="13.85546875" style="20" customWidth="1"/>
    <col min="9" max="9" width="16.7109375" style="20" customWidth="1"/>
    <col min="10" max="10" width="13.85546875" style="20" customWidth="1"/>
    <col min="11" max="11" width="14.140625" style="20" customWidth="1"/>
    <col min="12" max="12" width="15.140625" style="22" customWidth="1"/>
    <col min="13" max="13" width="17" style="22" customWidth="1"/>
    <col min="14" max="14" width="14.140625" style="20" customWidth="1"/>
    <col min="15" max="15" width="21.42578125" style="20" bestFit="1" customWidth="1"/>
    <col min="16" max="16" width="32.140625" style="20" customWidth="1"/>
    <col min="17" max="17" width="11.42578125" style="20" customWidth="1"/>
    <col min="18" max="24" width="0" style="20" hidden="1" customWidth="1"/>
    <col min="25" max="25" width="15.42578125" style="20" bestFit="1" customWidth="1"/>
    <col min="26" max="26" width="17.42578125" style="20" bestFit="1" customWidth="1"/>
    <col min="27" max="34" width="0" style="20" hidden="1" customWidth="1"/>
    <col min="35" max="16384" width="10.42578125" style="20"/>
  </cols>
  <sheetData>
    <row r="1" spans="1:34">
      <c r="A1" s="20" t="s">
        <v>9488</v>
      </c>
      <c r="B1" s="751">
        <f>(B6-C6)/C6</f>
        <v>0.17098293113596238</v>
      </c>
      <c r="C1" s="751">
        <f t="shared" ref="C1:M1" si="0">(C6-D6)/D6</f>
        <v>0.32170426665070906</v>
      </c>
      <c r="D1" s="751">
        <f t="shared" si="0"/>
        <v>0.28823620104841186</v>
      </c>
      <c r="E1" s="751">
        <f t="shared" si="0"/>
        <v>0.1994452149791956</v>
      </c>
      <c r="F1" s="751">
        <f t="shared" si="0"/>
        <v>0.20086608927381741</v>
      </c>
      <c r="G1" s="751">
        <f t="shared" si="0"/>
        <v>0.20489664860525783</v>
      </c>
      <c r="H1" s="751">
        <f t="shared" si="0"/>
        <v>0.17210286968794103</v>
      </c>
      <c r="I1" s="751">
        <f t="shared" si="0"/>
        <v>0.26364807292182718</v>
      </c>
      <c r="J1" s="751">
        <f t="shared" si="0"/>
        <v>0.31009865005192105</v>
      </c>
      <c r="K1" s="751">
        <f t="shared" si="0"/>
        <v>0.25207215992198934</v>
      </c>
      <c r="L1" s="751">
        <f t="shared" si="0"/>
        <v>0.15311094452773599</v>
      </c>
      <c r="M1" s="751">
        <f t="shared" si="0"/>
        <v>0.23062730627306272</v>
      </c>
      <c r="N1" s="751"/>
      <c r="O1"/>
      <c r="P1"/>
    </row>
    <row r="2" spans="1:34">
      <c r="H2" s="1349" t="s">
        <v>9489</v>
      </c>
      <c r="I2" s="1349"/>
      <c r="J2" s="1349"/>
      <c r="K2" s="1349"/>
      <c r="L2" s="23"/>
      <c r="M2" s="23"/>
      <c r="N2" s="23"/>
      <c r="O2" s="23"/>
      <c r="P2" s="23"/>
    </row>
    <row r="3" spans="1:34">
      <c r="C3" s="27"/>
      <c r="D3" s="711"/>
      <c r="H3" s="20" t="s">
        <v>9490</v>
      </c>
      <c r="I3" s="20" t="e" vm="1">
        <v>#VALUE!</v>
      </c>
      <c r="J3" s="20" t="str" cm="1">
        <f t="array" aca="1" ref="J3" ca="1">_FV(I3,"Name")</f>
        <v>FORTINET, INC.</v>
      </c>
      <c r="N3"/>
      <c r="O3"/>
      <c r="P3"/>
    </row>
    <row r="4" spans="1:34">
      <c r="E4" s="1349" t="s">
        <v>9491</v>
      </c>
      <c r="F4" s="1349"/>
      <c r="G4" s="1349"/>
      <c r="H4" s="1349"/>
      <c r="I4" s="1349"/>
      <c r="J4" s="1349"/>
      <c r="K4" s="1349"/>
      <c r="L4" s="1349"/>
      <c r="M4" s="1349"/>
      <c r="N4" s="1349"/>
      <c r="O4"/>
      <c r="P4"/>
    </row>
    <row r="5" spans="1:34">
      <c r="A5" s="49" t="s">
        <v>9492</v>
      </c>
      <c r="B5" s="49" t="s">
        <v>9493</v>
      </c>
      <c r="C5" s="361">
        <v>2022</v>
      </c>
      <c r="D5" s="361">
        <v>2021</v>
      </c>
      <c r="E5" s="361">
        <v>2020</v>
      </c>
      <c r="F5" s="361">
        <v>2019</v>
      </c>
      <c r="G5" s="361">
        <v>2018</v>
      </c>
      <c r="H5" s="361">
        <v>2017</v>
      </c>
      <c r="I5" s="361">
        <v>2016</v>
      </c>
      <c r="J5" s="361">
        <v>2015</v>
      </c>
      <c r="K5" s="361">
        <v>2014</v>
      </c>
      <c r="L5" s="361">
        <v>2013</v>
      </c>
      <c r="M5" s="361">
        <v>2012</v>
      </c>
      <c r="N5" s="361">
        <v>2011</v>
      </c>
      <c r="O5"/>
      <c r="P5"/>
      <c r="R5" s="8" t="s">
        <v>9494</v>
      </c>
      <c r="S5" s="1350" t="s">
        <v>9495</v>
      </c>
      <c r="T5" s="1350"/>
      <c r="U5" s="20" t="s">
        <v>9496</v>
      </c>
      <c r="AA5" s="49">
        <v>2016</v>
      </c>
      <c r="AB5" s="49">
        <v>2015</v>
      </c>
      <c r="AC5" s="49">
        <v>2014</v>
      </c>
      <c r="AD5" s="49">
        <v>2013</v>
      </c>
      <c r="AE5" s="49">
        <v>2012</v>
      </c>
      <c r="AF5" s="49">
        <v>2011</v>
      </c>
      <c r="AG5" s="49">
        <v>2010</v>
      </c>
      <c r="AH5" s="49">
        <v>2009</v>
      </c>
    </row>
    <row r="6" spans="1:34">
      <c r="A6" s="24" t="s">
        <v>118</v>
      </c>
      <c r="B6" s="718">
        <v>5172.7</v>
      </c>
      <c r="C6" s="362">
        <v>4417.3999999999996</v>
      </c>
      <c r="D6" s="362">
        <v>3342.2</v>
      </c>
      <c r="E6" s="362">
        <v>2594.4</v>
      </c>
      <c r="F6" s="362">
        <v>2163</v>
      </c>
      <c r="G6" s="362">
        <v>1801.2</v>
      </c>
      <c r="H6" s="362">
        <v>1494.9</v>
      </c>
      <c r="I6" s="363">
        <v>1275.4000000000001</v>
      </c>
      <c r="J6" s="362">
        <v>1009.3</v>
      </c>
      <c r="K6" s="362">
        <v>770.4</v>
      </c>
      <c r="L6" s="362">
        <v>615.29999999999995</v>
      </c>
      <c r="M6" s="362">
        <v>533.6</v>
      </c>
      <c r="N6" s="362">
        <v>433.6</v>
      </c>
      <c r="O6" s="26" t="s">
        <v>9497</v>
      </c>
      <c r="P6" t="s">
        <v>9102</v>
      </c>
      <c r="Q6"/>
      <c r="R6" s="20" t="s">
        <v>9498</v>
      </c>
      <c r="S6" s="20" t="s">
        <v>9498</v>
      </c>
      <c r="Y6" s="27"/>
      <c r="Z6" s="27"/>
      <c r="AA6" s="25">
        <v>38537</v>
      </c>
      <c r="AB6" s="25">
        <v>47011</v>
      </c>
      <c r="AC6" s="25">
        <v>55184</v>
      </c>
      <c r="AD6" s="25">
        <v>55656</v>
      </c>
      <c r="AE6" s="25">
        <v>65875</v>
      </c>
      <c r="AF6" s="25">
        <v>60138</v>
      </c>
      <c r="AG6" s="25">
        <v>42588</v>
      </c>
      <c r="AH6" s="25">
        <v>32396</v>
      </c>
    </row>
    <row r="7" spans="1:34">
      <c r="A7" s="24" t="s">
        <v>9284</v>
      </c>
      <c r="B7" s="718">
        <v>3954.1</v>
      </c>
      <c r="C7" s="362">
        <v>3332.5</v>
      </c>
      <c r="D7" s="362">
        <v>2559.1999999999998</v>
      </c>
      <c r="E7" s="362">
        <v>2024.4</v>
      </c>
      <c r="F7" s="362">
        <v>1657.1</v>
      </c>
      <c r="G7" s="362">
        <v>1350.8</v>
      </c>
      <c r="H7" s="362">
        <v>1109.5999999999999</v>
      </c>
      <c r="I7" s="704">
        <v>937.6</v>
      </c>
      <c r="J7" s="705">
        <v>722.5</v>
      </c>
      <c r="K7" s="362">
        <v>539.4</v>
      </c>
      <c r="L7" s="362">
        <v>434.7</v>
      </c>
      <c r="M7" s="362">
        <v>386.2</v>
      </c>
      <c r="N7" s="362">
        <v>320</v>
      </c>
      <c r="O7" s="26" t="s">
        <v>9497</v>
      </c>
      <c r="P7" t="s">
        <v>9284</v>
      </c>
      <c r="Q7"/>
      <c r="R7" s="20" t="s">
        <v>9498</v>
      </c>
      <c r="S7" s="20" t="s">
        <v>9499</v>
      </c>
      <c r="AA7" s="29">
        <f>AA6-28044</f>
        <v>10493</v>
      </c>
      <c r="AB7" s="29">
        <f>AB6-33546</f>
        <v>13465</v>
      </c>
      <c r="AC7" s="29">
        <f>AC6-40718</f>
        <v>14466</v>
      </c>
      <c r="AD7" s="29">
        <f>AD6-40727</f>
        <v>14929</v>
      </c>
      <c r="AE7" s="30">
        <f>+AE6-47055</f>
        <v>18820</v>
      </c>
      <c r="AF7" s="30">
        <f>+AF6-43578</f>
        <v>16560</v>
      </c>
      <c r="AG7" s="30">
        <f>+AG6-30367</f>
        <v>12221</v>
      </c>
      <c r="AH7" s="30">
        <f>+AH6-23886</f>
        <v>8510</v>
      </c>
    </row>
    <row r="8" spans="1:34">
      <c r="A8" s="24" t="s">
        <v>307</v>
      </c>
      <c r="B8" s="718">
        <v>1213.5</v>
      </c>
      <c r="C8" s="362">
        <v>969.6</v>
      </c>
      <c r="D8" s="362">
        <v>650.4</v>
      </c>
      <c r="E8" s="362">
        <v>527.5</v>
      </c>
      <c r="F8" s="362">
        <v>347.2</v>
      </c>
      <c r="G8" s="362">
        <v>231</v>
      </c>
      <c r="H8" s="362">
        <v>109.8</v>
      </c>
      <c r="I8" s="704">
        <v>42.9</v>
      </c>
      <c r="J8" s="705">
        <v>14.9</v>
      </c>
      <c r="K8" s="705">
        <v>59.3</v>
      </c>
      <c r="L8" s="705">
        <v>72.099999999999994</v>
      </c>
      <c r="M8" s="735">
        <v>100.5</v>
      </c>
      <c r="N8" s="735">
        <v>88.9</v>
      </c>
      <c r="O8" s="26" t="s">
        <v>9497</v>
      </c>
      <c r="P8" t="s">
        <v>307</v>
      </c>
      <c r="Q8"/>
      <c r="R8" s="20" t="s">
        <v>9498</v>
      </c>
      <c r="S8" s="31" t="s">
        <v>9500</v>
      </c>
      <c r="AA8" s="29">
        <f>AA7-4383</f>
        <v>6110</v>
      </c>
      <c r="AB8" s="29">
        <f>AB7-4951</f>
        <v>8514</v>
      </c>
      <c r="AC8" s="29">
        <f>AC7-6529</f>
        <v>7937</v>
      </c>
      <c r="AD8" s="29">
        <f>AD7-5547</f>
        <v>9382</v>
      </c>
      <c r="AE8" s="30">
        <f>AE7-5919-2466-797-580-485</f>
        <v>8573</v>
      </c>
      <c r="AF8" s="30">
        <f>+AF7-5203-2297-826-1081</f>
        <v>7153</v>
      </c>
      <c r="AG8" s="30">
        <f>+AG7-4248-1905-914-1191</f>
        <v>3963</v>
      </c>
      <c r="AH8" s="30">
        <f>+AH7-3645-1421-1045-1822</f>
        <v>577</v>
      </c>
    </row>
    <row r="9" spans="1:34" s="771" customFormat="1">
      <c r="A9" s="768" t="s">
        <v>9288</v>
      </c>
      <c r="B9" s="769">
        <v>-83.2</v>
      </c>
      <c r="C9" s="705">
        <v>-76.3</v>
      </c>
      <c r="D9" s="705">
        <v>-10.899999999999999</v>
      </c>
      <c r="E9" s="705">
        <v>2</v>
      </c>
      <c r="F9" s="705">
        <v>3.1</v>
      </c>
      <c r="G9" s="705">
        <v>-41.400000000000006</v>
      </c>
      <c r="H9" s="705">
        <v>-62.4</v>
      </c>
      <c r="I9" s="705">
        <v>-7.1</v>
      </c>
      <c r="J9" s="705">
        <v>-3.2</v>
      </c>
      <c r="K9" s="705">
        <v>-3.2</v>
      </c>
      <c r="L9" s="735">
        <v>-1.5</v>
      </c>
      <c r="M9" s="735">
        <v>-0.5</v>
      </c>
      <c r="N9" s="735">
        <v>-0.4</v>
      </c>
      <c r="O9" s="770" t="s">
        <v>9497</v>
      </c>
      <c r="P9" s="18" t="s">
        <v>9501</v>
      </c>
      <c r="Q9" s="18"/>
      <c r="R9" s="771" t="s">
        <v>9498</v>
      </c>
      <c r="S9" s="771" t="s">
        <v>9502</v>
      </c>
      <c r="T9" s="771" t="s">
        <v>9503</v>
      </c>
      <c r="U9" s="771" t="s">
        <v>9504</v>
      </c>
      <c r="V9" s="771" t="s">
        <v>9505</v>
      </c>
      <c r="W9" s="771" t="s">
        <v>9506</v>
      </c>
      <c r="AA9" s="30">
        <f>1853+596+595+1904+6+8</f>
        <v>4962</v>
      </c>
      <c r="AB9" s="30">
        <f>2119+587+2023+11</f>
        <v>4740</v>
      </c>
      <c r="AC9" s="30">
        <f>2380+624+1619-8+16</f>
        <v>4631</v>
      </c>
      <c r="AD9" s="30">
        <f>2046+727+981+6+14</f>
        <v>3774</v>
      </c>
      <c r="AE9" s="30">
        <f>-14+41</f>
        <v>27</v>
      </c>
      <c r="AF9" s="30">
        <v>53</v>
      </c>
      <c r="AG9" s="30">
        <f>58+24</f>
        <v>82</v>
      </c>
      <c r="AH9" s="30">
        <f>12-68</f>
        <v>-56</v>
      </c>
    </row>
    <row r="10" spans="1:34">
      <c r="A10" s="24" t="s">
        <v>308</v>
      </c>
      <c r="B10" s="718">
        <v>78.2</v>
      </c>
      <c r="C10" s="362">
        <v>-5.2</v>
      </c>
      <c r="D10" s="362">
        <v>-18.600000000000001</v>
      </c>
      <c r="E10" s="362">
        <v>12.2</v>
      </c>
      <c r="F10" s="362">
        <v>37.799999999999997</v>
      </c>
      <c r="G10" s="362">
        <v>28.7</v>
      </c>
      <c r="H10" s="362">
        <v>13.5</v>
      </c>
      <c r="I10" s="704">
        <v>7.3</v>
      </c>
      <c r="J10" s="705">
        <v>5.3</v>
      </c>
      <c r="K10" s="362">
        <v>5.4</v>
      </c>
      <c r="L10" s="362">
        <v>5.3</v>
      </c>
      <c r="M10" s="733">
        <v>5</v>
      </c>
      <c r="N10" s="733">
        <v>3.5</v>
      </c>
      <c r="O10" s="26" t="s">
        <v>9497</v>
      </c>
      <c r="P10" s="9" t="s">
        <v>9507</v>
      </c>
      <c r="Q10"/>
      <c r="R10" s="20" t="s">
        <v>9498</v>
      </c>
      <c r="S10" s="20" t="s">
        <v>9508</v>
      </c>
      <c r="AA10" s="29">
        <f>505+518</f>
        <v>1023</v>
      </c>
      <c r="AB10" s="29">
        <f>507-161</f>
        <v>346</v>
      </c>
      <c r="AC10" s="29">
        <f>484-322</f>
        <v>162</v>
      </c>
      <c r="AD10" s="29">
        <f>465+35</f>
        <v>500</v>
      </c>
      <c r="AE10" s="30">
        <f>467-130</f>
        <v>337</v>
      </c>
      <c r="AF10" s="29">
        <f>396+32</f>
        <v>428</v>
      </c>
      <c r="AG10" s="29">
        <f>343-130</f>
        <v>213</v>
      </c>
      <c r="AH10" s="29">
        <f>389-381</f>
        <v>8</v>
      </c>
    </row>
    <row r="11" spans="1:34">
      <c r="A11" s="24" t="s">
        <v>309</v>
      </c>
      <c r="B11" s="718">
        <v>-57.8</v>
      </c>
      <c r="C11" s="362">
        <v>-30.8</v>
      </c>
      <c r="D11" s="362">
        <v>-14.1</v>
      </c>
      <c r="E11" s="362">
        <v>-53.2</v>
      </c>
      <c r="F11" s="362">
        <v>-56.4</v>
      </c>
      <c r="G11" s="362">
        <v>113.9</v>
      </c>
      <c r="H11" s="362">
        <v>-29.5</v>
      </c>
      <c r="I11" s="704">
        <v>-11</v>
      </c>
      <c r="J11" s="705">
        <v>-9</v>
      </c>
      <c r="K11" s="362">
        <v>-36.200000000000003</v>
      </c>
      <c r="L11" s="362">
        <v>-31.7</v>
      </c>
      <c r="M11" s="733">
        <v>-38.200000000000003</v>
      </c>
      <c r="N11" s="733">
        <v>-29.6</v>
      </c>
      <c r="O11" s="26" t="s">
        <v>9497</v>
      </c>
      <c r="P11" t="s">
        <v>309</v>
      </c>
      <c r="Q11"/>
      <c r="R11" s="20" t="s">
        <v>9498</v>
      </c>
      <c r="S11" s="20" t="s">
        <v>9509</v>
      </c>
      <c r="AA11" s="25">
        <v>192</v>
      </c>
      <c r="AB11" s="25">
        <v>916</v>
      </c>
      <c r="AC11" s="25">
        <v>692</v>
      </c>
      <c r="AD11" s="25">
        <v>1319</v>
      </c>
      <c r="AE11" s="28">
        <f>2528</f>
        <v>2528</v>
      </c>
      <c r="AF11" s="25">
        <f>1720</f>
        <v>1720</v>
      </c>
      <c r="AG11" s="25">
        <f>968</f>
        <v>968</v>
      </c>
      <c r="AH11" s="25">
        <f>-270</f>
        <v>-270</v>
      </c>
    </row>
    <row r="12" spans="1:34">
      <c r="A12" s="24" t="s">
        <v>63</v>
      </c>
      <c r="B12" s="718">
        <v>1150.7</v>
      </c>
      <c r="C12" s="362">
        <v>857.3</v>
      </c>
      <c r="D12" s="362">
        <v>606.79999999999995</v>
      </c>
      <c r="E12" s="362">
        <v>488.5</v>
      </c>
      <c r="F12" s="362">
        <v>331.7</v>
      </c>
      <c r="G12" s="362">
        <v>332.2</v>
      </c>
      <c r="H12" s="362">
        <v>31.4</v>
      </c>
      <c r="I12" s="363">
        <v>32.200000000000003</v>
      </c>
      <c r="J12" s="362">
        <v>8</v>
      </c>
      <c r="K12" s="362">
        <v>25.3</v>
      </c>
      <c r="L12" s="362">
        <v>44.3</v>
      </c>
      <c r="M12" s="362">
        <v>66.8</v>
      </c>
      <c r="N12" s="362">
        <v>62.5</v>
      </c>
      <c r="O12" s="26" t="s">
        <v>9497</v>
      </c>
      <c r="P12" t="s">
        <v>63</v>
      </c>
      <c r="Q12"/>
      <c r="R12" s="20" t="s">
        <v>9510</v>
      </c>
      <c r="S12" s="20" t="s">
        <v>9511</v>
      </c>
      <c r="AA12" s="25">
        <v>-67</v>
      </c>
      <c r="AB12" s="25">
        <v>2512</v>
      </c>
      <c r="AC12" s="25">
        <v>2452</v>
      </c>
      <c r="AD12" s="25">
        <v>3789</v>
      </c>
      <c r="AE12" s="25">
        <v>5681</v>
      </c>
      <c r="AF12" s="25">
        <f>4928+24</f>
        <v>4952</v>
      </c>
      <c r="AG12" s="25">
        <v>2700</v>
      </c>
      <c r="AH12" s="25">
        <v>895</v>
      </c>
    </row>
    <row r="13" spans="1:34">
      <c r="B13" s="706">
        <f>SUM(B8:B11)</f>
        <v>1150.7</v>
      </c>
      <c r="C13" s="706">
        <f>SUM(C8:C11)</f>
        <v>857.30000000000007</v>
      </c>
      <c r="D13" s="706">
        <f t="shared" ref="D13:N13" si="1">SUM(D8:D11)</f>
        <v>606.79999999999995</v>
      </c>
      <c r="E13" s="706">
        <f t="shared" si="1"/>
        <v>488.50000000000006</v>
      </c>
      <c r="F13" s="706">
        <f t="shared" si="1"/>
        <v>331.70000000000005</v>
      </c>
      <c r="G13" s="706">
        <f t="shared" si="1"/>
        <v>332.2</v>
      </c>
      <c r="H13" s="706">
        <f t="shared" si="1"/>
        <v>31.4</v>
      </c>
      <c r="I13" s="706">
        <f t="shared" si="1"/>
        <v>32.099999999999994</v>
      </c>
      <c r="J13" s="706">
        <f t="shared" si="1"/>
        <v>8</v>
      </c>
      <c r="K13" s="706">
        <f t="shared" si="1"/>
        <v>25.29999999999999</v>
      </c>
      <c r="L13" s="706">
        <f t="shared" si="1"/>
        <v>44.199999999999989</v>
      </c>
      <c r="M13" s="706">
        <f t="shared" si="1"/>
        <v>66.8</v>
      </c>
      <c r="N13" s="706">
        <f t="shared" si="1"/>
        <v>62.4</v>
      </c>
      <c r="O13"/>
      <c r="P13"/>
      <c r="Q13"/>
      <c r="AA13" s="22">
        <f t="shared" ref="AA13:AH13" si="2">AA8-AA10-AA9-AA11</f>
        <v>-67</v>
      </c>
      <c r="AB13" s="22">
        <f t="shared" si="2"/>
        <v>2512</v>
      </c>
      <c r="AC13" s="22">
        <f t="shared" si="2"/>
        <v>2452</v>
      </c>
      <c r="AD13" s="22">
        <f t="shared" si="2"/>
        <v>3789</v>
      </c>
      <c r="AE13" s="22">
        <f t="shared" si="2"/>
        <v>5681</v>
      </c>
      <c r="AF13" s="22">
        <f t="shared" si="2"/>
        <v>4952</v>
      </c>
      <c r="AG13" s="22">
        <f t="shared" si="2"/>
        <v>2700</v>
      </c>
      <c r="AH13" s="22">
        <f t="shared" si="2"/>
        <v>895</v>
      </c>
    </row>
    <row r="14" spans="1:34">
      <c r="A14" s="49" t="s">
        <v>9512</v>
      </c>
      <c r="B14" s="712">
        <f>B12-B13</f>
        <v>0</v>
      </c>
      <c r="C14" s="707">
        <f>C12-C13</f>
        <v>0</v>
      </c>
      <c r="D14" s="707">
        <f t="shared" ref="D14:H14" si="3">D12-D13</f>
        <v>0</v>
      </c>
      <c r="E14" s="707">
        <f t="shared" si="3"/>
        <v>0</v>
      </c>
      <c r="F14" s="707">
        <f t="shared" si="3"/>
        <v>0</v>
      </c>
      <c r="G14" s="707">
        <f t="shared" si="3"/>
        <v>0</v>
      </c>
      <c r="H14" s="707">
        <f t="shared" si="3"/>
        <v>0</v>
      </c>
      <c r="I14" s="707">
        <f>I12-I13</f>
        <v>0.10000000000000853</v>
      </c>
      <c r="J14" s="707">
        <f t="shared" ref="J14" si="4">J12-J13</f>
        <v>0</v>
      </c>
      <c r="K14" s="707">
        <f t="shared" ref="K14" si="5">K12-K13</f>
        <v>0</v>
      </c>
      <c r="L14" s="707">
        <f t="shared" ref="L14" si="6">L12-L13</f>
        <v>0.10000000000000853</v>
      </c>
      <c r="M14" s="707">
        <f t="shared" ref="M14" si="7">M12-M13</f>
        <v>0</v>
      </c>
      <c r="N14" s="707">
        <f t="shared" ref="N14" si="8">N12-N13</f>
        <v>0.10000000000000142</v>
      </c>
      <c r="O14"/>
      <c r="P14"/>
      <c r="Q14"/>
      <c r="AA14" s="33">
        <f t="shared" ref="AA14:AH14" si="9">AA12-AA13</f>
        <v>0</v>
      </c>
      <c r="AB14" s="33">
        <f t="shared" si="9"/>
        <v>0</v>
      </c>
      <c r="AC14" s="33">
        <f t="shared" si="9"/>
        <v>0</v>
      </c>
      <c r="AD14" s="33">
        <f t="shared" si="9"/>
        <v>0</v>
      </c>
      <c r="AE14" s="33">
        <f t="shared" si="9"/>
        <v>0</v>
      </c>
      <c r="AF14" s="33">
        <f t="shared" si="9"/>
        <v>0</v>
      </c>
      <c r="AG14" s="33">
        <f t="shared" si="9"/>
        <v>0</v>
      </c>
      <c r="AH14" s="33">
        <f t="shared" si="9"/>
        <v>0</v>
      </c>
    </row>
    <row r="15" spans="1:34">
      <c r="A15"/>
      <c r="B15" s="1"/>
      <c r="C15" s="708"/>
      <c r="D15" s="708"/>
      <c r="E15" s="708"/>
      <c r="F15" s="708"/>
      <c r="G15" s="708"/>
      <c r="H15" s="708"/>
      <c r="I15" s="708"/>
      <c r="J15" s="708"/>
      <c r="K15" s="708"/>
      <c r="L15" s="708"/>
      <c r="M15" s="708"/>
      <c r="N15" s="708"/>
      <c r="O15"/>
      <c r="P15"/>
      <c r="Q15"/>
      <c r="AA15" s="25"/>
      <c r="AB15" s="25"/>
      <c r="AC15" s="25"/>
      <c r="AD15" s="25"/>
      <c r="AE15" s="25"/>
      <c r="AF15" s="25"/>
      <c r="AG15" s="25"/>
      <c r="AH15" s="25"/>
    </row>
    <row r="16" spans="1:34">
      <c r="A16" s="24" t="s">
        <v>9513</v>
      </c>
      <c r="B16" s="62">
        <v>782.5</v>
      </c>
      <c r="C16" s="362">
        <v>791.4</v>
      </c>
      <c r="D16" s="362">
        <v>816</v>
      </c>
      <c r="E16" s="362">
        <v>821</v>
      </c>
      <c r="F16" s="362">
        <v>855</v>
      </c>
      <c r="G16" s="362">
        <v>845.5</v>
      </c>
      <c r="H16" s="362">
        <v>871.6</v>
      </c>
      <c r="I16" s="363">
        <v>863.1</v>
      </c>
      <c r="J16" s="362">
        <v>851.9</v>
      </c>
      <c r="K16" s="362">
        <v>819.2</v>
      </c>
      <c r="L16" s="362">
        <v>812.2</v>
      </c>
      <c r="M16" s="362">
        <v>790.4</v>
      </c>
      <c r="N16" s="362">
        <v>762.9</v>
      </c>
      <c r="O16" s="26"/>
      <c r="P16"/>
      <c r="Q16"/>
      <c r="AA16" s="25"/>
      <c r="AB16" s="25"/>
      <c r="AC16" s="25"/>
      <c r="AD16" s="25"/>
      <c r="AE16" s="25"/>
      <c r="AF16" s="25"/>
      <c r="AG16" s="25"/>
      <c r="AH16" s="25"/>
    </row>
    <row r="17" spans="1:34">
      <c r="A17" s="24" t="s">
        <v>9514</v>
      </c>
      <c r="B17" s="62">
        <v>793.1</v>
      </c>
      <c r="C17" s="362">
        <v>791.4</v>
      </c>
      <c r="D17" s="362">
        <v>816</v>
      </c>
      <c r="E17" s="362">
        <v>821</v>
      </c>
      <c r="F17" s="362">
        <v>855</v>
      </c>
      <c r="G17" s="362">
        <v>845.5</v>
      </c>
      <c r="H17" s="362">
        <v>871.6</v>
      </c>
      <c r="I17" s="363">
        <v>863.1</v>
      </c>
      <c r="J17" s="362">
        <v>851.9</v>
      </c>
      <c r="K17" s="362">
        <v>819.2</v>
      </c>
      <c r="L17" s="362">
        <v>812.2</v>
      </c>
      <c r="M17" s="362">
        <v>790.4</v>
      </c>
      <c r="N17" s="362">
        <v>762.9</v>
      </c>
      <c r="O17" s="26"/>
      <c r="P17"/>
      <c r="Q17"/>
      <c r="AA17" s="25"/>
      <c r="AB17" s="25"/>
      <c r="AC17" s="25"/>
      <c r="AD17" s="25"/>
      <c r="AE17" s="25"/>
      <c r="AF17" s="25"/>
      <c r="AG17" s="25"/>
      <c r="AH17" s="25"/>
    </row>
    <row r="18" spans="1:34" customFormat="1" ht="12.95">
      <c r="B18" s="1"/>
      <c r="C18" s="708"/>
      <c r="D18" s="708"/>
      <c r="E18" s="708"/>
      <c r="F18" s="708"/>
      <c r="G18" s="708"/>
      <c r="H18" s="708"/>
      <c r="I18" s="708"/>
      <c r="J18" s="708"/>
      <c r="K18" s="708"/>
      <c r="L18" s="708"/>
      <c r="M18" s="708"/>
      <c r="N18" s="708"/>
    </row>
    <row r="19" spans="1:34">
      <c r="A19" s="815" t="s">
        <v>9515</v>
      </c>
      <c r="B19" s="718">
        <v>-2.4</v>
      </c>
      <c r="C19" s="733">
        <v>-4.5999999999999996</v>
      </c>
      <c r="D19" s="733">
        <v>-8.1999999999999993</v>
      </c>
      <c r="E19" s="733">
        <v>-5.5</v>
      </c>
      <c r="F19" s="744">
        <v>-4.7</v>
      </c>
      <c r="G19" s="744">
        <v>-9.3000000000000007</v>
      </c>
      <c r="H19" s="744">
        <v>0</v>
      </c>
      <c r="I19" s="744">
        <v>0</v>
      </c>
      <c r="J19" s="733">
        <v>0</v>
      </c>
      <c r="K19" s="817">
        <v>-3.2</v>
      </c>
      <c r="L19" s="735">
        <v>-1.5</v>
      </c>
      <c r="M19" s="733">
        <v>-0.5</v>
      </c>
      <c r="N19" s="733">
        <v>-0.4</v>
      </c>
      <c r="O19" s="26"/>
      <c r="P19"/>
      <c r="Q19"/>
      <c r="AA19" s="25"/>
      <c r="AB19" s="25"/>
      <c r="AC19" s="25"/>
      <c r="AD19" s="25"/>
      <c r="AE19" s="25"/>
      <c r="AF19" s="25"/>
      <c r="AG19" s="25"/>
      <c r="AH19" s="25"/>
    </row>
    <row r="20" spans="1:34">
      <c r="A20" s="8" t="s">
        <v>9516</v>
      </c>
      <c r="B20" s="49"/>
      <c r="C20" s="733">
        <v>841.9</v>
      </c>
      <c r="D20" s="733">
        <v>601.29999999999995</v>
      </c>
      <c r="E20" s="733">
        <v>488.1</v>
      </c>
      <c r="F20" s="733">
        <v>238.5</v>
      </c>
      <c r="G20" s="733">
        <v>332.2</v>
      </c>
      <c r="H20" s="733">
        <v>31.3</v>
      </c>
      <c r="I20" s="744">
        <v>32.4</v>
      </c>
      <c r="J20" s="733">
        <v>7.4029999999999996</v>
      </c>
      <c r="K20" s="733">
        <v>23.902000000000001</v>
      </c>
      <c r="L20" s="733">
        <v>42.274000000000001</v>
      </c>
      <c r="M20" s="733">
        <v>69.525000000000006</v>
      </c>
      <c r="N20" s="733" t="s">
        <v>66</v>
      </c>
      <c r="O20" s="26"/>
      <c r="P20"/>
      <c r="Q20"/>
      <c r="AA20" s="25"/>
      <c r="AB20" s="25"/>
      <c r="AC20" s="25"/>
      <c r="AD20" s="25"/>
      <c r="AE20" s="25"/>
      <c r="AF20" s="25"/>
      <c r="AG20" s="25"/>
      <c r="AH20" s="25"/>
    </row>
    <row r="21" spans="1:34" customFormat="1" ht="12.95">
      <c r="B21" s="1"/>
      <c r="C21" s="708"/>
      <c r="D21" s="708"/>
      <c r="E21" s="708"/>
      <c r="F21" s="708"/>
      <c r="G21" s="708"/>
      <c r="H21" s="708"/>
      <c r="I21" s="708"/>
      <c r="J21" s="708"/>
      <c r="K21" s="708"/>
      <c r="L21" s="708"/>
      <c r="M21" s="708"/>
      <c r="N21" s="708"/>
    </row>
    <row r="22" spans="1:34">
      <c r="A22" s="20" t="s">
        <v>9289</v>
      </c>
      <c r="B22" s="706">
        <f>B23-C23</f>
        <v>-3888.4</v>
      </c>
      <c r="C22" s="706">
        <f>C23-D23</f>
        <v>-914.30000000000018</v>
      </c>
      <c r="D22" s="706">
        <f t="shared" ref="D22:K22" si="10">D23-E23</f>
        <v>114.29999999999995</v>
      </c>
      <c r="E22" s="706">
        <f>E23-F23</f>
        <v>-223.79999999999995</v>
      </c>
      <c r="F22" s="706">
        <f>F23-G23</f>
        <v>220.80000000000018</v>
      </c>
      <c r="G22" s="706">
        <f>G23-H23</f>
        <v>-26.5</v>
      </c>
      <c r="H22" s="706">
        <f t="shared" si="10"/>
        <v>-121.70000000000016</v>
      </c>
      <c r="I22" s="706">
        <f t="shared" si="10"/>
        <v>-48.499999999999886</v>
      </c>
      <c r="J22" s="706">
        <f>J23-K23</f>
        <v>-218.30000000000013</v>
      </c>
      <c r="K22" s="706">
        <f t="shared" si="10"/>
        <v>60.600000000000108</v>
      </c>
      <c r="L22" s="706">
        <f>L23-M23</f>
        <v>79.500000000000028</v>
      </c>
      <c r="M22" s="706">
        <f>M23-N23</f>
        <v>-57.700000000000102</v>
      </c>
      <c r="N22" s="706">
        <f>N23-O23</f>
        <v>184.70000000000005</v>
      </c>
      <c r="O22" s="32" t="s">
        <v>9517</v>
      </c>
      <c r="P22" t="s">
        <v>9518</v>
      </c>
      <c r="Q22"/>
      <c r="R22" s="20" t="s">
        <v>9510</v>
      </c>
      <c r="AA22" s="25"/>
      <c r="AB22" s="25"/>
      <c r="AC22" s="25"/>
      <c r="AD22" s="25"/>
      <c r="AE22" s="28"/>
      <c r="AF22" s="25"/>
      <c r="AG22" s="25"/>
      <c r="AH22" s="25"/>
    </row>
    <row r="23" spans="1:34">
      <c r="A23" s="24" t="s">
        <v>9519</v>
      </c>
      <c r="B23" s="362">
        <f>B27-B51-B28</f>
        <v>-4839.3</v>
      </c>
      <c r="C23" s="362">
        <f>C27-C42-C28</f>
        <v>-950.90000000000009</v>
      </c>
      <c r="D23" s="362">
        <f>D27-D42-D28</f>
        <v>-36.599999999999909</v>
      </c>
      <c r="E23" s="362">
        <f>E27-E42-E28</f>
        <v>-150.89999999999986</v>
      </c>
      <c r="F23" s="362">
        <f t="shared" ref="F23:N23" si="11">F27-F42-F28</f>
        <v>72.900000000000091</v>
      </c>
      <c r="G23" s="362">
        <f t="shared" si="11"/>
        <v>-147.90000000000009</v>
      </c>
      <c r="H23" s="362">
        <f t="shared" si="11"/>
        <v>-121.40000000000009</v>
      </c>
      <c r="I23" s="362">
        <f t="shared" si="11"/>
        <v>0.30000000000006821</v>
      </c>
      <c r="J23" s="362">
        <f t="shared" si="11"/>
        <v>48.799999999999955</v>
      </c>
      <c r="K23" s="362">
        <f t="shared" si="11"/>
        <v>267.10000000000008</v>
      </c>
      <c r="L23" s="362">
        <f t="shared" si="11"/>
        <v>206.49999999999997</v>
      </c>
      <c r="M23" s="362">
        <f t="shared" si="11"/>
        <v>126.99999999999994</v>
      </c>
      <c r="N23" s="362">
        <f t="shared" si="11"/>
        <v>184.70000000000005</v>
      </c>
      <c r="O23" s="32"/>
      <c r="P23"/>
      <c r="Q23"/>
      <c r="AA23" s="25"/>
      <c r="AB23" s="25"/>
      <c r="AC23" s="25"/>
      <c r="AD23" s="25"/>
      <c r="AE23" s="28"/>
      <c r="AF23" s="25"/>
      <c r="AG23" s="25"/>
      <c r="AH23" s="25"/>
    </row>
    <row r="24" spans="1:34">
      <c r="A24" s="5">
        <v>2625</v>
      </c>
      <c r="B24" s="302"/>
      <c r="C24" s="709">
        <v>2625</v>
      </c>
      <c r="D24" s="709">
        <v>2625</v>
      </c>
      <c r="E24" s="709">
        <v>2625</v>
      </c>
      <c r="F24" s="709">
        <v>2625</v>
      </c>
      <c r="G24" s="709">
        <v>2625</v>
      </c>
      <c r="H24" s="709">
        <v>2625</v>
      </c>
      <c r="I24" s="709">
        <v>2625</v>
      </c>
      <c r="J24" s="709">
        <v>2625</v>
      </c>
      <c r="K24" s="709">
        <v>2625</v>
      </c>
      <c r="L24" s="709">
        <v>2625</v>
      </c>
      <c r="M24" s="709">
        <v>2625</v>
      </c>
      <c r="N24" s="709">
        <v>2625</v>
      </c>
      <c r="O24" s="5">
        <v>2625</v>
      </c>
      <c r="P24"/>
      <c r="Q24"/>
      <c r="R24" s="20" t="s">
        <v>9510</v>
      </c>
      <c r="S24" s="20" t="s">
        <v>9520</v>
      </c>
      <c r="U24" s="20" t="s">
        <v>9521</v>
      </c>
      <c r="AA24" s="25">
        <v>1799</v>
      </c>
      <c r="AB24" s="25">
        <v>1757</v>
      </c>
      <c r="AC24" s="25">
        <v>1620</v>
      </c>
      <c r="AD24" s="25">
        <v>1111</v>
      </c>
      <c r="AE24" s="25">
        <v>1617</v>
      </c>
      <c r="AF24" s="25">
        <v>1159</v>
      </c>
      <c r="AG24" s="25">
        <v>1084</v>
      </c>
      <c r="AH24" s="25">
        <v>1029</v>
      </c>
    </row>
    <row r="25" spans="1:34">
      <c r="A25" s="49" t="s">
        <v>9040</v>
      </c>
      <c r="B25" s="99" t="s">
        <v>9522</v>
      </c>
      <c r="C25" s="709">
        <v>2625</v>
      </c>
      <c r="D25" s="709">
        <v>2625</v>
      </c>
      <c r="E25" s="709">
        <v>2625</v>
      </c>
      <c r="F25" s="709">
        <v>2625</v>
      </c>
      <c r="G25" s="709">
        <v>2625</v>
      </c>
      <c r="H25" s="709">
        <v>2625</v>
      </c>
      <c r="I25" s="709">
        <v>2625</v>
      </c>
      <c r="J25" s="709">
        <v>2625</v>
      </c>
      <c r="K25" s="709">
        <v>2625</v>
      </c>
      <c r="L25" s="709">
        <v>2625</v>
      </c>
      <c r="M25" s="709">
        <v>2625</v>
      </c>
      <c r="N25" s="709">
        <v>2625</v>
      </c>
      <c r="O25" s="5">
        <v>2625</v>
      </c>
      <c r="P25"/>
      <c r="Q25"/>
      <c r="R25" s="20" t="s">
        <v>9510</v>
      </c>
      <c r="S25" s="20" t="s">
        <v>9523</v>
      </c>
      <c r="T25" s="20" t="s">
        <v>9524</v>
      </c>
      <c r="U25" s="20" t="s">
        <v>9525</v>
      </c>
      <c r="AA25" s="25">
        <v>23</v>
      </c>
      <c r="AB25" s="25">
        <f>-33+2025</f>
        <v>1992</v>
      </c>
      <c r="AC25" s="25">
        <v>3817</v>
      </c>
      <c r="AD25" s="25">
        <v>1776</v>
      </c>
      <c r="AE25" s="25">
        <v>-244</v>
      </c>
      <c r="AF25" s="25">
        <v>-312</v>
      </c>
      <c r="AG25" s="25">
        <v>-449</v>
      </c>
      <c r="AH25" s="25">
        <v>-110</v>
      </c>
    </row>
    <row r="26" spans="1:34">
      <c r="A26" s="99" t="s">
        <v>9526</v>
      </c>
      <c r="B26" s="49"/>
      <c r="C26" s="710"/>
      <c r="D26" s="710"/>
      <c r="E26" s="710"/>
      <c r="F26" s="710"/>
      <c r="G26" s="710"/>
      <c r="H26" s="710"/>
      <c r="I26" s="710"/>
      <c r="J26" s="710"/>
      <c r="K26" s="710"/>
      <c r="L26" s="710"/>
      <c r="M26" s="710"/>
      <c r="N26" s="710"/>
      <c r="O26" s="5">
        <v>1922</v>
      </c>
      <c r="P26" s="5">
        <v>2625</v>
      </c>
      <c r="Q26"/>
      <c r="AA26" s="25"/>
      <c r="AB26" s="25"/>
      <c r="AC26" s="25"/>
      <c r="AD26" s="25"/>
      <c r="AE26" s="25"/>
      <c r="AF26" s="25"/>
      <c r="AG26" s="25"/>
      <c r="AH26" s="25"/>
    </row>
    <row r="27" spans="1:34">
      <c r="A27" s="8" t="s">
        <v>9527</v>
      </c>
      <c r="B27" s="49">
        <v>4752.7</v>
      </c>
      <c r="C27" s="707">
        <v>3810.4</v>
      </c>
      <c r="D27" s="707">
        <v>3600.6</v>
      </c>
      <c r="E27" s="707">
        <v>2740.4</v>
      </c>
      <c r="F27" s="707">
        <v>2769</v>
      </c>
      <c r="G27" s="707">
        <v>2220.9</v>
      </c>
      <c r="H27" s="707">
        <v>1716.8</v>
      </c>
      <c r="I27" s="707">
        <v>1538.7</v>
      </c>
      <c r="J27" s="707">
        <v>1270.5</v>
      </c>
      <c r="K27" s="707">
        <v>1046.9000000000001</v>
      </c>
      <c r="L27" s="707">
        <v>735.5</v>
      </c>
      <c r="M27" s="707">
        <v>569.29999999999995</v>
      </c>
      <c r="N27" s="707">
        <v>523.6</v>
      </c>
      <c r="O27" s="5"/>
      <c r="P27" s="5"/>
      <c r="Q27"/>
      <c r="AA27" s="25"/>
      <c r="AB27" s="25"/>
      <c r="AC27" s="25"/>
      <c r="AD27" s="25"/>
      <c r="AE27" s="25"/>
      <c r="AF27" s="25"/>
      <c r="AG27" s="25"/>
      <c r="AH27" s="25"/>
    </row>
    <row r="28" spans="1:34">
      <c r="A28" s="96" t="s">
        <v>311</v>
      </c>
      <c r="B28" s="62">
        <v>2186.8000000000002</v>
      </c>
      <c r="C28" s="362">
        <v>1682.9</v>
      </c>
      <c r="D28" s="362">
        <v>1319.1</v>
      </c>
      <c r="E28" s="362">
        <v>1061.8</v>
      </c>
      <c r="F28" s="362">
        <v>1222.5</v>
      </c>
      <c r="G28" s="362">
        <v>1112.4000000000001</v>
      </c>
      <c r="H28" s="362">
        <v>811</v>
      </c>
      <c r="I28" s="362">
        <v>709</v>
      </c>
      <c r="J28" s="362">
        <v>543</v>
      </c>
      <c r="K28" s="362">
        <v>283.3</v>
      </c>
      <c r="L28" s="362">
        <v>115.9</v>
      </c>
      <c r="M28" s="362">
        <v>123</v>
      </c>
      <c r="N28" s="362">
        <v>72</v>
      </c>
      <c r="O28" s="35" t="s">
        <v>9528</v>
      </c>
      <c r="P28" t="s">
        <v>311</v>
      </c>
      <c r="Q28"/>
      <c r="AA28" s="34"/>
      <c r="AB28" s="34"/>
      <c r="AC28" s="34"/>
      <c r="AD28" s="34"/>
      <c r="AE28" s="34"/>
      <c r="AF28" s="33"/>
      <c r="AG28" s="33"/>
      <c r="AH28" s="33"/>
    </row>
    <row r="29" spans="1:34">
      <c r="A29" s="97" t="s">
        <v>9298</v>
      </c>
      <c r="B29" s="61">
        <v>1013.8</v>
      </c>
      <c r="C29" s="362">
        <v>1261.7</v>
      </c>
      <c r="D29" s="362">
        <v>807.7</v>
      </c>
      <c r="E29" s="362">
        <v>720</v>
      </c>
      <c r="F29" s="362">
        <v>544.29999999999995</v>
      </c>
      <c r="G29" s="362">
        <v>444.5</v>
      </c>
      <c r="H29" s="362">
        <v>348.2</v>
      </c>
      <c r="I29" s="362">
        <v>313</v>
      </c>
      <c r="J29" s="362">
        <v>259.60000000000002</v>
      </c>
      <c r="K29" s="362">
        <v>184.7</v>
      </c>
      <c r="L29" s="362">
        <v>130.5</v>
      </c>
      <c r="M29" s="362">
        <v>107.6</v>
      </c>
      <c r="N29" s="362">
        <v>95.5</v>
      </c>
      <c r="O29" s="35" t="s">
        <v>9528</v>
      </c>
      <c r="P29" t="s">
        <v>9298</v>
      </c>
      <c r="Q29"/>
      <c r="AA29" s="34"/>
      <c r="AB29" s="34"/>
      <c r="AC29" s="34"/>
      <c r="AD29" s="34"/>
      <c r="AE29" s="34"/>
      <c r="AF29" s="33"/>
      <c r="AG29" s="33"/>
      <c r="AH29" s="33"/>
    </row>
    <row r="30" spans="1:34">
      <c r="A30" s="96" t="s">
        <v>313</v>
      </c>
      <c r="B30" s="62">
        <v>467.5</v>
      </c>
      <c r="C30" s="362">
        <v>264.60000000000002</v>
      </c>
      <c r="D30" s="362">
        <v>175.8</v>
      </c>
      <c r="E30" s="362">
        <v>139.80000000000001</v>
      </c>
      <c r="F30" s="362">
        <v>117.9</v>
      </c>
      <c r="G30" s="362">
        <v>90</v>
      </c>
      <c r="H30" s="362">
        <v>77.3</v>
      </c>
      <c r="I30" s="362">
        <v>106.9</v>
      </c>
      <c r="J30" s="362">
        <v>83.9</v>
      </c>
      <c r="K30" s="362">
        <v>69.5</v>
      </c>
      <c r="L30" s="362">
        <v>48.7</v>
      </c>
      <c r="M30" s="362">
        <v>21.1</v>
      </c>
      <c r="N30" s="362">
        <v>16.2</v>
      </c>
      <c r="O30" s="35" t="s">
        <v>9528</v>
      </c>
      <c r="P30" t="s">
        <v>313</v>
      </c>
      <c r="Q30"/>
      <c r="R30" s="20" t="s">
        <v>9529</v>
      </c>
      <c r="S30" s="20" t="s">
        <v>9530</v>
      </c>
      <c r="AA30" s="25">
        <v>7168</v>
      </c>
      <c r="AB30" s="25">
        <v>6460</v>
      </c>
      <c r="AC30" s="25">
        <v>7341</v>
      </c>
      <c r="AD30" s="25">
        <v>6081</v>
      </c>
      <c r="AE30" s="25">
        <v>5490</v>
      </c>
      <c r="AF30" s="25">
        <v>3057</v>
      </c>
      <c r="AG30" s="25">
        <v>3592</v>
      </c>
      <c r="AH30" s="25">
        <v>4867</v>
      </c>
    </row>
    <row r="31" spans="1:34" s="21" customFormat="1">
      <c r="A31" s="96" t="s">
        <v>9531</v>
      </c>
      <c r="B31" s="362">
        <f>B27-SUM(B28:B30)</f>
        <v>1084.5999999999995</v>
      </c>
      <c r="C31" s="362">
        <f>C27-SUM(C28:C30)</f>
        <v>601.19999999999982</v>
      </c>
      <c r="D31" s="362">
        <f t="shared" ref="D31:N31" si="12">D27-SUM(D28:D30)</f>
        <v>1297.9999999999995</v>
      </c>
      <c r="E31" s="362">
        <f t="shared" si="12"/>
        <v>818.80000000000018</v>
      </c>
      <c r="F31" s="362">
        <f t="shared" si="12"/>
        <v>884.3</v>
      </c>
      <c r="G31" s="362">
        <f t="shared" si="12"/>
        <v>574</v>
      </c>
      <c r="H31" s="362">
        <f t="shared" si="12"/>
        <v>480.29999999999995</v>
      </c>
      <c r="I31" s="362">
        <f t="shared" si="12"/>
        <v>409.79999999999995</v>
      </c>
      <c r="J31" s="362">
        <f t="shared" si="12"/>
        <v>384</v>
      </c>
      <c r="K31" s="362">
        <f t="shared" si="12"/>
        <v>509.40000000000009</v>
      </c>
      <c r="L31" s="362">
        <f t="shared" si="12"/>
        <v>440.4</v>
      </c>
      <c r="M31" s="362">
        <f t="shared" si="12"/>
        <v>317.59999999999997</v>
      </c>
      <c r="N31" s="362">
        <f t="shared" si="12"/>
        <v>339.90000000000003</v>
      </c>
      <c r="O31" s="35" t="s">
        <v>9528</v>
      </c>
      <c r="P31" t="s">
        <v>313</v>
      </c>
      <c r="Q31"/>
      <c r="R31" s="20" t="s">
        <v>9529</v>
      </c>
      <c r="S31" s="20" t="s">
        <v>9532</v>
      </c>
      <c r="T31" s="20" t="s">
        <v>9533</v>
      </c>
      <c r="U31" s="20" t="s">
        <v>9534</v>
      </c>
      <c r="V31" s="20"/>
      <c r="W31" s="20"/>
      <c r="X31" s="20"/>
      <c r="Y31" s="20"/>
      <c r="Z31" s="20"/>
      <c r="AA31" s="29">
        <f>5981+8522+1029+13556</f>
        <v>29088</v>
      </c>
      <c r="AB31" s="29">
        <f>6695+8991+1170+13651</f>
        <v>30507</v>
      </c>
      <c r="AC31" s="29">
        <f>7737+9027+1364+14644</f>
        <v>32772</v>
      </c>
      <c r="AD31" s="29">
        <v>33499</v>
      </c>
      <c r="AE31" s="29">
        <v>33911</v>
      </c>
      <c r="AF31" s="29">
        <v>31031</v>
      </c>
      <c r="AG31" s="29">
        <v>28849</v>
      </c>
      <c r="AH31" s="29">
        <v>27162</v>
      </c>
    </row>
    <row r="32" spans="1:34" s="21" customFormat="1">
      <c r="A32" s="8" t="s">
        <v>9535</v>
      </c>
      <c r="B32" s="707">
        <f>B38-B27</f>
        <v>2726.6000000000004</v>
      </c>
      <c r="C32" s="707">
        <f>C38-C27</f>
        <v>2417.6</v>
      </c>
      <c r="D32" s="707">
        <f t="shared" ref="D32:N32" si="13">D38-D27</f>
        <v>2318.5000000000005</v>
      </c>
      <c r="E32" s="707">
        <f t="shared" si="13"/>
        <v>1304.0999999999999</v>
      </c>
      <c r="F32" s="707">
        <f t="shared" si="13"/>
        <v>1116.5</v>
      </c>
      <c r="G32" s="707">
        <f t="shared" si="13"/>
        <v>857.09999999999991</v>
      </c>
      <c r="H32" s="707">
        <f t="shared" si="13"/>
        <v>541.10000000000014</v>
      </c>
      <c r="I32" s="707">
        <f t="shared" si="13"/>
        <v>601.20000000000005</v>
      </c>
      <c r="J32" s="707">
        <f t="shared" si="13"/>
        <v>520</v>
      </c>
      <c r="K32" s="707">
        <f t="shared" si="13"/>
        <v>377.89999999999986</v>
      </c>
      <c r="L32" s="707">
        <f t="shared" si="13"/>
        <v>433</v>
      </c>
      <c r="M32" s="707">
        <f t="shared" si="13"/>
        <v>406.20000000000005</v>
      </c>
      <c r="N32" s="707">
        <f t="shared" si="13"/>
        <v>211.10000000000002</v>
      </c>
      <c r="O32" s="35"/>
      <c r="P32"/>
      <c r="Q32"/>
      <c r="R32" s="20"/>
      <c r="S32" s="20"/>
      <c r="T32" s="20"/>
      <c r="U32" s="20"/>
      <c r="V32" s="20"/>
      <c r="W32" s="20"/>
      <c r="X32" s="20"/>
      <c r="Y32" s="20"/>
      <c r="Z32" s="20"/>
      <c r="AA32" s="29"/>
      <c r="AB32" s="29"/>
      <c r="AC32" s="29"/>
      <c r="AD32" s="29"/>
      <c r="AE32" s="29"/>
      <c r="AF32" s="29"/>
      <c r="AG32" s="29"/>
      <c r="AH32" s="29"/>
    </row>
    <row r="33" spans="1:34">
      <c r="A33" s="736" t="s">
        <v>9299</v>
      </c>
      <c r="B33" s="718">
        <v>1370.1</v>
      </c>
      <c r="C33" s="749">
        <v>1275</v>
      </c>
      <c r="D33" s="749">
        <v>964.4</v>
      </c>
      <c r="E33" s="749">
        <v>669.8</v>
      </c>
      <c r="F33" s="749">
        <v>525.6</v>
      </c>
      <c r="G33" s="749">
        <v>382.2</v>
      </c>
      <c r="H33" s="749">
        <v>340.6</v>
      </c>
      <c r="I33" s="749">
        <v>207.7</v>
      </c>
      <c r="J33" s="749">
        <v>140.1</v>
      </c>
      <c r="K33" s="749">
        <v>94.7</v>
      </c>
      <c r="L33" s="749">
        <v>78.5</v>
      </c>
      <c r="M33" s="749">
        <v>56.9</v>
      </c>
      <c r="N33" s="749">
        <v>31.8</v>
      </c>
      <c r="O33" s="35"/>
      <c r="P33"/>
      <c r="Q33"/>
      <c r="R33" s="20">
        <v>15.1</v>
      </c>
      <c r="S33" s="20" t="s">
        <v>9536</v>
      </c>
      <c r="AA33" s="25">
        <v>8614</v>
      </c>
      <c r="AB33" s="25">
        <v>9700</v>
      </c>
      <c r="AC33" s="25">
        <v>12205</v>
      </c>
      <c r="AD33" s="25">
        <v>12625</v>
      </c>
      <c r="AE33" s="25">
        <v>15547</v>
      </c>
      <c r="AF33" s="25">
        <v>14544</v>
      </c>
      <c r="AG33" s="25">
        <v>9587</v>
      </c>
      <c r="AH33" s="25">
        <v>6360</v>
      </c>
    </row>
    <row r="34" spans="1:34">
      <c r="A34" s="98" t="s">
        <v>9537</v>
      </c>
      <c r="B34" s="719">
        <v>14.3</v>
      </c>
      <c r="C34" s="733">
        <v>96.3</v>
      </c>
      <c r="D34" s="733">
        <v>65.099999999999994</v>
      </c>
      <c r="E34" s="733">
        <v>49.3</v>
      </c>
      <c r="F34" s="733">
        <v>44.3</v>
      </c>
      <c r="G34" s="733">
        <v>0</v>
      </c>
      <c r="H34" s="733">
        <v>0</v>
      </c>
      <c r="I34" s="733">
        <v>0</v>
      </c>
      <c r="J34" s="733">
        <v>0</v>
      </c>
      <c r="K34" s="733">
        <v>0</v>
      </c>
      <c r="L34" s="733">
        <v>0</v>
      </c>
      <c r="M34" s="733">
        <v>0</v>
      </c>
      <c r="N34" s="733">
        <v>0</v>
      </c>
      <c r="O34" s="35"/>
      <c r="P34"/>
      <c r="Q34"/>
      <c r="AA34" s="25"/>
      <c r="AB34" s="25"/>
      <c r="AC34" s="25"/>
      <c r="AD34" s="25"/>
      <c r="AE34" s="25"/>
      <c r="AF34" s="25"/>
      <c r="AG34" s="25"/>
      <c r="AH34" s="25"/>
    </row>
    <row r="35" spans="1:34">
      <c r="A35" s="736" t="s">
        <v>9538</v>
      </c>
      <c r="B35" s="854">
        <v>-32.6</v>
      </c>
      <c r="C35" s="749">
        <v>-68.099999999999994</v>
      </c>
      <c r="D35" s="749">
        <v>-7.6</v>
      </c>
      <c r="E35" s="749">
        <v>0</v>
      </c>
      <c r="F35" s="749">
        <v>0</v>
      </c>
      <c r="G35" s="749">
        <v>0</v>
      </c>
      <c r="H35" s="749">
        <v>0</v>
      </c>
      <c r="I35" s="749">
        <v>0</v>
      </c>
      <c r="J35" s="749">
        <v>0</v>
      </c>
      <c r="K35" s="749">
        <v>0</v>
      </c>
      <c r="L35" s="749">
        <v>0</v>
      </c>
      <c r="M35" s="749">
        <v>0</v>
      </c>
      <c r="N35" s="749">
        <v>0</v>
      </c>
      <c r="O35" s="35"/>
      <c r="P35"/>
      <c r="Q35"/>
      <c r="AA35" s="25"/>
      <c r="AB35" s="25"/>
      <c r="AC35" s="25"/>
      <c r="AD35" s="25"/>
      <c r="AE35" s="25"/>
      <c r="AF35" s="25"/>
      <c r="AG35" s="25"/>
      <c r="AH35" s="25"/>
    </row>
    <row r="36" spans="1:34">
      <c r="A36" s="98" t="s">
        <v>9539</v>
      </c>
      <c r="B36" s="733">
        <f>B32-SUM(B33:B35)</f>
        <v>1374.8000000000004</v>
      </c>
      <c r="C36" s="733">
        <f>C32-SUM(C33:C35)</f>
        <v>1114.3999999999999</v>
      </c>
      <c r="D36" s="733">
        <f t="shared" ref="D36" si="14">D32-SUM(D33:D35)</f>
        <v>1296.6000000000004</v>
      </c>
      <c r="E36" s="733">
        <f t="shared" ref="E36" si="15">E32-SUM(E33:E35)</f>
        <v>585</v>
      </c>
      <c r="F36" s="733">
        <f>F32-SUM(F33:F35)</f>
        <v>546.6</v>
      </c>
      <c r="G36" s="733">
        <f t="shared" ref="G36" si="16">G32-SUM(G33:G35)</f>
        <v>474.89999999999992</v>
      </c>
      <c r="H36" s="733">
        <f t="shared" ref="H36" si="17">H32-SUM(H33:H35)</f>
        <v>200.50000000000011</v>
      </c>
      <c r="I36" s="733">
        <f t="shared" ref="I36" si="18">I32-SUM(I33:I35)</f>
        <v>393.50000000000006</v>
      </c>
      <c r="J36" s="733">
        <f t="shared" ref="J36" si="19">J32-SUM(J33:J35)</f>
        <v>379.9</v>
      </c>
      <c r="K36" s="733">
        <f t="shared" ref="K36" si="20">K32-SUM(K33:K35)</f>
        <v>283.19999999999987</v>
      </c>
      <c r="L36" s="733">
        <f t="shared" ref="L36" si="21">L32-SUM(L33:L35)</f>
        <v>354.5</v>
      </c>
      <c r="M36" s="733">
        <f t="shared" ref="M36" si="22">M32-SUM(M33:M35)</f>
        <v>349.30000000000007</v>
      </c>
      <c r="N36" s="733">
        <f t="shared" ref="N36" si="23">N32-SUM(N33:N35)</f>
        <v>179.3</v>
      </c>
      <c r="O36" s="35" t="s">
        <v>9528</v>
      </c>
      <c r="P36" t="s">
        <v>9299</v>
      </c>
      <c r="Q36"/>
      <c r="AA36" s="25"/>
      <c r="AB36" s="25"/>
      <c r="AC36" s="25"/>
      <c r="AD36" s="25"/>
      <c r="AE36" s="25"/>
      <c r="AF36" s="25"/>
      <c r="AG36" s="25"/>
      <c r="AH36" s="25"/>
    </row>
    <row r="37" spans="1:34">
      <c r="A37" s="20" t="s">
        <v>9300</v>
      </c>
      <c r="B37" s="706">
        <f>B31+B36</f>
        <v>2459.3999999999996</v>
      </c>
      <c r="C37" s="706">
        <f>C31+C36</f>
        <v>1715.5999999999997</v>
      </c>
      <c r="D37" s="706">
        <f>D31+D36</f>
        <v>2594.6</v>
      </c>
      <c r="E37" s="706">
        <f t="shared" ref="E37:N37" si="24">E31+E36</f>
        <v>1403.8000000000002</v>
      </c>
      <c r="F37" s="706">
        <f t="shared" si="24"/>
        <v>1430.9</v>
      </c>
      <c r="G37" s="706">
        <f t="shared" si="24"/>
        <v>1048.8999999999999</v>
      </c>
      <c r="H37" s="706">
        <f t="shared" si="24"/>
        <v>680.80000000000007</v>
      </c>
      <c r="I37" s="706">
        <f t="shared" si="24"/>
        <v>803.3</v>
      </c>
      <c r="J37" s="706">
        <f t="shared" si="24"/>
        <v>763.9</v>
      </c>
      <c r="K37" s="706">
        <f t="shared" si="24"/>
        <v>792.59999999999991</v>
      </c>
      <c r="L37" s="706">
        <f t="shared" si="24"/>
        <v>794.9</v>
      </c>
      <c r="M37" s="706">
        <f t="shared" si="24"/>
        <v>666.90000000000009</v>
      </c>
      <c r="N37" s="706">
        <f t="shared" si="24"/>
        <v>519.20000000000005</v>
      </c>
      <c r="O37" s="35" t="s">
        <v>9528</v>
      </c>
      <c r="P37"/>
      <c r="Q37"/>
      <c r="AA37" s="25"/>
      <c r="AB37" s="25"/>
      <c r="AC37" s="25"/>
      <c r="AD37" s="25"/>
      <c r="AE37" s="25"/>
      <c r="AF37" s="25"/>
      <c r="AG37" s="25"/>
      <c r="AH37" s="25"/>
    </row>
    <row r="38" spans="1:34">
      <c r="A38" s="8" t="s">
        <v>38</v>
      </c>
      <c r="B38" s="49">
        <v>7479.3</v>
      </c>
      <c r="C38" s="707">
        <v>6228</v>
      </c>
      <c r="D38" s="707">
        <v>5919.1</v>
      </c>
      <c r="E38" s="707">
        <v>4044.5</v>
      </c>
      <c r="F38" s="707">
        <v>3885.5</v>
      </c>
      <c r="G38" s="707">
        <v>3078</v>
      </c>
      <c r="H38" s="707">
        <v>2257.9</v>
      </c>
      <c r="I38" s="707">
        <v>2139.9</v>
      </c>
      <c r="J38" s="707">
        <v>1790.5</v>
      </c>
      <c r="K38" s="707">
        <v>1424.8</v>
      </c>
      <c r="L38" s="707">
        <v>1168.5</v>
      </c>
      <c r="M38" s="707">
        <v>975.5</v>
      </c>
      <c r="N38" s="707">
        <v>734.7</v>
      </c>
      <c r="O38" s="35" t="s">
        <v>9528</v>
      </c>
      <c r="P38" t="s">
        <v>38</v>
      </c>
      <c r="Q38"/>
      <c r="R38" s="20" t="s">
        <v>9529</v>
      </c>
      <c r="S38" s="20" t="s">
        <v>9540</v>
      </c>
      <c r="AA38" s="25">
        <v>15322</v>
      </c>
      <c r="AB38" s="25">
        <v>16090</v>
      </c>
      <c r="AC38" s="25">
        <f>16577</f>
        <v>16577</v>
      </c>
      <c r="AD38" s="25">
        <v>17075</v>
      </c>
      <c r="AE38" s="25">
        <v>16461</v>
      </c>
      <c r="AF38" s="25">
        <v>14395</v>
      </c>
      <c r="AG38" s="25">
        <v>12539</v>
      </c>
      <c r="AH38" s="25">
        <v>12386</v>
      </c>
    </row>
    <row r="39" spans="1:34">
      <c r="A39" s="20" t="s">
        <v>9541</v>
      </c>
      <c r="C39" s="706"/>
      <c r="D39" s="706"/>
      <c r="E39" s="706"/>
      <c r="F39" s="706"/>
      <c r="G39" s="706"/>
      <c r="H39" s="706"/>
      <c r="I39" s="706"/>
      <c r="J39" s="706"/>
      <c r="K39" s="706"/>
      <c r="L39" s="706"/>
      <c r="M39" s="706"/>
      <c r="N39" s="706"/>
      <c r="O39" s="35" t="s">
        <v>9528</v>
      </c>
      <c r="P39"/>
      <c r="Q39"/>
      <c r="AA39" s="22">
        <f t="shared" ref="AA39:AH39" si="25">AA40-SUM(AA30:AA38)</f>
        <v>14512</v>
      </c>
      <c r="AB39" s="22">
        <f t="shared" si="25"/>
        <v>15585</v>
      </c>
      <c r="AC39" s="22">
        <f t="shared" si="25"/>
        <v>15786</v>
      </c>
      <c r="AD39" s="22">
        <f t="shared" si="25"/>
        <v>15616</v>
      </c>
      <c r="AE39" s="22">
        <f t="shared" si="25"/>
        <v>17947</v>
      </c>
      <c r="AF39" s="22">
        <f t="shared" si="25"/>
        <v>18419</v>
      </c>
      <c r="AG39" s="22">
        <f t="shared" si="25"/>
        <v>9453</v>
      </c>
      <c r="AH39" s="22">
        <f t="shared" si="25"/>
        <v>9263</v>
      </c>
    </row>
    <row r="40" spans="1:34">
      <c r="C40" s="706"/>
      <c r="D40" s="706"/>
      <c r="E40" s="706"/>
      <c r="F40" s="706"/>
      <c r="G40" s="706"/>
      <c r="H40" s="706"/>
      <c r="I40" s="706"/>
      <c r="J40" s="706"/>
      <c r="K40" s="706"/>
      <c r="L40" s="706"/>
      <c r="M40" s="706"/>
      <c r="N40" s="706"/>
      <c r="O40" s="35" t="s">
        <v>9528</v>
      </c>
      <c r="P40"/>
      <c r="Q40"/>
      <c r="R40" s="20" t="s">
        <v>9529</v>
      </c>
      <c r="S40" s="20" t="s">
        <v>9542</v>
      </c>
      <c r="AA40" s="36">
        <v>74704</v>
      </c>
      <c r="AB40" s="36">
        <v>78342</v>
      </c>
      <c r="AC40" s="36">
        <v>84681</v>
      </c>
      <c r="AD40" s="36">
        <v>84896</v>
      </c>
      <c r="AE40" s="36">
        <v>89356</v>
      </c>
      <c r="AF40" s="36">
        <v>81446</v>
      </c>
      <c r="AG40" s="36">
        <v>64020</v>
      </c>
      <c r="AH40" s="36">
        <v>60038</v>
      </c>
    </row>
    <row r="41" spans="1:34">
      <c r="A41" s="99" t="s">
        <v>9543</v>
      </c>
      <c r="B41" s="49"/>
      <c r="C41" s="707"/>
      <c r="D41" s="711"/>
      <c r="E41" s="707"/>
      <c r="F41" s="707"/>
      <c r="G41" s="707"/>
      <c r="H41" s="707"/>
      <c r="I41" s="707"/>
      <c r="J41" s="707"/>
      <c r="K41" s="707"/>
      <c r="L41" s="707"/>
      <c r="M41" s="707"/>
      <c r="N41" s="707"/>
      <c r="O41" s="35" t="s">
        <v>9528</v>
      </c>
      <c r="P41"/>
      <c r="Q41"/>
      <c r="AA41" s="27"/>
      <c r="AB41" s="27"/>
      <c r="AC41" s="27"/>
      <c r="AD41" s="27"/>
      <c r="AE41" s="27"/>
      <c r="AF41" s="27"/>
      <c r="AG41" s="27"/>
      <c r="AH41" s="27"/>
    </row>
    <row r="42" spans="1:34">
      <c r="A42" s="8" t="s">
        <v>317</v>
      </c>
      <c r="B42" s="712">
        <v>3649</v>
      </c>
      <c r="C42" s="712">
        <v>3078.4</v>
      </c>
      <c r="D42" s="707">
        <v>2318.1</v>
      </c>
      <c r="E42" s="707">
        <v>1829.5</v>
      </c>
      <c r="F42" s="707" t="s">
        <v>9544</v>
      </c>
      <c r="G42" s="707" t="s">
        <v>9545</v>
      </c>
      <c r="H42" s="707" t="s">
        <v>9546</v>
      </c>
      <c r="I42" s="707" t="s">
        <v>9547</v>
      </c>
      <c r="J42" s="707" t="s">
        <v>9548</v>
      </c>
      <c r="K42" s="707" t="s">
        <v>9549</v>
      </c>
      <c r="L42" s="707" t="s">
        <v>9550</v>
      </c>
      <c r="M42" s="707">
        <v>319.3</v>
      </c>
      <c r="N42" s="707">
        <v>266.89999999999998</v>
      </c>
      <c r="O42" s="35" t="s">
        <v>9528</v>
      </c>
      <c r="P42" t="s">
        <v>317</v>
      </c>
      <c r="Q42"/>
      <c r="AA42" s="27"/>
      <c r="AB42" s="27"/>
      <c r="AC42" s="27"/>
      <c r="AD42" s="27"/>
      <c r="AE42" s="27"/>
      <c r="AF42" s="27"/>
      <c r="AG42" s="27"/>
      <c r="AH42" s="27"/>
    </row>
    <row r="43" spans="1:34">
      <c r="A43" s="96" t="s">
        <v>9551</v>
      </c>
      <c r="B43" s="62">
        <v>253.9</v>
      </c>
      <c r="C43" s="705">
        <v>243.4</v>
      </c>
      <c r="D43" s="362">
        <v>148.4</v>
      </c>
      <c r="E43" s="362">
        <v>141.6</v>
      </c>
      <c r="F43" s="362">
        <v>96.4</v>
      </c>
      <c r="G43" s="362">
        <v>86.4</v>
      </c>
      <c r="H43" s="362">
        <v>70</v>
      </c>
      <c r="I43" s="362">
        <v>56.7</v>
      </c>
      <c r="J43" s="362">
        <v>61.5</v>
      </c>
      <c r="K43" s="362">
        <v>49.9</v>
      </c>
      <c r="L43" s="362">
        <v>35.6</v>
      </c>
      <c r="M43" s="362">
        <v>20.8</v>
      </c>
      <c r="N43" s="362">
        <v>19.8</v>
      </c>
      <c r="O43" s="35"/>
      <c r="P43"/>
      <c r="Q43"/>
      <c r="AA43" s="34"/>
      <c r="AB43" s="34"/>
      <c r="AC43" s="34"/>
      <c r="AD43" s="34"/>
      <c r="AE43" s="34"/>
      <c r="AF43" s="33"/>
      <c r="AG43" s="33"/>
      <c r="AH43" s="33"/>
    </row>
    <row r="44" spans="1:34" s="8" customFormat="1">
      <c r="A44" s="24" t="s">
        <v>9302</v>
      </c>
      <c r="B44" s="62">
        <v>0</v>
      </c>
      <c r="C44" s="705">
        <v>0</v>
      </c>
      <c r="D44" s="362">
        <v>0</v>
      </c>
      <c r="E44" s="362">
        <v>0</v>
      </c>
      <c r="F44" s="362">
        <v>0</v>
      </c>
      <c r="G44" s="362">
        <v>0</v>
      </c>
      <c r="H44" s="362">
        <v>0</v>
      </c>
      <c r="I44" s="362">
        <v>0</v>
      </c>
      <c r="J44" s="362">
        <v>0</v>
      </c>
      <c r="K44" s="362">
        <v>0</v>
      </c>
      <c r="L44" s="362">
        <v>0</v>
      </c>
      <c r="M44" s="362">
        <v>0</v>
      </c>
      <c r="N44" s="362">
        <v>0</v>
      </c>
      <c r="O44" s="35" t="s">
        <v>9528</v>
      </c>
      <c r="P44" t="s">
        <v>9552</v>
      </c>
      <c r="Q44"/>
      <c r="R44" s="20" t="s">
        <v>9529</v>
      </c>
      <c r="S44" s="8" t="s">
        <v>9553</v>
      </c>
      <c r="AA44" s="36">
        <v>26132</v>
      </c>
      <c r="AB44" s="36">
        <v>26242</v>
      </c>
      <c r="AC44" s="36">
        <v>27877</v>
      </c>
      <c r="AD44" s="36">
        <v>27297</v>
      </c>
      <c r="AE44" s="36">
        <v>29415</v>
      </c>
      <c r="AF44" s="36">
        <f>93+3895+8161+3386+2410+2691+298+1967+558+5102</f>
        <v>28561</v>
      </c>
      <c r="AG44" s="36">
        <f>204+3852+5856+2880+1670+1831+281+1521+495+3430</f>
        <v>22020</v>
      </c>
      <c r="AH44" s="36">
        <f>433+3650+2993+3351+797+1217+262+888+302+5399</f>
        <v>19292</v>
      </c>
    </row>
    <row r="45" spans="1:34" s="8" customFormat="1">
      <c r="A45" s="701" t="s">
        <v>9303</v>
      </c>
      <c r="B45" s="719">
        <v>0</v>
      </c>
      <c r="C45" s="713">
        <v>33.200000000000003</v>
      </c>
      <c r="D45" s="714">
        <v>26.3</v>
      </c>
      <c r="E45" s="714">
        <v>19.100000000000001</v>
      </c>
      <c r="F45" s="714">
        <v>15.5</v>
      </c>
      <c r="G45" s="714">
        <v>0</v>
      </c>
      <c r="H45" s="714">
        <v>0</v>
      </c>
      <c r="I45" s="714">
        <v>0</v>
      </c>
      <c r="J45" s="714">
        <v>0</v>
      </c>
      <c r="K45" s="714">
        <v>0</v>
      </c>
      <c r="L45" s="714">
        <v>0</v>
      </c>
      <c r="M45" s="714">
        <v>0</v>
      </c>
      <c r="N45" s="714">
        <v>0</v>
      </c>
      <c r="O45" s="35"/>
      <c r="P45"/>
      <c r="Q45"/>
      <c r="R45" s="20"/>
      <c r="AA45" s="36"/>
      <c r="AB45" s="36"/>
      <c r="AC45" s="36"/>
      <c r="AD45" s="36"/>
      <c r="AE45" s="36"/>
      <c r="AF45" s="36"/>
      <c r="AG45" s="36"/>
      <c r="AH45" s="36"/>
    </row>
    <row r="46" spans="1:34">
      <c r="A46" s="96" t="s">
        <v>9304</v>
      </c>
      <c r="B46" s="705">
        <f>B42-SUM(B43:B45)</f>
        <v>3395.1</v>
      </c>
      <c r="C46" s="705">
        <f>C42-SUM(C43:C45)</f>
        <v>2801.8</v>
      </c>
      <c r="D46" s="362">
        <f>D42-SUM(D43:D45)</f>
        <v>2143.4</v>
      </c>
      <c r="E46" s="362">
        <f t="shared" ref="E46:L46" si="26">E42-SUM(E43:E45)</f>
        <v>1668.8</v>
      </c>
      <c r="F46" s="362">
        <f>F42-SUM(F43:F45)</f>
        <v>1361.6999999999998</v>
      </c>
      <c r="G46" s="362">
        <f t="shared" si="26"/>
        <v>1170</v>
      </c>
      <c r="H46" s="362">
        <f t="shared" si="26"/>
        <v>957.2</v>
      </c>
      <c r="I46" s="362">
        <f t="shared" si="26"/>
        <v>772.69999999999993</v>
      </c>
      <c r="J46" s="362">
        <f t="shared" si="26"/>
        <v>617.20000000000005</v>
      </c>
      <c r="K46" s="362">
        <f t="shared" si="26"/>
        <v>446.6</v>
      </c>
      <c r="L46" s="362">
        <f t="shared" si="26"/>
        <v>377.5</v>
      </c>
      <c r="M46" s="362">
        <f t="shared" ref="M46:N46" si="27">M42-SUM(M43:M45)</f>
        <v>298.5</v>
      </c>
      <c r="N46" s="362">
        <f t="shared" si="27"/>
        <v>247.09999999999997</v>
      </c>
      <c r="O46" s="35" t="s">
        <v>9528</v>
      </c>
      <c r="P46"/>
      <c r="Q46"/>
      <c r="S46" s="20" t="s">
        <v>9554</v>
      </c>
      <c r="AA46" s="29">
        <v>7303</v>
      </c>
      <c r="AB46" s="29">
        <v>6967</v>
      </c>
      <c r="AC46" s="29">
        <v>4708</v>
      </c>
      <c r="AD46" s="29">
        <v>3679</v>
      </c>
      <c r="AE46" s="29">
        <v>5287</v>
      </c>
      <c r="AF46" s="29">
        <v>5660</v>
      </c>
      <c r="AG46" s="29">
        <v>3925</v>
      </c>
      <c r="AH46" s="29">
        <v>5701</v>
      </c>
    </row>
    <row r="47" spans="1:34">
      <c r="A47" s="8" t="s">
        <v>9305</v>
      </c>
      <c r="B47" s="712">
        <f>B51-B42</f>
        <v>3756.2</v>
      </c>
      <c r="C47" s="712">
        <f>C51-C42</f>
        <v>3431.2000000000003</v>
      </c>
      <c r="D47" s="707">
        <f>D51-D42</f>
        <v>2819.2999999999997</v>
      </c>
      <c r="E47" s="707">
        <f>E51-E42</f>
        <v>1359</v>
      </c>
      <c r="F47" s="707">
        <f t="shared" ref="F47:L47" si="28">F51-F42</f>
        <v>1090</v>
      </c>
      <c r="G47" s="707">
        <f t="shared" si="28"/>
        <v>811.40000000000009</v>
      </c>
      <c r="H47" s="707">
        <f t="shared" si="28"/>
        <v>641.29999999999995</v>
      </c>
      <c r="I47" s="707">
        <f t="shared" si="28"/>
        <v>472.9</v>
      </c>
      <c r="J47" s="707">
        <f t="shared" si="28"/>
        <v>356.39999999999986</v>
      </c>
      <c r="K47" s="707">
        <f t="shared" si="28"/>
        <v>252.29999999999995</v>
      </c>
      <c r="L47" s="707">
        <f t="shared" si="28"/>
        <v>169.60000000000002</v>
      </c>
      <c r="M47" s="707">
        <f t="shared" ref="M47:N47" si="29">M51-M42</f>
        <v>145.09999999999997</v>
      </c>
      <c r="N47" s="707">
        <f t="shared" si="29"/>
        <v>109.5</v>
      </c>
      <c r="O47" s="35" t="s">
        <v>9528</v>
      </c>
      <c r="P47" t="s">
        <v>9555</v>
      </c>
      <c r="Q47"/>
      <c r="AA47" s="29"/>
      <c r="AB47" s="29"/>
      <c r="AC47" s="29"/>
      <c r="AD47" s="29"/>
      <c r="AE47" s="29"/>
      <c r="AF47" s="29"/>
      <c r="AG47" s="29"/>
      <c r="AH47" s="29"/>
    </row>
    <row r="48" spans="1:34">
      <c r="A48" s="737" t="s">
        <v>9306</v>
      </c>
      <c r="B48" s="718">
        <v>991.8</v>
      </c>
      <c r="C48" s="735">
        <v>990.4</v>
      </c>
      <c r="D48" s="733">
        <v>988.4</v>
      </c>
      <c r="E48" s="733">
        <v>0</v>
      </c>
      <c r="F48" s="733">
        <v>0</v>
      </c>
      <c r="G48" s="733">
        <v>0</v>
      </c>
      <c r="H48" s="733">
        <v>0</v>
      </c>
      <c r="I48" s="733">
        <v>0</v>
      </c>
      <c r="J48" s="733">
        <v>0</v>
      </c>
      <c r="K48" s="733">
        <v>0</v>
      </c>
      <c r="L48" s="733">
        <v>0</v>
      </c>
      <c r="M48" s="733">
        <v>0</v>
      </c>
      <c r="N48" s="733">
        <v>0</v>
      </c>
      <c r="O48" s="35" t="s">
        <v>9528</v>
      </c>
      <c r="P48" t="s">
        <v>9556</v>
      </c>
      <c r="Q48"/>
      <c r="AA48" s="22">
        <f t="shared" ref="AA48:AH48" si="30">AA44-AA46</f>
        <v>18829</v>
      </c>
      <c r="AB48" s="22">
        <f t="shared" si="30"/>
        <v>19275</v>
      </c>
      <c r="AC48" s="22">
        <f t="shared" si="30"/>
        <v>23169</v>
      </c>
      <c r="AD48" s="22">
        <f t="shared" si="30"/>
        <v>23618</v>
      </c>
      <c r="AE48" s="22">
        <f t="shared" si="30"/>
        <v>24128</v>
      </c>
      <c r="AF48" s="22">
        <f t="shared" si="30"/>
        <v>22901</v>
      </c>
      <c r="AG48" s="22">
        <f t="shared" si="30"/>
        <v>18095</v>
      </c>
      <c r="AH48" s="22">
        <f t="shared" si="30"/>
        <v>13591</v>
      </c>
    </row>
    <row r="49" spans="1:34" s="8" customFormat="1">
      <c r="A49" s="737" t="s">
        <v>9307</v>
      </c>
      <c r="B49" s="735">
        <v>62.5</v>
      </c>
      <c r="C49" s="735">
        <v>62.5</v>
      </c>
      <c r="D49" s="733">
        <v>40.5</v>
      </c>
      <c r="E49" s="733">
        <v>34</v>
      </c>
      <c r="F49" s="733">
        <v>30.6</v>
      </c>
      <c r="G49" s="733">
        <v>0</v>
      </c>
      <c r="H49" s="733">
        <v>0</v>
      </c>
      <c r="I49" s="733">
        <v>0</v>
      </c>
      <c r="J49" s="733">
        <v>0</v>
      </c>
      <c r="K49" s="733">
        <v>0</v>
      </c>
      <c r="L49" s="733">
        <v>0</v>
      </c>
      <c r="M49" s="733">
        <v>0</v>
      </c>
      <c r="N49" s="733">
        <v>0</v>
      </c>
      <c r="O49" s="35"/>
      <c r="P49"/>
      <c r="Q49"/>
      <c r="R49" s="20" t="s">
        <v>9529</v>
      </c>
      <c r="S49" s="8" t="s">
        <v>9557</v>
      </c>
      <c r="AA49" s="36">
        <f>61491-AA44</f>
        <v>35359</v>
      </c>
      <c r="AB49" s="36">
        <f>63457-AB44</f>
        <v>37215</v>
      </c>
      <c r="AC49" s="36">
        <f>67855-AC44</f>
        <v>39978</v>
      </c>
      <c r="AD49" s="36">
        <v>36721</v>
      </c>
      <c r="AE49" s="36">
        <v>41973</v>
      </c>
      <c r="AF49" s="36">
        <f>8415+16529+10956+3583</f>
        <v>39483</v>
      </c>
      <c r="AG49" s="36">
        <f>4505+15932+7584+2654</f>
        <v>30675</v>
      </c>
      <c r="AH49" s="36">
        <f>5652+16195+7420+2179</f>
        <v>31446</v>
      </c>
    </row>
    <row r="50" spans="1:34">
      <c r="A50" s="98" t="s">
        <v>9308</v>
      </c>
      <c r="B50" s="735">
        <f>B47-SUM(B48:B49)</f>
        <v>2701.8999999999996</v>
      </c>
      <c r="C50" s="735">
        <f>C47-SUM(C48:C49)</f>
        <v>2378.3000000000002</v>
      </c>
      <c r="D50" s="733">
        <f t="shared" ref="D50:L50" si="31">D47-SUM(D48:D49)</f>
        <v>1790.3999999999996</v>
      </c>
      <c r="E50" s="733">
        <f t="shared" si="31"/>
        <v>1325</v>
      </c>
      <c r="F50" s="733">
        <f t="shared" si="31"/>
        <v>1059.4000000000001</v>
      </c>
      <c r="G50" s="733">
        <f t="shared" si="31"/>
        <v>811.40000000000009</v>
      </c>
      <c r="H50" s="733">
        <f t="shared" si="31"/>
        <v>641.29999999999995</v>
      </c>
      <c r="I50" s="733">
        <f t="shared" si="31"/>
        <v>472.9</v>
      </c>
      <c r="J50" s="733">
        <f t="shared" si="31"/>
        <v>356.39999999999986</v>
      </c>
      <c r="K50" s="733">
        <f t="shared" si="31"/>
        <v>252.29999999999995</v>
      </c>
      <c r="L50" s="733">
        <f t="shared" si="31"/>
        <v>169.60000000000002</v>
      </c>
      <c r="M50" s="733">
        <f t="shared" ref="M50:N50" si="32">M47-SUM(M48:M49)</f>
        <v>145.09999999999997</v>
      </c>
      <c r="N50" s="733">
        <f t="shared" si="32"/>
        <v>109.5</v>
      </c>
      <c r="O50" s="35" t="s">
        <v>9528</v>
      </c>
      <c r="P50" t="s">
        <v>9558</v>
      </c>
      <c r="Q50"/>
      <c r="S50" s="20" t="s">
        <v>9559</v>
      </c>
      <c r="AA50" s="25">
        <v>22818</v>
      </c>
      <c r="AB50" s="25">
        <v>25169</v>
      </c>
      <c r="AC50" s="25">
        <v>27784</v>
      </c>
      <c r="AD50" s="25">
        <v>26719</v>
      </c>
      <c r="AE50" s="25">
        <v>27752</v>
      </c>
      <c r="AF50" s="25">
        <v>24944</v>
      </c>
      <c r="AG50" s="25">
        <v>20437</v>
      </c>
      <c r="AH50" s="25">
        <v>21847</v>
      </c>
    </row>
    <row r="51" spans="1:34">
      <c r="A51" s="8" t="s">
        <v>44</v>
      </c>
      <c r="B51" s="49">
        <v>7405.2</v>
      </c>
      <c r="C51" s="712" t="s">
        <v>9560</v>
      </c>
      <c r="D51" s="707" t="s">
        <v>9561</v>
      </c>
      <c r="E51" s="707" t="s">
        <v>9562</v>
      </c>
      <c r="F51" s="707" t="s">
        <v>9563</v>
      </c>
      <c r="G51" s="707" t="s">
        <v>9564</v>
      </c>
      <c r="H51" s="707" t="s">
        <v>9565</v>
      </c>
      <c r="I51" s="707" t="s">
        <v>9566</v>
      </c>
      <c r="J51" s="707" t="s">
        <v>9567</v>
      </c>
      <c r="K51" s="707" t="s">
        <v>9568</v>
      </c>
      <c r="L51" s="707" t="s">
        <v>9569</v>
      </c>
      <c r="M51" s="707">
        <v>464.4</v>
      </c>
      <c r="N51" s="707">
        <v>376.4</v>
      </c>
      <c r="O51" s="35" t="s">
        <v>9528</v>
      </c>
      <c r="P51" t="s">
        <v>44</v>
      </c>
      <c r="Q51"/>
      <c r="AA51" s="25"/>
      <c r="AB51" s="25"/>
      <c r="AC51" s="25"/>
      <c r="AD51" s="25"/>
      <c r="AE51" s="25"/>
      <c r="AF51" s="25"/>
      <c r="AG51" s="25"/>
      <c r="AH51" s="25"/>
    </row>
    <row r="52" spans="1:34">
      <c r="C52" s="706"/>
      <c r="D52" s="706"/>
      <c r="E52" s="706"/>
      <c r="F52" s="706"/>
      <c r="G52" s="706"/>
      <c r="H52" s="706"/>
      <c r="I52" s="706"/>
      <c r="J52" s="706"/>
      <c r="K52" s="706"/>
      <c r="L52" s="706"/>
      <c r="M52" s="706"/>
      <c r="N52" s="706"/>
      <c r="O52" s="35" t="s">
        <v>9528</v>
      </c>
      <c r="P52"/>
      <c r="Q52"/>
      <c r="AA52" s="22">
        <f t="shared" ref="AA52:AH52" si="33">AA49-AA50</f>
        <v>12541</v>
      </c>
      <c r="AB52" s="22">
        <f t="shared" si="33"/>
        <v>12046</v>
      </c>
      <c r="AC52" s="22">
        <f t="shared" si="33"/>
        <v>12194</v>
      </c>
      <c r="AD52" s="22">
        <f t="shared" si="33"/>
        <v>10002</v>
      </c>
      <c r="AE52" s="22">
        <f t="shared" si="33"/>
        <v>14221</v>
      </c>
      <c r="AF52" s="22">
        <f t="shared" si="33"/>
        <v>14539</v>
      </c>
      <c r="AG52" s="22">
        <f t="shared" si="33"/>
        <v>10238</v>
      </c>
      <c r="AH52" s="22">
        <f t="shared" si="33"/>
        <v>9599</v>
      </c>
    </row>
    <row r="53" spans="1:34" s="8" customFormat="1">
      <c r="A53" s="20"/>
      <c r="B53" s="717"/>
      <c r="C53" s="706"/>
      <c r="D53" s="706"/>
      <c r="E53" s="706"/>
      <c r="F53" s="706"/>
      <c r="G53" s="706"/>
      <c r="H53" s="706"/>
      <c r="I53" s="706"/>
      <c r="J53" s="706"/>
      <c r="K53" s="706"/>
      <c r="L53" s="706"/>
      <c r="M53" s="706"/>
      <c r="N53" s="706"/>
      <c r="O53" s="35" t="s">
        <v>9528</v>
      </c>
      <c r="P53"/>
      <c r="Q53"/>
      <c r="AA53" s="33">
        <f>+AA49+AA44</f>
        <v>61491</v>
      </c>
      <c r="AB53" s="33">
        <f>+AB49+AB44</f>
        <v>63457</v>
      </c>
      <c r="AC53" s="33">
        <f>+AC49+AC44</f>
        <v>67855</v>
      </c>
      <c r="AD53" s="33">
        <f>AD44+AD49</f>
        <v>64018</v>
      </c>
      <c r="AE53" s="33">
        <f>AE49+AE44</f>
        <v>71388</v>
      </c>
      <c r="AF53" s="33">
        <f>AF49+AF44</f>
        <v>68044</v>
      </c>
      <c r="AG53" s="33">
        <f>AG49+AG44</f>
        <v>52695</v>
      </c>
      <c r="AH53" s="33">
        <f>AH49+AH44</f>
        <v>50738</v>
      </c>
    </row>
    <row r="54" spans="1:34">
      <c r="A54" s="37" t="s">
        <v>9310</v>
      </c>
      <c r="B54" s="720">
        <v>0</v>
      </c>
      <c r="C54" s="715">
        <v>0</v>
      </c>
      <c r="D54" s="716">
        <v>16.7</v>
      </c>
      <c r="E54" s="716">
        <v>0</v>
      </c>
      <c r="F54" s="716">
        <v>0</v>
      </c>
      <c r="G54" s="716">
        <v>0</v>
      </c>
      <c r="H54" s="716">
        <v>0</v>
      </c>
      <c r="I54" s="716">
        <v>0</v>
      </c>
      <c r="J54" s="716">
        <v>0</v>
      </c>
      <c r="K54" s="716">
        <v>0</v>
      </c>
      <c r="L54" s="716">
        <v>0</v>
      </c>
      <c r="M54" s="716">
        <v>0</v>
      </c>
      <c r="N54" s="716">
        <v>0</v>
      </c>
      <c r="O54" s="35" t="s">
        <v>9528</v>
      </c>
      <c r="P54" t="s">
        <v>9310</v>
      </c>
      <c r="Q54"/>
    </row>
    <row r="55" spans="1:34">
      <c r="C55" s="706"/>
      <c r="D55" s="706"/>
      <c r="E55" s="706"/>
      <c r="F55" s="706"/>
      <c r="G55" s="706"/>
      <c r="H55" s="706"/>
      <c r="I55" s="706"/>
      <c r="J55" s="706"/>
      <c r="K55" s="706"/>
      <c r="L55" s="706"/>
      <c r="M55" s="706"/>
      <c r="N55" s="706"/>
      <c r="O55" s="35" t="s">
        <v>9528</v>
      </c>
      <c r="P55"/>
      <c r="Q55"/>
    </row>
    <row r="56" spans="1:34" s="8" customFormat="1">
      <c r="A56" s="8" t="s">
        <v>9311</v>
      </c>
      <c r="B56" s="49">
        <v>74.099999999999994</v>
      </c>
      <c r="C56" s="707">
        <f>C38-C51-C54</f>
        <v>-281.60000000000036</v>
      </c>
      <c r="D56" s="707">
        <f t="shared" ref="D56:N56" si="34">D38-D51-D54</f>
        <v>765.00000000000068</v>
      </c>
      <c r="E56" s="707">
        <f t="shared" si="34"/>
        <v>856</v>
      </c>
      <c r="F56" s="707">
        <f>F38-F51-F54</f>
        <v>1321.9</v>
      </c>
      <c r="G56" s="707">
        <f t="shared" si="34"/>
        <v>1010.1999999999998</v>
      </c>
      <c r="H56" s="707">
        <f t="shared" si="34"/>
        <v>589.40000000000009</v>
      </c>
      <c r="I56" s="707">
        <f t="shared" si="34"/>
        <v>837.60000000000014</v>
      </c>
      <c r="J56" s="707">
        <f t="shared" si="34"/>
        <v>755.40000000000009</v>
      </c>
      <c r="K56" s="707">
        <f>K38-K51-K54</f>
        <v>676</v>
      </c>
      <c r="L56" s="707">
        <f>L38-L51-L54</f>
        <v>585.79999999999995</v>
      </c>
      <c r="M56" s="707">
        <f>M38-M51-M54</f>
        <v>511.1</v>
      </c>
      <c r="N56" s="707">
        <f t="shared" si="34"/>
        <v>358.30000000000007</v>
      </c>
      <c r="O56" s="35" t="s">
        <v>9528</v>
      </c>
      <c r="P56"/>
      <c r="Q56"/>
      <c r="R56" s="20" t="s">
        <v>9529</v>
      </c>
      <c r="S56" s="8" t="s">
        <v>9570</v>
      </c>
    </row>
    <row r="57" spans="1:34">
      <c r="A57" s="8"/>
      <c r="B57" s="49"/>
      <c r="C57" s="707"/>
      <c r="D57" s="707"/>
      <c r="E57" s="707"/>
      <c r="F57" s="707"/>
      <c r="G57" s="707"/>
      <c r="H57" s="707"/>
      <c r="I57" s="707"/>
      <c r="J57" s="707"/>
      <c r="K57" s="707"/>
      <c r="L57" s="707"/>
      <c r="M57" s="707"/>
      <c r="N57" s="707"/>
      <c r="O57" s="35"/>
      <c r="P57"/>
      <c r="Q57"/>
    </row>
    <row r="58" spans="1:34">
      <c r="A58" s="49" t="s">
        <v>9571</v>
      </c>
      <c r="B58" s="824"/>
      <c r="C58" s="707"/>
      <c r="D58" s="707"/>
      <c r="E58" s="707"/>
      <c r="F58" s="707"/>
      <c r="G58" s="707"/>
      <c r="H58" s="707"/>
      <c r="I58" s="707"/>
      <c r="J58" s="707"/>
      <c r="K58" s="707"/>
      <c r="L58" s="707"/>
      <c r="M58" s="707"/>
      <c r="N58" s="707"/>
      <c r="O58" s="35"/>
      <c r="P58"/>
      <c r="Q58"/>
    </row>
    <row r="59" spans="1:34">
      <c r="A59" s="8" t="s">
        <v>124</v>
      </c>
      <c r="B59" s="49">
        <v>2271.9</v>
      </c>
      <c r="C59" s="707">
        <v>1730.6</v>
      </c>
      <c r="D59" s="707">
        <v>1499.7</v>
      </c>
      <c r="E59" s="707">
        <v>1083.7</v>
      </c>
      <c r="F59" s="707">
        <v>808</v>
      </c>
      <c r="G59" s="707">
        <v>638.9</v>
      </c>
      <c r="H59" s="707">
        <v>594.4</v>
      </c>
      <c r="I59" s="707">
        <v>345.7</v>
      </c>
      <c r="J59" s="707">
        <v>282.5</v>
      </c>
      <c r="K59" s="707">
        <v>196.6</v>
      </c>
      <c r="L59" s="707">
        <v>147.4</v>
      </c>
      <c r="M59" s="707">
        <v>183.9</v>
      </c>
      <c r="N59" s="707">
        <v>132.80000000000001</v>
      </c>
      <c r="O59" s="35"/>
      <c r="P59"/>
      <c r="Q59"/>
    </row>
    <row r="60" spans="1:34">
      <c r="A60" s="24" t="s">
        <v>63</v>
      </c>
      <c r="B60" s="362">
        <f>B12</f>
        <v>1150.7</v>
      </c>
      <c r="C60" s="362">
        <f t="shared" ref="C60:N60" si="35">C12</f>
        <v>857.3</v>
      </c>
      <c r="D60" s="362">
        <f t="shared" si="35"/>
        <v>606.79999999999995</v>
      </c>
      <c r="E60" s="362">
        <f t="shared" si="35"/>
        <v>488.5</v>
      </c>
      <c r="F60" s="362">
        <f t="shared" si="35"/>
        <v>331.7</v>
      </c>
      <c r="G60" s="362">
        <f t="shared" si="35"/>
        <v>332.2</v>
      </c>
      <c r="H60" s="362">
        <f t="shared" si="35"/>
        <v>31.4</v>
      </c>
      <c r="I60" s="362">
        <f t="shared" si="35"/>
        <v>32.200000000000003</v>
      </c>
      <c r="J60" s="362">
        <f t="shared" si="35"/>
        <v>8</v>
      </c>
      <c r="K60" s="362">
        <f t="shared" si="35"/>
        <v>25.3</v>
      </c>
      <c r="L60" s="362">
        <f t="shared" si="35"/>
        <v>44.3</v>
      </c>
      <c r="M60" s="362">
        <f>M12</f>
        <v>66.8</v>
      </c>
      <c r="N60" s="362">
        <f t="shared" si="35"/>
        <v>62.5</v>
      </c>
      <c r="O60" s="35"/>
      <c r="P60"/>
      <c r="Q60"/>
    </row>
    <row r="61" spans="1:34">
      <c r="A61" s="96" t="s">
        <v>54</v>
      </c>
      <c r="B61" s="718">
        <v>110.5</v>
      </c>
      <c r="C61" s="733">
        <v>104.3</v>
      </c>
      <c r="D61" s="733">
        <v>84.4</v>
      </c>
      <c r="E61" s="733">
        <v>68.8</v>
      </c>
      <c r="F61" s="733">
        <v>61.6</v>
      </c>
      <c r="G61" s="733">
        <v>55.7</v>
      </c>
      <c r="H61" s="733">
        <v>55.5</v>
      </c>
      <c r="I61" s="733">
        <v>48.5</v>
      </c>
      <c r="J61" s="733">
        <v>31.6</v>
      </c>
      <c r="K61" s="733">
        <v>22</v>
      </c>
      <c r="L61" s="733">
        <v>15.6</v>
      </c>
      <c r="M61" s="733">
        <v>11.6</v>
      </c>
      <c r="N61" s="733">
        <v>7</v>
      </c>
      <c r="O61" s="35"/>
      <c r="P61"/>
      <c r="Q61"/>
    </row>
    <row r="62" spans="1:34" s="823" customFormat="1">
      <c r="A62" s="825" t="s">
        <v>9572</v>
      </c>
      <c r="B62" s="769">
        <f>412+24.4</f>
        <v>436.4</v>
      </c>
      <c r="C62" s="733">
        <f>-456.7-109.1-7.7-318.2-226.4-35.3+105.2+55.2+25+23.5+1177.5</f>
        <v>233</v>
      </c>
      <c r="D62" s="733">
        <f>-72.5-19.4-17.7-294.5-94-19-13.1+49.9+44-0.7+839.4</f>
        <v>402.39999999999992</v>
      </c>
      <c r="E62" s="733">
        <f>-176.4-42.2-2.8-205.1-10.5-4.6+37.4+45.8+43.1+9.7+495.6</f>
        <v>190</v>
      </c>
      <c r="F62" s="733">
        <f>-96.7-48.5-2.1-162.3+17.8-1.3+7.7-1.4-2.7-0.2+446.7-18.8</f>
        <v>138.19999999999999</v>
      </c>
      <c r="G62" s="733">
        <f>-82-33.4+4.2-136.4-127.8-3.8+14.6+14.5+3.5-0.8+352.1-6</f>
        <v>-1.3000000000000114</v>
      </c>
      <c r="H62" s="733">
        <f>-38.4+9.4-6.7+35.8-1+13.1+14.4+12.6-5.5+300.8+29.5</f>
        <v>364</v>
      </c>
      <c r="I62" s="733">
        <f>-57.875-43.023-27.822+2.616-2.352+0.039-3.21+15.696-5.013+242.961+13.137</f>
        <v>135.154</v>
      </c>
      <c r="J62" s="733">
        <f>-66.464-19.088-29.851-2.63+0.667-2.517+0.883+11.301+2.016+222.346+20.372</f>
        <v>137.03500000000003</v>
      </c>
      <c r="K62" s="733">
        <f>-55.888-32.459+9.072-16-1.302+18.033+7.12+10.835+14.318+127.416-3.771</f>
        <v>77.373999999999981</v>
      </c>
      <c r="L62" s="733">
        <f>-22.08-35.093-18.75-0.907+1.243+10.485+3.602+6.013-1.948+68.871+22.522</f>
        <v>33.957999999999984</v>
      </c>
      <c r="M62" s="733">
        <f>-12.12-11.303-9.254+0.791+2.47+0.961+2.171+4.599-1.87+68.292+28.265</f>
        <v>73.001999999999995</v>
      </c>
      <c r="N62" s="733">
        <f>19.687-4.556-2.328-2.136+0.629-0.311+4.287-5.241+3.191-0.525+19.706+12.551</f>
        <v>44.954000000000001</v>
      </c>
      <c r="O62" s="822"/>
      <c r="P62" s="750"/>
      <c r="Q62" s="750"/>
    </row>
    <row r="63" spans="1:34">
      <c r="A63" s="96" t="s">
        <v>9573</v>
      </c>
      <c r="B63" s="362">
        <f>B59-B60-B61-B62</f>
        <v>574.30000000000007</v>
      </c>
      <c r="C63" s="362">
        <f>C59-C60-C61-C62</f>
        <v>536</v>
      </c>
      <c r="D63" s="362">
        <f t="shared" ref="D63:L63" si="36">D59-D60-D61-D62</f>
        <v>406.10000000000019</v>
      </c>
      <c r="E63" s="362">
        <f t="shared" si="36"/>
        <v>336.40000000000009</v>
      </c>
      <c r="F63" s="362">
        <f t="shared" si="36"/>
        <v>276.5</v>
      </c>
      <c r="G63" s="362">
        <f t="shared" si="36"/>
        <v>252.3</v>
      </c>
      <c r="H63" s="362">
        <f t="shared" si="36"/>
        <v>143.5</v>
      </c>
      <c r="I63" s="362">
        <f t="shared" si="36"/>
        <v>129.846</v>
      </c>
      <c r="J63" s="362">
        <f t="shared" si="36"/>
        <v>105.86499999999998</v>
      </c>
      <c r="K63" s="362">
        <f t="shared" si="36"/>
        <v>71.926000000000002</v>
      </c>
      <c r="L63" s="362">
        <f t="shared" si="36"/>
        <v>53.54200000000003</v>
      </c>
      <c r="M63" s="362">
        <f t="shared" ref="M63:N63" si="37">M59-M60-M61-M62</f>
        <v>32.498000000000019</v>
      </c>
      <c r="N63" s="362">
        <f t="shared" si="37"/>
        <v>18.346000000000011</v>
      </c>
      <c r="O63" s="35"/>
      <c r="P63"/>
      <c r="Q63"/>
    </row>
    <row r="64" spans="1:34">
      <c r="A64" s="8" t="s">
        <v>125</v>
      </c>
      <c r="B64" s="49">
        <v>-360.3</v>
      </c>
      <c r="C64" s="707">
        <v>763.9</v>
      </c>
      <c r="D64" s="707">
        <v>-1325.1</v>
      </c>
      <c r="E64" s="707">
        <v>-72.8</v>
      </c>
      <c r="F64" s="707">
        <v>-502.3</v>
      </c>
      <c r="G64" s="707">
        <v>-134.9</v>
      </c>
      <c r="H64" s="707">
        <v>-76.8</v>
      </c>
      <c r="I64" s="707">
        <v>-74.099999999999994</v>
      </c>
      <c r="J64" s="707">
        <v>-1</v>
      </c>
      <c r="K64" s="707">
        <v>-29.4</v>
      </c>
      <c r="L64" s="707">
        <v>-146.69999999999999</v>
      </c>
      <c r="M64" s="707">
        <v>-182.7</v>
      </c>
      <c r="N64" s="707">
        <v>-166.8</v>
      </c>
      <c r="O64" s="35"/>
      <c r="P64"/>
      <c r="Q64"/>
    </row>
    <row r="65" spans="1:16">
      <c r="A65" s="96" t="s">
        <v>126</v>
      </c>
      <c r="B65" s="62">
        <v>-208.1</v>
      </c>
      <c r="C65" s="362">
        <v>-281.2</v>
      </c>
      <c r="D65" s="362">
        <v>-295.89999999999998</v>
      </c>
      <c r="E65" s="362">
        <v>-125.9</v>
      </c>
      <c r="F65" s="362">
        <v>-92.2</v>
      </c>
      <c r="G65" s="362">
        <v>-53</v>
      </c>
      <c r="H65" s="362">
        <v>-135.30000000000001</v>
      </c>
      <c r="I65" s="362">
        <v>-67.2</v>
      </c>
      <c r="J65" s="362">
        <v>-37.4</v>
      </c>
      <c r="K65" s="362">
        <v>-32.200000000000003</v>
      </c>
      <c r="L65" s="362">
        <v>-13.9</v>
      </c>
      <c r="M65" s="362">
        <v>-22.1</v>
      </c>
      <c r="N65" s="362">
        <v>-3.6</v>
      </c>
      <c r="O65" s="35"/>
      <c r="P65"/>
    </row>
    <row r="66" spans="1:16">
      <c r="A66" s="96" t="s">
        <v>128</v>
      </c>
      <c r="B66" s="62">
        <v>152.19999999999999</v>
      </c>
      <c r="C66" s="362">
        <v>1045.0999999999999</v>
      </c>
      <c r="D66" s="362">
        <v>-1029.2</v>
      </c>
      <c r="E66" s="362">
        <v>53.1</v>
      </c>
      <c r="F66" s="362">
        <v>-410.1</v>
      </c>
      <c r="G66" s="362">
        <v>-81.900000000000006</v>
      </c>
      <c r="H66" s="362">
        <v>58.5</v>
      </c>
      <c r="I66" s="362">
        <v>-6.9</v>
      </c>
      <c r="J66" s="362">
        <v>36.4</v>
      </c>
      <c r="K66" s="362">
        <v>2.8</v>
      </c>
      <c r="L66" s="362">
        <v>-132.9</v>
      </c>
      <c r="M66" s="362">
        <v>-160.6</v>
      </c>
      <c r="N66" s="362">
        <v>-163.19999999999999</v>
      </c>
      <c r="O66" s="35"/>
      <c r="P66"/>
    </row>
    <row r="67" spans="1:16">
      <c r="A67" s="96" t="s">
        <v>9574</v>
      </c>
      <c r="B67" s="362">
        <f>B64-B65-B66</f>
        <v>-304.39999999999998</v>
      </c>
      <c r="C67" s="362">
        <f>C64-C65-C66</f>
        <v>0</v>
      </c>
      <c r="D67" s="362">
        <f>D64-D65-D66</f>
        <v>0</v>
      </c>
      <c r="E67" s="362">
        <f>E64-E65-E66</f>
        <v>0</v>
      </c>
      <c r="F67" s="362">
        <f t="shared" ref="F67" si="38">F64-F65-F66</f>
        <v>0</v>
      </c>
      <c r="G67" s="362">
        <f t="shared" ref="G67:N67" si="39">G64-G65-G66</f>
        <v>0</v>
      </c>
      <c r="H67" s="362">
        <f t="shared" si="39"/>
        <v>0</v>
      </c>
      <c r="I67" s="362">
        <f t="shared" si="39"/>
        <v>8.8817841970012523E-15</v>
      </c>
      <c r="J67" s="362">
        <f t="shared" si="39"/>
        <v>0</v>
      </c>
      <c r="K67" s="362">
        <f t="shared" si="39"/>
        <v>4.4408920985006262E-15</v>
      </c>
      <c r="L67" s="362">
        <f t="shared" si="39"/>
        <v>0.10000000000002274</v>
      </c>
      <c r="M67" s="362">
        <f t="shared" si="39"/>
        <v>0</v>
      </c>
      <c r="N67" s="362">
        <f t="shared" si="39"/>
        <v>0</v>
      </c>
      <c r="O67" s="35"/>
      <c r="P67"/>
    </row>
    <row r="68" spans="1:16">
      <c r="A68" s="8" t="s">
        <v>129</v>
      </c>
      <c r="B68" s="49">
        <v>-687.7</v>
      </c>
      <c r="C68" s="707">
        <v>-2130.3000000000002</v>
      </c>
      <c r="D68" s="707">
        <v>82.8</v>
      </c>
      <c r="E68" s="707">
        <v>-1171.5999999999999</v>
      </c>
      <c r="F68" s="707">
        <v>-195.6</v>
      </c>
      <c r="G68" s="707">
        <v>-202.6</v>
      </c>
      <c r="H68" s="707">
        <v>-415.6</v>
      </c>
      <c r="I68" s="707">
        <v>-105.9</v>
      </c>
      <c r="J68" s="707">
        <v>-21.6</v>
      </c>
      <c r="K68" s="707">
        <v>0.7</v>
      </c>
      <c r="L68" s="707">
        <v>-6.4</v>
      </c>
      <c r="M68" s="707">
        <v>50.2</v>
      </c>
      <c r="N68" s="707">
        <v>39.799999999999997</v>
      </c>
      <c r="O68" s="35"/>
      <c r="P68"/>
    </row>
    <row r="69" spans="1:16">
      <c r="A69" s="96" t="s">
        <v>9575</v>
      </c>
      <c r="B69" s="62">
        <v>0</v>
      </c>
      <c r="C69" s="362">
        <v>0</v>
      </c>
      <c r="D69" s="362">
        <v>989.4</v>
      </c>
      <c r="E69" s="362">
        <v>0</v>
      </c>
      <c r="F69" s="362">
        <v>0</v>
      </c>
      <c r="G69" s="362">
        <v>0</v>
      </c>
      <c r="H69" s="362">
        <v>0</v>
      </c>
      <c r="I69" s="362">
        <v>0</v>
      </c>
      <c r="J69" s="362">
        <v>0</v>
      </c>
      <c r="K69" s="362">
        <v>0</v>
      </c>
      <c r="L69" s="362">
        <v>0</v>
      </c>
      <c r="M69" s="362">
        <v>0</v>
      </c>
      <c r="N69" s="362">
        <v>0</v>
      </c>
      <c r="O69" s="35"/>
      <c r="P69"/>
    </row>
    <row r="70" spans="1:16">
      <c r="A70" s="96" t="s">
        <v>9576</v>
      </c>
      <c r="B70" s="62">
        <v>0</v>
      </c>
      <c r="C70" s="362">
        <v>0</v>
      </c>
      <c r="D70" s="362">
        <v>0</v>
      </c>
      <c r="E70" s="362">
        <v>0</v>
      </c>
      <c r="F70" s="362">
        <v>0</v>
      </c>
      <c r="G70" s="362">
        <v>0</v>
      </c>
      <c r="H70" s="362">
        <v>0</v>
      </c>
      <c r="I70" s="362">
        <v>0</v>
      </c>
      <c r="J70" s="362">
        <v>0</v>
      </c>
      <c r="K70" s="362">
        <v>0</v>
      </c>
      <c r="L70" s="362">
        <v>0</v>
      </c>
      <c r="M70" s="362">
        <v>0</v>
      </c>
      <c r="N70" s="362">
        <v>0</v>
      </c>
      <c r="O70" s="35"/>
      <c r="P70"/>
    </row>
    <row r="71" spans="1:16">
      <c r="A71" s="98" t="s">
        <v>9577</v>
      </c>
      <c r="B71" s="718">
        <v>0</v>
      </c>
      <c r="C71" s="718">
        <v>0</v>
      </c>
      <c r="D71" s="718">
        <v>0</v>
      </c>
      <c r="E71" s="718">
        <v>0</v>
      </c>
      <c r="F71" s="718">
        <v>0</v>
      </c>
      <c r="G71" s="718">
        <v>0</v>
      </c>
      <c r="H71" s="718">
        <v>0</v>
      </c>
      <c r="I71" s="718">
        <v>0</v>
      </c>
      <c r="J71" s="718">
        <v>0</v>
      </c>
      <c r="K71" s="718">
        <v>0</v>
      </c>
      <c r="L71" s="718">
        <v>0</v>
      </c>
      <c r="M71" s="718">
        <v>0</v>
      </c>
      <c r="N71" s="718">
        <v>0</v>
      </c>
      <c r="O71" s="35"/>
      <c r="P71"/>
    </row>
    <row r="72" spans="1:16">
      <c r="A72" s="98" t="s">
        <v>9578</v>
      </c>
      <c r="B72" s="718">
        <v>0</v>
      </c>
      <c r="C72" s="718">
        <v>-0.7</v>
      </c>
      <c r="D72" s="718">
        <v>0.1</v>
      </c>
      <c r="E72" s="718">
        <v>0</v>
      </c>
      <c r="F72" s="718">
        <v>-3.6</v>
      </c>
      <c r="G72" s="718">
        <v>0</v>
      </c>
      <c r="H72" s="718">
        <v>0</v>
      </c>
      <c r="I72" s="718">
        <v>0</v>
      </c>
      <c r="J72" s="718">
        <v>0</v>
      </c>
      <c r="K72" s="718">
        <v>0</v>
      </c>
      <c r="L72" s="718">
        <v>0</v>
      </c>
      <c r="M72" s="718">
        <v>0</v>
      </c>
      <c r="N72" s="718">
        <v>0</v>
      </c>
      <c r="O72" s="35"/>
      <c r="P72"/>
    </row>
    <row r="73" spans="1:16">
      <c r="A73" s="96" t="s">
        <v>130</v>
      </c>
      <c r="B73" s="362">
        <v>0</v>
      </c>
      <c r="C73" s="362">
        <v>0</v>
      </c>
      <c r="D73" s="362">
        <v>0</v>
      </c>
      <c r="E73" s="362">
        <v>0</v>
      </c>
      <c r="F73" s="362">
        <v>0</v>
      </c>
      <c r="G73" s="362">
        <v>0</v>
      </c>
      <c r="H73" s="362">
        <v>0</v>
      </c>
      <c r="I73" s="362">
        <v>0</v>
      </c>
      <c r="J73" s="362">
        <v>0</v>
      </c>
      <c r="K73" s="362">
        <v>0</v>
      </c>
      <c r="L73" s="362">
        <v>0</v>
      </c>
      <c r="M73" s="362">
        <v>0</v>
      </c>
      <c r="N73" s="362">
        <v>0</v>
      </c>
      <c r="O73" s="32" t="s">
        <v>9579</v>
      </c>
      <c r="P73" t="s">
        <v>9580</v>
      </c>
    </row>
    <row r="74" spans="1:16">
      <c r="A74" s="96" t="s">
        <v>9293</v>
      </c>
      <c r="B74" s="62">
        <v>-604.29999999999995</v>
      </c>
      <c r="C74" s="362">
        <v>-1991.2</v>
      </c>
      <c r="D74" s="362">
        <v>-741.8</v>
      </c>
      <c r="E74" s="362">
        <v>-1080.0999999999999</v>
      </c>
      <c r="F74" s="362">
        <v>-145.1</v>
      </c>
      <c r="G74" s="362">
        <v>-211.8</v>
      </c>
      <c r="H74" s="362">
        <v>-446.3</v>
      </c>
      <c r="I74" s="363">
        <v>-110.8</v>
      </c>
      <c r="J74" s="362">
        <v>-60</v>
      </c>
      <c r="K74" s="363">
        <v>-44</v>
      </c>
      <c r="L74" s="362">
        <v>-33.5</v>
      </c>
      <c r="M74" s="362">
        <v>0</v>
      </c>
      <c r="N74" s="362">
        <v>0</v>
      </c>
      <c r="O74" s="32" t="s">
        <v>9579</v>
      </c>
      <c r="P74" t="str">
        <f>+A74</f>
        <v>Share buyback</v>
      </c>
    </row>
    <row r="75" spans="1:16">
      <c r="A75" s="96" t="s">
        <v>9574</v>
      </c>
      <c r="B75" s="362">
        <f>B68-B69-B70-B71-B72-B73-B74</f>
        <v>-83.400000000000091</v>
      </c>
      <c r="C75" s="362">
        <f t="shared" ref="C75" si="40">C68-C69-C70-C71-C72-C73-C74</f>
        <v>-138.40000000000032</v>
      </c>
      <c r="D75" s="362">
        <f t="shared" ref="D75:N75" si="41">D68-D69-D70-D71-D72-D73-D74</f>
        <v>-164.90000000000009</v>
      </c>
      <c r="E75" s="362">
        <f t="shared" si="41"/>
        <v>-91.5</v>
      </c>
      <c r="F75" s="362">
        <f>F68-F69-F70-F71-F72-F73-F74</f>
        <v>-46.900000000000006</v>
      </c>
      <c r="G75" s="362">
        <f t="shared" si="41"/>
        <v>9.2000000000000171</v>
      </c>
      <c r="H75" s="362">
        <f t="shared" si="41"/>
        <v>30.699999999999989</v>
      </c>
      <c r="I75" s="362">
        <f t="shared" si="41"/>
        <v>4.8999999999999915</v>
      </c>
      <c r="J75" s="362">
        <f t="shared" si="41"/>
        <v>38.4</v>
      </c>
      <c r="K75" s="362">
        <f t="shared" si="41"/>
        <v>44.7</v>
      </c>
      <c r="L75" s="362">
        <f t="shared" si="41"/>
        <v>27.1</v>
      </c>
      <c r="M75" s="362">
        <f t="shared" si="41"/>
        <v>50.2</v>
      </c>
      <c r="N75" s="362">
        <f t="shared" si="41"/>
        <v>39.799999999999997</v>
      </c>
      <c r="O75" s="35"/>
      <c r="P75"/>
    </row>
    <row r="76" spans="1:16">
      <c r="A76" s="8" t="s">
        <v>133</v>
      </c>
      <c r="B76" s="49">
        <v>-0.7</v>
      </c>
      <c r="C76" s="707">
        <v>-0.4</v>
      </c>
      <c r="D76" s="707">
        <v>-0.1</v>
      </c>
      <c r="E76" s="707">
        <v>0</v>
      </c>
      <c r="F76" s="707">
        <v>0</v>
      </c>
      <c r="G76" s="707">
        <v>0</v>
      </c>
      <c r="H76" s="707">
        <v>0</v>
      </c>
      <c r="I76" s="707">
        <v>0</v>
      </c>
      <c r="J76" s="707">
        <v>0</v>
      </c>
      <c r="K76" s="707">
        <v>-0.6</v>
      </c>
      <c r="L76" s="707">
        <v>-1.3</v>
      </c>
      <c r="M76" s="707">
        <v>-0.3</v>
      </c>
      <c r="N76" s="707">
        <v>0.7</v>
      </c>
      <c r="O76" s="35"/>
      <c r="P76"/>
    </row>
    <row r="77" spans="1:16">
      <c r="A77" s="8" t="s">
        <v>9312</v>
      </c>
      <c r="B77" s="707">
        <f>B59+B64+B68+B76</f>
        <v>1223.2</v>
      </c>
      <c r="C77" s="707">
        <f>C59+C64+C68+C76</f>
        <v>363.79999999999984</v>
      </c>
      <c r="D77" s="707">
        <f t="shared" ref="D77:N77" si="42">D59+D64+D68+D76</f>
        <v>257.30000000000013</v>
      </c>
      <c r="E77" s="707">
        <f t="shared" si="42"/>
        <v>-160.69999999999982</v>
      </c>
      <c r="F77" s="707">
        <f t="shared" si="42"/>
        <v>110.1</v>
      </c>
      <c r="G77" s="707">
        <f t="shared" si="42"/>
        <v>301.39999999999998</v>
      </c>
      <c r="H77" s="707">
        <f t="shared" si="42"/>
        <v>102</v>
      </c>
      <c r="I77" s="707">
        <f t="shared" si="42"/>
        <v>165.70000000000002</v>
      </c>
      <c r="J77" s="707">
        <f t="shared" si="42"/>
        <v>259.89999999999998</v>
      </c>
      <c r="K77" s="707">
        <f t="shared" si="42"/>
        <v>167.29999999999998</v>
      </c>
      <c r="L77" s="707">
        <f t="shared" si="42"/>
        <v>-6.9999999999999831</v>
      </c>
      <c r="M77" s="707">
        <f t="shared" si="42"/>
        <v>51.100000000000023</v>
      </c>
      <c r="N77" s="707">
        <f t="shared" si="42"/>
        <v>6.4999999999999973</v>
      </c>
      <c r="O77" s="35"/>
      <c r="P77"/>
    </row>
    <row r="78" spans="1:16">
      <c r="N78" s="22"/>
      <c r="O78"/>
      <c r="P78" t="s">
        <v>9581</v>
      </c>
    </row>
    <row r="79" spans="1:16">
      <c r="A79" s="49" t="s">
        <v>9582</v>
      </c>
      <c r="B79" s="49"/>
      <c r="C79" s="49"/>
      <c r="D79" s="49"/>
      <c r="E79" s="49"/>
      <c r="F79" s="1350" t="s">
        <v>9321</v>
      </c>
      <c r="G79" s="1350"/>
      <c r="H79" s="1350"/>
      <c r="I79" s="1350" t="s">
        <v>9583</v>
      </c>
      <c r="J79" s="1350"/>
      <c r="K79" s="49" t="s">
        <v>9323</v>
      </c>
      <c r="L79" s="49" t="s">
        <v>9324</v>
      </c>
      <c r="M79" s="49" t="s">
        <v>9325</v>
      </c>
      <c r="N79" s="33"/>
      <c r="O79"/>
      <c r="P79"/>
    </row>
    <row r="80" spans="1:16">
      <c r="A80" s="24" t="s">
        <v>9584</v>
      </c>
      <c r="B80" s="62"/>
      <c r="C80" s="25">
        <v>13618</v>
      </c>
      <c r="D80" s="38" t="s">
        <v>9585</v>
      </c>
      <c r="E80" s="22"/>
      <c r="F80" s="1351"/>
      <c r="G80" s="1351"/>
      <c r="H80" s="1351"/>
      <c r="I80" s="1352"/>
      <c r="J80" s="1352"/>
      <c r="K80" s="63"/>
      <c r="L80" s="62"/>
      <c r="M80" s="62"/>
      <c r="N80" s="22"/>
      <c r="O80" s="38" t="s">
        <v>9586</v>
      </c>
      <c r="P80"/>
    </row>
    <row r="81" spans="1:16">
      <c r="A81" s="24" t="s">
        <v>9587</v>
      </c>
      <c r="B81" s="62"/>
      <c r="C81" s="25">
        <v>767910</v>
      </c>
      <c r="D81" s="38" t="s">
        <v>9588</v>
      </c>
      <c r="E81" s="22"/>
      <c r="F81" s="1351"/>
      <c r="G81" s="1351"/>
      <c r="H81" s="1351"/>
      <c r="I81" s="1352"/>
      <c r="J81" s="1352"/>
      <c r="K81" s="63"/>
      <c r="L81" s="62"/>
      <c r="M81" s="62"/>
      <c r="N81" s="22"/>
      <c r="O81" s="38" t="s">
        <v>9586</v>
      </c>
      <c r="P81"/>
    </row>
    <row r="82" spans="1:16">
      <c r="A82" s="24" t="s">
        <v>42</v>
      </c>
      <c r="B82" s="62"/>
      <c r="C82" s="722">
        <v>646.91</v>
      </c>
      <c r="D82" s="38" t="s">
        <v>9588</v>
      </c>
      <c r="E82" s="64"/>
      <c r="F82" s="1351"/>
      <c r="G82" s="1351"/>
      <c r="H82" s="1351"/>
      <c r="I82" s="1352"/>
      <c r="J82" s="1352"/>
      <c r="K82" s="63"/>
      <c r="L82" s="62"/>
      <c r="M82" s="62"/>
      <c r="N82" s="66"/>
      <c r="O82" s="38" t="s">
        <v>9586</v>
      </c>
      <c r="P82"/>
    </row>
    <row r="83" spans="1:16">
      <c r="A83" s="24" t="s">
        <v>47</v>
      </c>
      <c r="B83" s="62"/>
      <c r="C83" s="691">
        <v>0.17019999999999999</v>
      </c>
      <c r="D83" s="38" t="s">
        <v>9588</v>
      </c>
      <c r="E83" s="65"/>
      <c r="F83" s="1351"/>
      <c r="G83" s="1351"/>
      <c r="H83" s="1351"/>
      <c r="I83" s="1352"/>
      <c r="J83" s="1352"/>
      <c r="K83" s="63"/>
      <c r="L83" s="62"/>
      <c r="M83" s="62"/>
      <c r="N83" s="66"/>
      <c r="O83" s="38" t="s">
        <v>9586</v>
      </c>
      <c r="P83"/>
    </row>
    <row r="84" spans="1:16">
      <c r="A84" s="24" t="s">
        <v>9316</v>
      </c>
      <c r="B84" s="62"/>
      <c r="C84" s="25" t="s">
        <v>56</v>
      </c>
      <c r="D84" s="38" t="s">
        <v>9585</v>
      </c>
      <c r="E84" s="22"/>
      <c r="F84" s="1351"/>
      <c r="G84" s="1351"/>
      <c r="H84" s="1351"/>
      <c r="I84" s="1352"/>
      <c r="J84" s="1352"/>
      <c r="K84" s="63"/>
      <c r="L84" s="62"/>
      <c r="M84" s="62"/>
      <c r="N84" s="22"/>
      <c r="O84" s="38" t="s">
        <v>9586</v>
      </c>
      <c r="P84"/>
    </row>
    <row r="85" spans="1:16">
      <c r="A85" s="24" t="s">
        <v>9589</v>
      </c>
      <c r="B85" s="62"/>
      <c r="C85" s="692" t="s">
        <v>8914</v>
      </c>
      <c r="D85" s="38" t="s">
        <v>9588</v>
      </c>
      <c r="E85" s="22"/>
      <c r="F85" s="1351"/>
      <c r="G85" s="1351"/>
      <c r="H85" s="1351"/>
      <c r="I85" s="1352"/>
      <c r="J85" s="1352"/>
      <c r="K85" s="62"/>
      <c r="L85" s="62"/>
      <c r="M85" s="62"/>
      <c r="N85" s="22"/>
      <c r="O85" s="38" t="s">
        <v>9586</v>
      </c>
      <c r="P85"/>
    </row>
    <row r="86" spans="1:16">
      <c r="A86" s="24" t="s">
        <v>9318</v>
      </c>
      <c r="B86" s="62"/>
      <c r="C86" s="25">
        <v>6.55</v>
      </c>
      <c r="D86" s="38" t="s">
        <v>9590</v>
      </c>
      <c r="E86" s="22"/>
      <c r="F86" s="1351"/>
      <c r="G86" s="1351"/>
      <c r="H86" s="1351"/>
      <c r="I86" s="1352"/>
      <c r="J86" s="1352"/>
      <c r="K86" s="62"/>
      <c r="L86" s="62"/>
      <c r="M86" s="62"/>
      <c r="N86" s="22"/>
      <c r="O86" s="38" t="s">
        <v>9586</v>
      </c>
    </row>
    <row r="87" spans="1:16">
      <c r="B87" s="49" t="s">
        <v>9591</v>
      </c>
      <c r="C87" s="49">
        <f>C5</f>
        <v>2022</v>
      </c>
      <c r="D87" s="49">
        <f t="shared" ref="D87:E87" si="43">D5</f>
        <v>2021</v>
      </c>
      <c r="E87" s="49">
        <f t="shared" si="43"/>
        <v>2020</v>
      </c>
      <c r="F87" s="39"/>
      <c r="H87" s="39"/>
      <c r="I87" s="39"/>
      <c r="J87" s="39"/>
      <c r="K87" s="39"/>
      <c r="L87" s="39"/>
      <c r="M87" s="39"/>
      <c r="N87" s="39"/>
      <c r="O87"/>
    </row>
    <row r="88" spans="1:16">
      <c r="A88" s="24" t="s">
        <v>9320</v>
      </c>
      <c r="B88" s="692">
        <v>1.8100000000000002E-2</v>
      </c>
      <c r="C88" s="62"/>
      <c r="D88" s="62"/>
      <c r="E88" s="62"/>
      <c r="F88" s="38" t="s">
        <v>9590</v>
      </c>
      <c r="L88" s="20"/>
      <c r="M88" s="20"/>
      <c r="P88"/>
    </row>
    <row r="89" spans="1:16">
      <c r="A89" s="24" t="s">
        <v>69</v>
      </c>
      <c r="B89" s="62">
        <v>1.44</v>
      </c>
      <c r="C89" s="61">
        <v>1.08</v>
      </c>
      <c r="D89" s="61">
        <v>0.74</v>
      </c>
      <c r="E89" s="61">
        <v>0.6</v>
      </c>
      <c r="F89" s="38" t="s">
        <v>9590</v>
      </c>
      <c r="L89" s="20"/>
      <c r="M89" s="20"/>
      <c r="P89" s="49"/>
    </row>
  </sheetData>
  <mergeCells count="19">
    <mergeCell ref="F85:H85"/>
    <mergeCell ref="F86:H86"/>
    <mergeCell ref="I80:J80"/>
    <mergeCell ref="I81:J81"/>
    <mergeCell ref="I82:J82"/>
    <mergeCell ref="I83:J83"/>
    <mergeCell ref="I84:J84"/>
    <mergeCell ref="I85:J85"/>
    <mergeCell ref="I86:J86"/>
    <mergeCell ref="F80:H80"/>
    <mergeCell ref="F81:H81"/>
    <mergeCell ref="F82:H82"/>
    <mergeCell ref="F83:H83"/>
    <mergeCell ref="F84:H84"/>
    <mergeCell ref="H2:K2"/>
    <mergeCell ref="E4:N4"/>
    <mergeCell ref="S5:T5"/>
    <mergeCell ref="I79:J79"/>
    <mergeCell ref="F79:H79"/>
  </mergeCells>
  <pageMargins left="0.75" right="0.75" top="1" bottom="1" header="0" footer="0"/>
  <pageSetup orientation="portrait" horizontalDpi="4294967292"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E33FEE-1117-4802-A5BB-FA073D1C6E04}"/>
</file>

<file path=customXml/itemProps2.xml><?xml version="1.0" encoding="utf-8"?>
<ds:datastoreItem xmlns:ds="http://schemas.openxmlformats.org/officeDocument/2006/customXml" ds:itemID="{A881089C-6E2A-4FD7-A402-55E9C86C97B5}"/>
</file>

<file path=customXml/itemProps3.xml><?xml version="1.0" encoding="utf-8"?>
<ds:datastoreItem xmlns:ds="http://schemas.openxmlformats.org/officeDocument/2006/customXml" ds:itemID="{9D77EBF4-5BF6-4681-B379-7E8C5C4EAA11}"/>
</file>

<file path=docProps/app.xml><?xml version="1.0" encoding="utf-8"?>
<Properties xmlns="http://schemas.openxmlformats.org/officeDocument/2006/extended-properties" xmlns:vt="http://schemas.openxmlformats.org/officeDocument/2006/docPropsVTypes">
  <Application>Microsoft Excel Online</Application>
  <Manager/>
  <Company>HIL CONSULTORES, S.C.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Cristina Lin</cp:lastModifiedBy>
  <cp:revision/>
  <dcterms:created xsi:type="dcterms:W3CDTF">2000-04-19T14:51:26Z</dcterms:created>
  <dcterms:modified xsi:type="dcterms:W3CDTF">2025-01-20T18:30:14Z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Order">
    <vt:r8>7100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